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Plural'!$A$1:$AM$22</definedName>
    <definedName hidden="1" localSheetId="2" name="Z_1A402AE6_EA80_4266_BF99_BE51A40E5833_.wvu.FilterData">BTG!$A$2:$AQ$709</definedName>
    <definedName hidden="1" localSheetId="2" name="Z_66EC0AA8_93B3_4E99_AC53_0ABE46566A17_.wvu.FilterData">BTG!$B$2:$AI$712</definedName>
    <definedName hidden="1" localSheetId="3" name="Z_66EC0AA8_93B3_4E99_AC53_0ABE46566A17_.wvu.FilterData">Guide!$B$2:$BS$395</definedName>
    <definedName hidden="1" localSheetId="5" name="Z_66EC0AA8_93B3_4E99_AC53_0ABE46566A17_.wvu.FilterData">'Ágora'!$B$2:$AC$16</definedName>
    <definedName hidden="1" localSheetId="2" name="Z_9CF884E3_577D_4B19_8C96_BC1C0F198B06_.wvu.FilterData">BTG!$E$2:$F$717</definedName>
    <definedName hidden="1" localSheetId="5" name="Z_9CF884E3_577D_4B19_8C96_BC1C0F198B06_.wvu.FilterData">'Ágora'!$E$2:$F$28</definedName>
    <definedName hidden="1" localSheetId="2" name="Z_1FF07CE0_5A2F_4971_BB66_06AB92C22061_.wvu.FilterData">BTG!$B$2:$AG$712</definedName>
    <definedName hidden="1" localSheetId="3" name="Z_1FF07CE0_5A2F_4971_BB66_06AB92C22061_.wvu.FilterData">Guide!$K$2:$K$403</definedName>
    <definedName hidden="1" localSheetId="5" name="Z_1FF07CE0_5A2F_4971_BB66_06AB92C22061_.wvu.FilterData">'Ágora'!$B$2:$AA$16</definedName>
    <definedName hidden="1" localSheetId="2" name="Z_3070CD03_FA60_45BD_8ADF_C9712F83623E_.wvu.FilterData">BTG!$A$1:$AL$712</definedName>
    <definedName hidden="1" localSheetId="2" name="Z_567ED6FE_F710_4604_AD25_12EC85CEBEEE_.wvu.FilterData">BTG!$A$1:$AR$709</definedName>
    <definedName hidden="1" localSheetId="2" name="Z_663CCCD2_7E93_4256_8A2F_1D0B3721B68E_.wvu.FilterData">BTG!$A$1:$AP$709</definedName>
    <definedName hidden="1" localSheetId="2" name="Z_C34DA610_4FA0_47F5_AAFD_7453E6C4DDA8_.wvu.FilterData">BTG!$A$2:$AN$709</definedName>
    <definedName hidden="1" localSheetId="2" name="Z_27A544DE_9100_4FAD_8196_177D626201DB_.wvu.FilterData">BTG!$K$2:$K$717</definedName>
    <definedName hidden="1" localSheetId="5" name="Z_27A544DE_9100_4FAD_8196_177D626201DB_.wvu.FilterData">'Ágora'!$K$2:$K$28</definedName>
    <definedName hidden="1" localSheetId="2" name="Z_9D41C457_8B07_47BC_BEF4_396DB93950A4_.wvu.FilterData">BTG!$A$1:$AM$716</definedName>
    <definedName hidden="1" localSheetId="2" name="Z_B8880C94_87C5_4142_8BDE_8EC3E16BF146_.wvu.FilterData">BTG!$A$1:$AR$709</definedName>
    <definedName hidden="1" localSheetId="2" name="Z_92AFC83B_4DEA_4A51_B68E_472825B7FCAA_.wvu.FilterData">BTG!$B$2:$Q$712</definedName>
    <definedName hidden="1" localSheetId="5" name="Z_92AFC83B_4DEA_4A51_B68E_472825B7FCAA_.wvu.FilterData">'Ágora'!$B$2:$Q$15</definedName>
    <definedName hidden="1" localSheetId="2" name="Z_002759FD_F800_4EE3_AE2E_7162D41A6CCC_.wvu.FilterData">BTG!$B$2:$AJ$712</definedName>
    <definedName hidden="1" localSheetId="5" name="Z_002759FD_F800_4EE3_AE2E_7162D41A6CCC_.wvu.FilterData">'Ágora'!$B$2:$AD$15</definedName>
    <definedName hidden="1" localSheetId="2" name="Z_A523B058_775F_4482_973A_8D9D70FC373D_.wvu.FilterData">BTG!$M$2:$O$717</definedName>
    <definedName hidden="1" localSheetId="5" name="Z_A523B058_775F_4482_973A_8D9D70FC373D_.wvu.FilterData">'Ágora'!$M$2:$O$28</definedName>
    <definedName hidden="1" localSheetId="2" name="Z_52CEA6DB_7667_480F_8EC6_4A45716C3F0A_.wvu.FilterData">BTG!$AJ$2:$AJ$717</definedName>
    <definedName hidden="1" localSheetId="5" name="Z_52CEA6DB_7667_480F_8EC6_4A45716C3F0A_.wvu.FilterData">'Ágora'!$AD$2:$AD$28</definedName>
    <definedName hidden="1" localSheetId="2" name="Z_5079BA01_902B_4C06_91F5_DAFF8F7CCF2D_.wvu.FilterData">BTG!$K$2:$K$717</definedName>
    <definedName hidden="1" localSheetId="3" name="Z_5079BA01_902B_4C06_91F5_DAFF8F7CCF2D_.wvu.FilterData">Guide!$K$2:$K$403</definedName>
    <definedName hidden="1" localSheetId="5" name="Z_5079BA01_902B_4C06_91F5_DAFF8F7CCF2D_.wvu.FilterData">'Ágora'!$K$2:$K$28</definedName>
    <definedName hidden="1" localSheetId="2" name="Z_F7729247_6799_449B_B0B7_A7DEE599FFFE_.wvu.FilterData">BTG!$K$2:$K$717</definedName>
    <definedName hidden="1" localSheetId="3" name="Z_F7729247_6799_449B_B0B7_A7DEE599FFFE_.wvu.FilterData">Guide!$B$2:$BW$395</definedName>
    <definedName hidden="1" localSheetId="5" name="Z_F7729247_6799_449B_B0B7_A7DEE599FFFE_.wvu.FilterData">'Ágora'!$K$2:$K$28</definedName>
    <definedName hidden="1" localSheetId="2" name="Z_F0A612BA_9E11_465C_8006_C124422FE96E_.wvu.FilterData">BTG!$A$1:$AO$717</definedName>
    <definedName hidden="1" localSheetId="2" name="Z_E001AA13_DCCE_4CB6_99F7_154443258DDF_.wvu.FilterData">BTG!$B$2:$AJ$717</definedName>
    <definedName hidden="1" localSheetId="5" name="Z_E001AA13_DCCE_4CB6_99F7_154443258DDF_.wvu.FilterData">'Ágora'!$B$2:$AD$28</definedName>
    <definedName hidden="1" localSheetId="2" name="Z_4E65F573_EBD6_4FCA_999B_70F64F8AB073_.wvu.FilterData">BTG!$A$1:$AL$717</definedName>
    <definedName hidden="1" localSheetId="2" name="Z_57E860CC_A3A3_4629_957E_F9B6AD5E06B0_.wvu.FilterData">BTG!$A$1:$AP$709</definedName>
    <definedName hidden="1" localSheetId="2" name="Z_803A3BD7_21B9_4395_A417_32F00FD4CEE6_.wvu.FilterData">BTG!$A$2:$AP$709</definedName>
    <definedName hidden="1" localSheetId="2" name="Z_13020B47_8608_47EB_88CF_A5A3ED7FB186_.wvu.FilterData">BTG!$A$2:$AQ$709</definedName>
    <definedName hidden="1" localSheetId="2" name="Z_AC82BF55_DA9A_426C_B5E1_71D7F2B82A4C_.wvu.FilterData">BTG!$B$2:$AJ$712</definedName>
    <definedName hidden="1" localSheetId="5" name="Z_AC82BF55_DA9A_426C_B5E1_71D7F2B82A4C_.wvu.FilterData">'Ágora'!$B$2:$AD$15</definedName>
    <definedName hidden="1" localSheetId="2" name="Z_0335C01C_A8D6_47B9_8969_72D2AC80F1D3_.wvu.FilterData">BTG!$A$2:$AR$709</definedName>
    <definedName hidden="1" localSheetId="2" name="Z_F3D9F0AB_F6CA_4517_8F4A_57B3906D71E9_.wvu.FilterData">BTG!$A$2:$AR$709</definedName>
    <definedName hidden="1" localSheetId="2" name="Z_D9BA31C7_D462_49F9_80B1_DFF2D04F5779_.wvu.FilterData">BTG!$D$2:$F$717</definedName>
    <definedName hidden="1" localSheetId="5" name="Z_D9BA31C7_D462_49F9_80B1_DFF2D04F5779_.wvu.FilterData">'Ágora'!$D$2:$F$28</definedName>
    <definedName hidden="1" localSheetId="2" name="Z_CD3A1677_267D_482A_A9C2_9B8E71ED351A_.wvu.FilterData">BTG!$A$1:$AL$712</definedName>
    <definedName hidden="1" localSheetId="2" name="Z_644F76FA_9AD7_4D9A_B381_9F62EFB4C7A9_.wvu.FilterData">BTG!$A$1:$AO$709</definedName>
    <definedName hidden="1" localSheetId="2" name="Z_AE3A7B01_A561_4105_8E56_82290752D097_.wvu.FilterData">BTG!$D$2:$F$717</definedName>
    <definedName hidden="1" localSheetId="5" name="Z_AE3A7B01_A561_4105_8E56_82290752D097_.wvu.FilterData">'Ágora'!$D$2:$F$28</definedName>
    <definedName hidden="1" localSheetId="2" name="Z_8532BC20_4043_49D8_AC0B_6564AB1B466D_.wvu.FilterData">BTG!$A$2:$AQ$709</definedName>
    <definedName hidden="1" localSheetId="2" name="Z_D481CC72_5287_4654_8448_0E0B9A82A529_.wvu.FilterData">BTG!$A$1:$AP$709</definedName>
    <definedName hidden="1" localSheetId="2" name="Z_77C0285F_4D42_43ED_8C9D_F4C7ABDCF97C_.wvu.FilterData">BTG!$H$1:$I$711</definedName>
    <definedName hidden="1" localSheetId="2" name="Z_7F01E67B_DBD5_43CE_B3D3_DA4FFA0F0937_.wvu.FilterData">BTG!$A$1:$AP$709</definedName>
    <definedName hidden="1" localSheetId="2" name="Z_E1939334_B421_4DCA_B9EE_43D3F33E6002_.wvu.FilterData">BTG!$A$1:$AR$709</definedName>
    <definedName hidden="1" localSheetId="2" name="Z_CB8773AC_02D6_4041_9A72_DE8DF63722B0_.wvu.FilterData">BTG!$B$2:$AJ$712</definedName>
    <definedName hidden="1" localSheetId="5" name="Z_CB8773AC_02D6_4041_9A72_DE8DF63722B0_.wvu.FilterData">'Ágora'!$B$2:$AD$15</definedName>
    <definedName hidden="1" localSheetId="2" name="Z_5B308F4F_4DC3_4E1E_B1C7_8867D887031D_.wvu.FilterData">BTG!$A$2:$AR$709</definedName>
    <definedName hidden="1" localSheetId="2" name="Z_C25B8CD3_D49F_49C1_84E2_78ABA8CA21DD_.wvu.FilterData">BTG!$A$2:$AQ$709</definedName>
    <definedName hidden="1" localSheetId="2" name="Z_4BA204EE_6D5B_4DEC_A50D_C95DB79131CF_.wvu.FilterData">BTG!$A$1:$AP$709</definedName>
    <definedName hidden="1" localSheetId="2" name="Z_7F3C9BDE_93C6_441E_A6F0_FE38FE8CC3AA_.wvu.FilterData">BTG!$A$1:$AP$709</definedName>
    <definedName hidden="1" localSheetId="2" name="Z_0262B4A4_219A_4910_927E_3C8B98501B55_.wvu.FilterData">BTG!$A$1:$AL$712</definedName>
    <definedName hidden="1" localSheetId="2" name="Z_DDFB3275_1379_4EEA_AC46_B01810C73646_.wvu.FilterData">BTG!$A$1:$AQ$709</definedName>
    <definedName hidden="1" localSheetId="2" name="Z_44316468_38AC_42CD_AE38_9E646E512E64_.wvu.FilterData">BTG!$A$1:$AO$709</definedName>
    <definedName hidden="1" localSheetId="2" name="Z_710DB259_D3C1_49BA_B5F3_65C6F595E227_.wvu.FilterData">BTG!$A$1:$AM$717</definedName>
    <definedName hidden="1" localSheetId="2" name="Z_C6FB1A09_FD62_4025_928B_7E80270CDB6C_.wvu.FilterData">BTG!$B$2:$AG$712</definedName>
    <definedName hidden="1" localSheetId="3" name="Z_C6FB1A09_FD62_4025_928B_7E80270CDB6C_.wvu.FilterData">Guide!$K$2:$S$403</definedName>
    <definedName hidden="1" localSheetId="5" name="Z_C6FB1A09_FD62_4025_928B_7E80270CDB6C_.wvu.FilterData">'Ágora'!$B$2:$AA$16</definedName>
    <definedName hidden="1" localSheetId="2" name="Z_2387C231_1730_4402_A9BF_7885B6D4DCDC_.wvu.FilterData">BTG!$A$1:$AL$712</definedName>
    <definedName hidden="1" localSheetId="3" name="Z_2387C231_1730_4402_A9BF_7885B6D4DCDC_.wvu.FilterData">Guide!$A$1:$CE$395</definedName>
    <definedName hidden="1" localSheetId="2" name="Z_4C7E836C_516F_4621_A32C_2C387D49B27E_.wvu.FilterData">BTG!$B$2:$AI$712</definedName>
    <definedName hidden="1" localSheetId="3" name="Z_4C7E836C_516F_4621_A32C_2C387D49B27E_.wvu.FilterData">Guide!$K$2:$K$403</definedName>
    <definedName hidden="1" localSheetId="5" name="Z_4C7E836C_516F_4621_A32C_2C387D49B27E_.wvu.FilterData">'Ágora'!$B$2:$AC$16</definedName>
    <definedName hidden="1" localSheetId="2" name="Z_040D3792_40E9_4D79_90E4_6D14621D76AE_.wvu.FilterData">BTG!$A$1:$AN$709</definedName>
    <definedName hidden="1" localSheetId="2" name="Z_B134422F_0BCB_4FAD_B684_0ECBB777A077_.wvu.FilterData">BTG!$F$2:$F$717</definedName>
    <definedName hidden="1" localSheetId="3" name="Z_B134422F_0BCB_4FAD_B684_0ECBB777A077_.wvu.FilterData">Guide!$B$2:$BU$403</definedName>
    <definedName hidden="1" localSheetId="5" name="Z_B134422F_0BCB_4FAD_B684_0ECBB777A077_.wvu.FilterData">'Ágora'!$F$2:$F$28</definedName>
    <definedName hidden="1" localSheetId="2" name="Z_D82D0BA3_5BE7_4266_B601_586E2F81D2C0_.wvu.FilterData">BTG!$A$1:$AR$712</definedName>
    <definedName hidden="1" localSheetId="2" name="Z_06C8BAAC_A484_4177_88D0_D49357D723FA_.wvu.FilterData">BTG!$A$1:$AR$709</definedName>
    <definedName hidden="1" localSheetId="2" name="Z_C8A91D34_A752_42D1_A08D_5861997E682A_.wvu.FilterData">BTG!$A$1:$AQ$709</definedName>
    <definedName hidden="1" localSheetId="2" name="Z_FC8C1002_0B6D_4867_B64C_40A202566A54_.wvu.FilterData">BTG!$A$1:$AP$709</definedName>
    <definedName hidden="1" localSheetId="2" name="Z_8DAF2D55_C85C_42CC_97E9_4B596B444E4D_.wvu.FilterData">BTG!$AC$2:$AC$717</definedName>
    <definedName hidden="1" localSheetId="3" name="Z_8DAF2D55_C85C_42CC_97E9_4B596B444E4D_.wvu.FilterData">Guide!$K$2:$K$403</definedName>
    <definedName hidden="1" localSheetId="2" name="Z_5BE5D1E9_7E18_4418_BD1F_5AE0192959D1_.wvu.FilterData">BTG!$B$2:$AG$712</definedName>
    <definedName hidden="1" localSheetId="3" name="Z_5BE5D1E9_7E18_4418_BD1F_5AE0192959D1_.wvu.FilterData">Guide!$B$2:$S$403</definedName>
    <definedName hidden="1" localSheetId="5" name="Z_5BE5D1E9_7E18_4418_BD1F_5AE0192959D1_.wvu.FilterData">'Ágora'!$B$2:$AA$16</definedName>
    <definedName hidden="1" localSheetId="2" name="Z_F5F6A5BA_AAC7_4D16_9A24_5C7E40902730_.wvu.FilterData">BTG!$A$1:$AQ$709</definedName>
    <definedName hidden="1" localSheetId="2" name="Z_DBDCCE48_4A0D_476D_9B45_8063C31CBB73_.wvu.FilterData">BTG!$B$2:$AI$717</definedName>
    <definedName hidden="1" localSheetId="3" name="Z_DBDCCE48_4A0D_476D_9B45_8063C31CBB73_.wvu.FilterData">Guide!$A$1:$CB$395</definedName>
    <definedName hidden="1" localSheetId="5" name="Z_DBDCCE48_4A0D_476D_9B45_8063C31CBB73_.wvu.FilterData">'Ágora'!$B$2:$AC$28</definedName>
    <definedName hidden="1" localSheetId="2" name="Z_FB78BCF3_4F0E_43B3_A5A7_D5862620F371_.wvu.FilterData">BTG!$B$2:$AI$712</definedName>
    <definedName hidden="1" localSheetId="3" name="Z_FB78BCF3_4F0E_43B3_A5A7_D5862620F371_.wvu.FilterData">Guide!$K$2:$K$403</definedName>
    <definedName hidden="1" localSheetId="5" name="Z_FB78BCF3_4F0E_43B3_A5A7_D5862620F371_.wvu.FilterData">'Ágora'!$B$2:$AC$16</definedName>
    <definedName hidden="1" localSheetId="2" name="Z_DAF2277C_545F_4BDC_8B88_30CDA53D10E3_.wvu.FilterData">BTG!$A$1:$AL$712</definedName>
    <definedName hidden="1" localSheetId="2" name="Z_114A1133_5BB9_4BB1_9482_9752ABAB69AA_.wvu.FilterData">BTG!$A$1:$AM$709</definedName>
    <definedName hidden="1" localSheetId="2" name="Z_F3926AC4_7E1C_4288_B31D_B651CBA2DB0E_.wvu.FilterData">BTG!$A$1:$AP$709</definedName>
    <definedName hidden="1" localSheetId="2" name="Z_0B669242_D7BF_4995_BDC4_A6FACDB180B1_.wvu.FilterData">BTG!$A$1:$AP$709</definedName>
    <definedName hidden="1" localSheetId="2" name="Z_4ADA64E2_6C82_43DF_B641_CDED5175C63D_.wvu.FilterData">BTG!$A$2:$AQ$709</definedName>
    <definedName hidden="1" localSheetId="2" name="Z_53901DF9_4514_409A_96E9_8200D43B9608_.wvu.FilterData">BTG!$B$2:$AI$712</definedName>
    <definedName hidden="1" localSheetId="3" name="Z_53901DF9_4514_409A_96E9_8200D43B9608_.wvu.FilterData">Guide!$A$2:$CB$395</definedName>
    <definedName hidden="1" localSheetId="5" name="Z_53901DF9_4514_409A_96E9_8200D43B9608_.wvu.FilterData">'Ágora'!$B$2:$AC$16</definedName>
    <definedName hidden="1" localSheetId="2" name="Z_42AD0DA8_8D4F_4188_BF43_9353912DF123_.wvu.FilterData">BTG!$A$1:$AR$709</definedName>
    <definedName hidden="1" localSheetId="2" name="Z_A8D88191_7995_4311_985F_F0CD43FC8EB6_.wvu.FilterData">BTG!$A$1:$AP$709</definedName>
    <definedName hidden="1" localSheetId="2" name="Z_53F60B44_EBDF_4618_A6D3_5A5A6D90D69E_.wvu.FilterData">BTG!$K$2:$K$717</definedName>
    <definedName hidden="1" localSheetId="5" name="Z_53F60B44_EBDF_4618_A6D3_5A5A6D90D69E_.wvu.FilterData">'Ágora'!$K$2:$K$28</definedName>
    <definedName hidden="1" localSheetId="2" name="Z_4077DF66_E4D5_4064_BFDD_3A6E2EDC589B_.wvu.FilterData">BTG!$A$1:$AQ$709</definedName>
    <definedName hidden="1" localSheetId="2" name="Z_82AEEF9A_38F8_4383_B167_1536C8A38048_.wvu.FilterData">BTG!$B$2:$AI$717</definedName>
    <definedName hidden="1" localSheetId="5" name="Z_82AEEF9A_38F8_4383_B167_1536C8A38048_.wvu.FilterData">'Ágora'!$B$2:$AC$28</definedName>
    <definedName hidden="1" localSheetId="2" name="Z_5D3800D6_FF2D_4E87_8484_84F3007EE85B_.wvu.FilterData">BTG!$A$1:$AL$712</definedName>
    <definedName hidden="1" localSheetId="0" name="Z_6ABE31C0_E26C_48D4_98C8_D04880C01291_.wvu.FilterData">'Clientes Novos Int.'!$B$1:$N$1</definedName>
    <definedName hidden="1" localSheetId="1" name="Z_6ABE31C0_E26C_48D4_98C8_D04880C01291_.wvu.FilterData">'Clientes Novos'!$A$1:$Q$1</definedName>
    <definedName hidden="1" localSheetId="2" name="Z_6ABE31C0_E26C_48D4_98C8_D04880C01291_.wvu.FilterData">BTG!$B$2:$AK$712</definedName>
    <definedName hidden="1" localSheetId="3" name="Z_6ABE31C0_E26C_48D4_98C8_D04880C01291_.wvu.FilterData">Guide!$L$2:$L$403</definedName>
    <definedName hidden="1" localSheetId="4" name="Z_6ABE31C0_E26C_48D4_98C8_D04880C01291_.wvu.FilterData">Genial!$A$1:$BW$40</definedName>
    <definedName hidden="1" localSheetId="5" name="Z_6ABE31C0_E26C_48D4_98C8_D04880C01291_.wvu.FilterData">'Ágora'!$B$2:$AE$15</definedName>
    <definedName hidden="1" localSheetId="8" name="Z_6ABE31C0_E26C_48D4_98C8_D04880C01291_.wvu.FilterData">'Brasil Plural'!$C$2:$AF$22</definedName>
    <definedName hidden="1" localSheetId="9" name="Z_6ABE31C0_E26C_48D4_98C8_D04880C01291_.wvu.FilterData">XP!$C$1:$BO$543</definedName>
    <definedName hidden="1" localSheetId="14" name="Z_6ABE31C0_E26C_48D4_98C8_D04880C01291_.wvu.FilterData">'Saídas'!$A$2:$K$798</definedName>
    <definedName hidden="1" localSheetId="2" name="Z_8C91DC57_0262_445C_914E_B6F2732BDF05_.wvu.FilterData">BTG!$A$1:$AL$712</definedName>
    <definedName hidden="1" localSheetId="3" name="Z_8C91DC57_0262_445C_914E_B6F2732BDF05_.wvu.FilterData">Guide!$K$2:$K$403</definedName>
    <definedName hidden="1" localSheetId="2" name="Z_116EB662_3C30_46DA_916F_9EA281479AE3_.wvu.FilterData">BTG!$A$1:$AP$709</definedName>
    <definedName hidden="1" localSheetId="2" name="Z_07EA6B85_A66F_4CE6_BAFE_7F30DA1049D2_.wvu.FilterData">BTG!$A$1:$AM$712</definedName>
    <definedName hidden="1" localSheetId="2" name="Z_763CC667_343E_47DA_A419_6EC16B690ABE_.wvu.FilterData">BTG!$A$1:$F$709</definedName>
    <definedName hidden="1" localSheetId="2" name="Z_A4346B98_C4C4_498B_A2E1_AB5B3A7CB27D_.wvu.FilterData">BTG!$A$1:$AQ$709</definedName>
    <definedName hidden="1" localSheetId="2" name="Z_F9FE1536_2AAE_4F09_8322_C59B92DEE01A_.wvu.FilterData">BTG!$F$2:$F$717</definedName>
    <definedName hidden="1" localSheetId="3" name="Z_F9FE1536_2AAE_4F09_8322_C59B92DEE01A_.wvu.FilterData">Guide!$A$2:$CB$395</definedName>
    <definedName hidden="1" localSheetId="5" name="Z_F9FE1536_2AAE_4F09_8322_C59B92DEE01A_.wvu.FilterData">'Ágora'!$F$2:$F$28</definedName>
    <definedName hidden="1" localSheetId="2" name="Z_92793B76_64C0_4589_9F0B_568E3DE07800_.wvu.FilterData">BTG!$A$1:$AL$712</definedName>
    <definedName hidden="1" localSheetId="2" name="Z_E3CCBDF6_EBB9_4612_87C3_EFD8B53A87D8_.wvu.FilterData">BTG!$M$2:$M$717</definedName>
    <definedName hidden="1" localSheetId="5" name="Z_E3CCBDF6_EBB9_4612_87C3_EFD8B53A87D8_.wvu.FilterData">'Ágora'!$M$2:$M$28</definedName>
    <definedName hidden="1" localSheetId="2" name="Z_CB41510F_4579_46CA_9138_B06B562FD3CD_.wvu.FilterData">BTG!$B$2:$AJ$712</definedName>
    <definedName hidden="1" localSheetId="5" name="Z_CB41510F_4579_46CA_9138_B06B562FD3CD_.wvu.FilterData">'Ágora'!$B$2:$AD$15</definedName>
    <definedName hidden="1" localSheetId="2" name="Z_CF7EB1C5_EFC2_4602_97A1_C12E97B0113E_.wvu.FilterData">BTG!$A$2:$AR$709</definedName>
    <definedName hidden="1" localSheetId="2" name="Z_1D23FD0B_BA0E_4AA3_8709_581FB1F85E00_.wvu.FilterData">BTG!$A$1:$AP$709</definedName>
    <definedName hidden="1" localSheetId="2" name="Z_958B9DE1_BA7C_41DA_AE33_ED738922CD85_.wvu.FilterData">BTG!$A$2:$AR$709</definedName>
    <definedName hidden="1" localSheetId="2" name="Z_24B5D9D7_5A3B_4EA7_B778_29EF2BD5970D_.wvu.FilterData">BTG!$A$2:$AL$712</definedName>
    <definedName hidden="1" localSheetId="2" name="Z_85DBDBA2_2BC8_499F_A7BA_C82093D9B875_.wvu.FilterData">BTG!$F$2:$AI$717</definedName>
    <definedName hidden="1" localSheetId="3" name="Z_85DBDBA2_2BC8_499F_A7BA_C82093D9B875_.wvu.FilterData">Guide!$A$2:$CD$395</definedName>
    <definedName hidden="1" localSheetId="5" name="Z_85DBDBA2_2BC8_499F_A7BA_C82093D9B875_.wvu.FilterData">'Ágora'!$F$2:$AC$28</definedName>
    <definedName hidden="1" localSheetId="2" name="Z_8C9FCAD4_5090_44B0_A400_F6736002E2D7_.wvu.FilterData">BTG!$A$1:$AL$712</definedName>
    <definedName hidden="1" localSheetId="2" name="Z_0983671B_C43E_4C55_87EB_B8EA758CA949_.wvu.FilterData">BTG!$F$2:$F$717</definedName>
    <definedName hidden="1" localSheetId="5" name="Z_0983671B_C43E_4C55_87EB_B8EA758CA949_.wvu.FilterData">'Ágora'!$F$2:$F$28</definedName>
    <definedName hidden="1" localSheetId="2" name="Z_4B7822A7_8191_48B5_8641_08B7C6DC8065_.wvu.FilterData">BTG!$A$2:$AP$709</definedName>
    <definedName hidden="1" localSheetId="2" name="Z_08EA56DB_48A4_4245_97C6_0327E37C8FFA_.wvu.FilterData">BTG!$A$1:$AN$717</definedName>
    <definedName hidden="1" localSheetId="2" name="Z_5E270B86_1321_4BA0_ADAE_BC61EAE9B580_.wvu.FilterData">BTG!$D$2:$AI$717</definedName>
    <definedName hidden="1" localSheetId="3" name="Z_5E270B86_1321_4BA0_ADAE_BC61EAE9B580_.wvu.FilterData">Guide!$A$1:$CE$395</definedName>
    <definedName hidden="1" localSheetId="5" name="Z_5E270B86_1321_4BA0_ADAE_BC61EAE9B580_.wvu.FilterData">'Ágora'!$D$2:$AC$28</definedName>
    <definedName hidden="1" localSheetId="2" name="Z_FEFABB88_80C2_4506_AD54_D14703EFC7CC_.wvu.FilterData">BTG!$F$2:$F$717</definedName>
    <definedName hidden="1" localSheetId="5" name="Z_FEFABB88_80C2_4506_AD54_D14703EFC7CC_.wvu.FilterData">'Ágora'!$F$2:$F$28</definedName>
    <definedName hidden="1" localSheetId="2" name="Z_A2BE32A9_7FC4_4450_9555_7AB2205F74C5_.wvu.FilterData">BTG!$A$1:$AR$709</definedName>
    <definedName hidden="1" localSheetId="2" name="Z_9EC9EA22_83F8_452F_A96D_4484BDAF7C8B_.wvu.FilterData">BTG!$A$1:$AP$709</definedName>
    <definedName hidden="1" localSheetId="2" name="Z_71C59E0E_1882_4CF3_B4E8_9A991F40DD3D_.wvu.FilterData">BTG!$B$2:$AG$712</definedName>
    <definedName hidden="1" localSheetId="3" name="Z_71C59E0E_1882_4CF3_B4E8_9A991F40DD3D_.wvu.FilterData">Guide!$B$2:$S$403</definedName>
    <definedName hidden="1" localSheetId="5" name="Z_71C59E0E_1882_4CF3_B4E8_9A991F40DD3D_.wvu.FilterData">'Ágora'!$B$2:$AA$16</definedName>
    <definedName hidden="1" localSheetId="2" name="Z_993D1392_AFE3_447F_AC3F_A9FF56CD86A9_.wvu.FilterData">BTG!$A$1:$AM$717</definedName>
    <definedName hidden="1" localSheetId="2" name="Z_BBF9EDB6_27CD_45A5_AD96_BEB52F7E184F_.wvu.FilterData">BTG!$AR$5:$AR$706</definedName>
    <definedName hidden="1" localSheetId="2" name="Z_8601E151_3167_4004_BAF4_1AD8E319BAF6_.wvu.FilterData">BTG!$A$1:$AP$709</definedName>
    <definedName hidden="1" localSheetId="2" name="Z_AB219C54_7AED_4137_A1B3_FD726073CA89_.wvu.FilterData">BTG!$A$2:$AP$709</definedName>
    <definedName hidden="1" localSheetId="2" name="Z_A53364DD_B514_4EA2_8A9F_51739C5C6493_.wvu.FilterData">BTG!$AH$2:$AH$717</definedName>
    <definedName hidden="1" localSheetId="3" name="Z_A53364DD_B514_4EA2_8A9F_51739C5C6493_.wvu.FilterData">Guide!$A$2:$CD$395</definedName>
    <definedName hidden="1" localSheetId="5" name="Z_A53364DD_B514_4EA2_8A9F_51739C5C6493_.wvu.FilterData">'Ágora'!$AB$2:$AB$28</definedName>
    <definedName hidden="1" localSheetId="2" name="Z_D261A082_2317_434E_870C_3DF13ED0E6A5_.wvu.FilterData">BTG!$B$2:$AG$712</definedName>
    <definedName hidden="1" localSheetId="3" name="Z_D261A082_2317_434E_870C_3DF13ED0E6A5_.wvu.FilterData">Guide!$K$2:$S$403</definedName>
    <definedName hidden="1" localSheetId="5" name="Z_D261A082_2317_434E_870C_3DF13ED0E6A5_.wvu.FilterData">'Ágora'!$B$2:$AA$16</definedName>
    <definedName hidden="1" localSheetId="2" name="Z_B89A428D_4683_4D1E_A33A_B71F52213C26_.wvu.FilterData">BTG!$B$2:$AJ$712</definedName>
    <definedName hidden="1" localSheetId="5" name="Z_B89A428D_4683_4D1E_A33A_B71F52213C26_.wvu.FilterData">'Ágora'!$B$2:$AD$15</definedName>
    <definedName hidden="1" localSheetId="2" name="Z_08B80006_9FBD_4C50_B931_7AE1BAD7DE28_.wvu.FilterData">BTG!$A$1:$AQ$709</definedName>
    <definedName hidden="1" localSheetId="2" name="Z_1090F16F_BD9E_479B_AFD5_820BB42AB0DC_.wvu.FilterData">BTG!$D$2:$K$717</definedName>
    <definedName hidden="1" localSheetId="3" name="Z_1090F16F_BD9E_479B_AFD5_820BB42AB0DC_.wvu.FilterData">Guide!$A$1:$CA$403</definedName>
    <definedName hidden="1" localSheetId="5" name="Z_1090F16F_BD9E_479B_AFD5_820BB42AB0DC_.wvu.FilterData">'Ágora'!$D$2:$K$28</definedName>
    <definedName hidden="1" localSheetId="2" name="Z_F8CF9002_B06E_45BE_8A5F_5F71D5628DB1_.wvu.FilterData">BTG!$A$1:$AR$709</definedName>
    <definedName hidden="1" localSheetId="2" name="Z_5CD27AE0_8190_43F5_AED6_243D464FE985_.wvu.FilterData">BTG!$A$1:$AQ$709</definedName>
    <definedName hidden="1" localSheetId="2" name="Z_CE2E488F_75A5_47AE_BF0D_BD1A0BF97758_.wvu.FilterData">BTG!$A$1:$AT$712</definedName>
    <definedName hidden="1" localSheetId="2" name="Z_74C6DE91_012A_43B1_9A44_F591F5A49024_.wvu.FilterData">BTG!$B$2:$AJ$712</definedName>
    <definedName hidden="1" localSheetId="5" name="Z_74C6DE91_012A_43B1_9A44_F591F5A49024_.wvu.FilterData">'Ágora'!$B$2:$AD$15</definedName>
    <definedName hidden="1" localSheetId="2" name="Z_3C9C460F_7DEE_4D1A_871D_BBB862AA7E25_.wvu.FilterData">BTG!$A$1:$AL$712</definedName>
    <definedName hidden="1" localSheetId="3" name="Z_3C9C460F_7DEE_4D1A_871D_BBB862AA7E25_.wvu.FilterData">Guide!$B$2:$BR$395</definedName>
    <definedName hidden="1" localSheetId="2" name="Z_14AD66D1_5300_40DC_BAB6_177D96961717_.wvu.FilterData">BTG!$A$1:$AP$709</definedName>
    <definedName hidden="1" localSheetId="2" name="Z_E2F9465B_B4AA_48E5_9369_43AB4226F5DE_.wvu.FilterData">BTG!$J$1:$P$708</definedName>
    <definedName hidden="1" localSheetId="2" name="Z_CC80A606_E18D_4874_9084_D8DC89EF886A_.wvu.FilterData">BTG!$B$2:$AI$712</definedName>
    <definedName hidden="1" localSheetId="5" name="Z_CC80A606_E18D_4874_9084_D8DC89EF886A_.wvu.FilterData">'Ágora'!$B$2:$AC$16</definedName>
    <definedName hidden="1" localSheetId="0" name="Z_DDAD74BE_86DE_4367_A5CC_7F0296794B75_.wvu.FilterData">'Clientes Novos Int.'!$B$1:$J$1</definedName>
    <definedName hidden="1" localSheetId="1" name="Z_DDAD74BE_86DE_4367_A5CC_7F0296794B75_.wvu.FilterData">'Clientes Novos'!$A$1:$I$1</definedName>
    <definedName hidden="1" localSheetId="2" name="Z_DDAD74BE_86DE_4367_A5CC_7F0296794B75_.wvu.FilterData">BTG!$K$2:$L$717</definedName>
    <definedName hidden="1" localSheetId="3" name="Z_DDAD74BE_86DE_4367_A5CC_7F0296794B75_.wvu.FilterData">Guide!$K$2:$S$241</definedName>
    <definedName hidden="1" localSheetId="4" name="Z_DDAD74BE_86DE_4367_A5CC_7F0296794B75_.wvu.FilterData">Genial!$A$2:$BZ$31</definedName>
    <definedName hidden="1" localSheetId="5" name="Z_DDAD74BE_86DE_4367_A5CC_7F0296794B75_.wvu.FilterData">'Ágora'!$K$2:$L$28</definedName>
    <definedName hidden="1" localSheetId="9" name="Z_DDAD74BE_86DE_4367_A5CC_7F0296794B75_.wvu.FilterData">XP!$C$1:$BT$543</definedName>
    <definedName hidden="1" localSheetId="2" name="Z_05257AA6_5B92_48D0_A088_15AE2B8FD74A_.wvu.FilterData">BTG!$A$2:$AO$709</definedName>
    <definedName hidden="1" localSheetId="2" name="Z_44EEAA0D_6FB5_4FB0_8890_79C55AE8A442_.wvu.FilterData">BTG!$K$2:$K$717</definedName>
    <definedName hidden="1" localSheetId="3" name="Z_44EEAA0D_6FB5_4FB0_8890_79C55AE8A442_.wvu.FilterData">Guide!$B$2:$S$403</definedName>
    <definedName hidden="1" localSheetId="5" name="Z_44EEAA0D_6FB5_4FB0_8890_79C55AE8A442_.wvu.FilterData">'Ágora'!$K$2:$K$28</definedName>
    <definedName hidden="1" localSheetId="0" name="Z_C5A526B1_B488_46A7_A394_1C2652CF562E_.wvu.FilterData">'Clientes Novos Int.'!$D$1</definedName>
    <definedName hidden="1" localSheetId="1" name="Z_C5A526B1_B488_46A7_A394_1C2652CF562E_.wvu.FilterData">'Clientes Novos'!$C$1</definedName>
    <definedName hidden="1" localSheetId="2" name="Z_C5A526B1_B488_46A7_A394_1C2652CF562E_.wvu.FilterData">BTG!$B$2:$AG$712</definedName>
    <definedName hidden="1" localSheetId="3" name="Z_C5A526B1_B488_46A7_A394_1C2652CF562E_.wvu.FilterData">Guide!$B$2:$BR$395</definedName>
    <definedName hidden="1" localSheetId="5" name="Z_C5A526B1_B488_46A7_A394_1C2652CF562E_.wvu.FilterData">'Ágora'!$B$2:$AA$16</definedName>
    <definedName hidden="1" localSheetId="2" name="Z_FAFB7355_3511_4971_B6D7_5B1C47398093_.wvu.FilterData">BTG!$AJ$2:$AJ$717</definedName>
    <definedName hidden="1" localSheetId="5" name="Z_FAFB7355_3511_4971_B6D7_5B1C47398093_.wvu.FilterData">'Ágora'!$AD$2:$AD$28</definedName>
    <definedName hidden="1" localSheetId="2" name="Z_99409BBF_B825_473E_B85E_DDD62A1792CB_.wvu.FilterData">BTG!$F$2:$F$717</definedName>
    <definedName hidden="1" localSheetId="5" name="Z_99409BBF_B825_473E_B85E_DDD62A1792CB_.wvu.FilterData">'Ágora'!$F$2:$F$28</definedName>
    <definedName hidden="1" localSheetId="2" name="Z_2316AC53_F9C5_4323_B29B_9DB6D2EC6D21_.wvu.FilterData">BTG!$B$2:$AJ$712</definedName>
    <definedName hidden="1" localSheetId="5" name="Z_2316AC53_F9C5_4323_B29B_9DB6D2EC6D21_.wvu.FilterData">'Ágora'!$B$2:$AD$15</definedName>
    <definedName hidden="1" localSheetId="2" name="Z_4B9A8B31_9805_4C2F_B7BA_95293CF049E0_.wvu.FilterData">BTG!$A$2:$AQ$709</definedName>
    <definedName hidden="1" localSheetId="2" name="Z_6FAA38CA_4887_41B6_A633_08D6E3A394F8_.wvu.FilterData">BTG!$B$2:$AI$712</definedName>
    <definedName hidden="1" localSheetId="5" name="Z_6FAA38CA_4887_41B6_A633_08D6E3A394F8_.wvu.FilterData">'Ágora'!$B$2:$AC$16</definedName>
    <definedName hidden="1" localSheetId="2" name="Z_6994DBCD_E022_4A48_A5E5_713ED8D51C56_.wvu.FilterData">BTG!$A$1:$AP$709</definedName>
    <definedName hidden="1" localSheetId="2" name="Z_9CFDA89C_F9C0_4CDA_9E07_0A03DAC4824D_.wvu.FilterData">BTG!$A$1:$AQ$709</definedName>
    <definedName hidden="1" localSheetId="2" name="Z_F40E1BC1_10E8_49B7_B93C_0C0203EE3CE5_.wvu.FilterData">BTG!$AI$2:$AI$717</definedName>
    <definedName hidden="1" localSheetId="3" name="Z_F40E1BC1_10E8_49B7_B93C_0C0203EE3CE5_.wvu.FilterData">Guide!$A$1:$CC$395</definedName>
    <definedName hidden="1" localSheetId="5" name="Z_F40E1BC1_10E8_49B7_B93C_0C0203EE3CE5_.wvu.FilterData">'Ágora'!$AC$2:$AC$28</definedName>
    <definedName hidden="1" localSheetId="2" name="Z_B5E87A19_4591_4899_8666_0DD1BD25480F_.wvu.FilterData">BTG!$A$1:$AL$712</definedName>
    <definedName hidden="1" localSheetId="2" name="Z_1D734B6E_A280_4CC5_9CF1_59776C13B30A_.wvu.FilterData">BTG!$A$1:$AL$712</definedName>
    <definedName hidden="1" localSheetId="2" name="Z_D5788DD4_C243_4F7C_BB9D_BE988D4E0E5E_.wvu.FilterData">BTG!$A$1:$AL$712</definedName>
    <definedName hidden="1" localSheetId="3" name="Z_D5788DD4_C243_4F7C_BB9D_BE988D4E0E5E_.wvu.FilterData">Guide!$B$2:$BS$395</definedName>
    <definedName hidden="1" localSheetId="2" name="Z_AB3ED06F_4D46_40A9_9768_3CC98FCAEF1A_.wvu.FilterData">BTG!$F$2:$F$717</definedName>
    <definedName hidden="1" localSheetId="3" name="Z_AB3ED06F_4D46_40A9_9768_3CC98FCAEF1A_.wvu.FilterData">Guide!$A$1:$CC$395</definedName>
    <definedName hidden="1" localSheetId="5" name="Z_AB3ED06F_4D46_40A9_9768_3CC98FCAEF1A_.wvu.FilterData">'Ágora'!$F$2:$F$28</definedName>
    <definedName hidden="1" localSheetId="2" name="Z_82BBDE4B_1903_4F52_BF7C_9EF911885ABE_.wvu.FilterData">BTG!$AB$2:$AB$717</definedName>
    <definedName hidden="1" localSheetId="3" name="Z_82BBDE4B_1903_4F52_BF7C_9EF911885ABE_.wvu.FilterData">Guide!$K$2:$K$403</definedName>
    <definedName hidden="1" localSheetId="2" name="Z_FE51A6EC_E4D3_48B1_82F1_BC837F3DAF78_.wvu.FilterData">BTG!$A$1:$AL$712</definedName>
    <definedName hidden="1" localSheetId="2" name="Z_09584AB8_19AC_47F9_882C_B0AFD4BE0C8E_.wvu.FilterData">BTG!$A$1:$AP$709</definedName>
    <definedName hidden="1" localSheetId="2" name="Z_56DCD043_62A4_43D9_96EA_73EE16C4E404_.wvu.FilterData">BTG!$A$1:$AP$709</definedName>
    <definedName hidden="1" localSheetId="2" name="Z_2E80172B_6512_4575_B651_61EDF66C7F41_.wvu.FilterData">BTG!$B$2:$AJ$717</definedName>
    <definedName hidden="1" localSheetId="5" name="Z_2E80172B_6512_4575_B651_61EDF66C7F41_.wvu.FilterData">'Ágora'!$B$2:$AD$28</definedName>
    <definedName hidden="1" localSheetId="2" name="Z_9E43057B_E338_45AA_8340_8C53E4DB09F1_.wvu.FilterData">BTG!$A$1:$AR$709</definedName>
    <definedName hidden="1" localSheetId="2" name="Z_661149BC_C4AD_401C_A44B_54049A13E71C_.wvu.FilterData">BTG!$A$1:$AP$709</definedName>
    <definedName hidden="1" localSheetId="2" name="Z_A9B23163_7C0D_4211_A1A5_E11724E4BA96_.wvu.FilterData">BTG!$A$1:$AM$716</definedName>
    <definedName hidden="1" localSheetId="2" name="Z_7985F08F_21D0_4857_B343_A169B2E7E8B8_.wvu.FilterData">BTG!$D$2:$F$717</definedName>
    <definedName hidden="1" localSheetId="5" name="Z_7985F08F_21D0_4857_B343_A169B2E7E8B8_.wvu.FilterData">'Ágora'!$D$2:$F$28</definedName>
    <definedName hidden="1" localSheetId="2" name="Z_B615DBA7_BA75_4741_85A9_63E212DB71B5_.wvu.FilterData">BTG!$A$1:$AO$709</definedName>
    <definedName hidden="1" localSheetId="2" name="Z_3634CF08_937C_4CF8_B768_C5E6E298DA4F_.wvu.FilterData">BTG!$A$1:$AO$709</definedName>
    <definedName hidden="1" localSheetId="2" name="Z_EC71F891_BDF5_4277_B3C5_733BFFE40ED3_.wvu.FilterData">BTG!$A$2:$AO$709</definedName>
    <definedName hidden="1" localSheetId="2" name="Z_31698E10_DDA8_4AA1_9F60_2AAAD4F9FAA4_.wvu.FilterData">BTG!$F$2:$M$717</definedName>
    <definedName hidden="1" localSheetId="5" name="Z_31698E10_DDA8_4AA1_9F60_2AAAD4F9FAA4_.wvu.FilterData">'Ágora'!$F$2:$M$28</definedName>
    <definedName hidden="1" localSheetId="2" name="Z_226B9BF2_3F37_4358_80AD_E570E17984BA_.wvu.FilterData">BTG!$D$2:$E$711</definedName>
    <definedName hidden="1" localSheetId="2" name="Z_51B6FB93_5024_4D2B_9955_3F7A33A9238D_.wvu.FilterData">BTG!$A$2:$AP$709</definedName>
    <definedName hidden="1" localSheetId="2" name="Z_1DB96AF3_9D3E_4838_913C_C0F399928E52_.wvu.FilterData">BTG!$A$1:$AT$712</definedName>
    <definedName hidden="1" localSheetId="2" name="Z_EA986F07_F992_43A4_B104_04F9160A389A_.wvu.FilterData">BTG!$A$1:$AR$709</definedName>
    <definedName hidden="1" localSheetId="2" name="Z_E55E08A7_A684_4713_A0EB_DCADA8951F89_.wvu.FilterData">BTG!$A$2:$AQ$709</definedName>
    <definedName hidden="1" localSheetId="2" name="Z_56AC6FDE_4140_439E_B4CE_6ACCAB7B9E36_.wvu.FilterData">BTG!$A$1:$AR$712</definedName>
    <definedName hidden="1" localSheetId="2" name="Z_D0E602DE_7A28_4214_94C1_5159DB039D8B_.wvu.FilterData">BTG!$K$2:$K$717</definedName>
    <definedName hidden="1" localSheetId="5" name="Z_D0E602DE_7A28_4214_94C1_5159DB039D8B_.wvu.FilterData">'Ágora'!$K$2:$K$28</definedName>
    <definedName hidden="1" localSheetId="2" name="Z_D2225096_4480_40B0_8B8D_B6829460A6C1_.wvu.FilterData">BTG!$A$2:$AR$709</definedName>
    <definedName hidden="1" localSheetId="2" name="Z_7B3B018A_4DE5_4C51_AA54_9AE75068E0FD_.wvu.FilterData">BTG!$A$2:$AP$709</definedName>
    <definedName hidden="1" localSheetId="2" name="Z_36C090E8_0299_4B4F_B985_9F261B984FCE_.wvu.FilterData">BTG!$A$1:$AM$717</definedName>
    <definedName hidden="1" localSheetId="2" name="Z_A21317A7_0E6A_4599_BC00_DD2BF812D344_.wvu.FilterData">BTG!$A$1:$AP$709</definedName>
    <definedName hidden="1" localSheetId="0" name="Z_E0AF2585_D166_4CBA_8664_0A24674CFAF8_.wvu.FilterData">'Clientes Novos Int.'!$B$1:$N$1</definedName>
    <definedName hidden="1" localSheetId="1" name="Z_E0AF2585_D166_4CBA_8664_0A24674CFAF8_.wvu.FilterData">'Clientes Novos'!$A$1:$Q$1</definedName>
    <definedName hidden="1" localSheetId="2" name="Z_E0AF2585_D166_4CBA_8664_0A24674CFAF8_.wvu.FilterData">BTG!$B$2:$AK$712</definedName>
    <definedName hidden="1" localSheetId="3" name="Z_E0AF2585_D166_4CBA_8664_0A24674CFAF8_.wvu.FilterData">Guide!$K$2:$K$403</definedName>
    <definedName hidden="1" localSheetId="2" name="Z_6ABAC057_47AB_4D66_8AB9_16F905EB4625_.wvu.FilterData">BTG!$A$1:$AR$709</definedName>
    <definedName hidden="1" localSheetId="2" name="Z_9F8B5FEB_7FE7_466B_AB18_6D70DA8F7083_.wvu.FilterData">BTG!$A$1:$AP$717</definedName>
    <definedName hidden="1" localSheetId="2" name="Z_D21F6F67_9CAE_4BE6_A778_559037510E73_.wvu.FilterData">BTG!$A$1:$AL$712</definedName>
    <definedName hidden="1" localSheetId="2" name="Z_0E55175E_B0D7_41AC_A41E_2922B5D6F4C3_.wvu.FilterData">BTG!$B$2:$AJ$712</definedName>
    <definedName hidden="1" localSheetId="5" name="Z_0E55175E_B0D7_41AC_A41E_2922B5D6F4C3_.wvu.FilterData">'Ágora'!$B$2:$AD$15</definedName>
    <definedName hidden="1" localSheetId="2" name="Z_94C56A70_A484_4B0E_9C29_F9E2925BF8B5_.wvu.FilterData">BTG!$A$1:$AO$709</definedName>
    <definedName hidden="1" localSheetId="2" name="Z_D16A5FC9_148E_4A75_B7F7_DEC824DC0AC8_.wvu.FilterData">BTG!$D$2:$AI$717</definedName>
    <definedName hidden="1" localSheetId="3" name="Z_D16A5FC9_148E_4A75_B7F7_DEC824DC0AC8_.wvu.FilterData">Guide!$A$2:$CC$395</definedName>
    <definedName hidden="1" localSheetId="5" name="Z_D16A5FC9_148E_4A75_B7F7_DEC824DC0AC8_.wvu.FilterData">'Ágora'!$D$2:$AC$28</definedName>
    <definedName hidden="1" localSheetId="2" name="Z_55B7646E_B15E_44B7_B0C4_C088194CE831_.wvu.FilterData">BTG!$D$2:$F$717</definedName>
    <definedName hidden="1" localSheetId="5" name="Z_55B7646E_B15E_44B7_B0C4_C088194CE831_.wvu.FilterData">'Ágora'!$D$2:$F$28</definedName>
    <definedName hidden="1" localSheetId="2" name="Z_C2204E23_B517_4FA0_8988_3EB0CD6DE0AB_.wvu.FilterData">BTG!$A$1:$AM$712</definedName>
    <definedName hidden="1" localSheetId="2" name="Z_C96DF2B4_0F66_4C6F_8CEF_1ADCD3DF88CC_.wvu.FilterData">BTG!$A$1:$AR$709</definedName>
    <definedName hidden="1" localSheetId="2" name="Z_B492C1FC_D422_4235_AE0B_37C500566990_.wvu.FilterData">BTG!$A$1:$AO$709</definedName>
    <definedName hidden="1" localSheetId="2" name="Z_0C82A4DC_E90D_4212_AD6A_1F8F21B2AA56_.wvu.FilterData">BTG!$D$2:$F$717</definedName>
    <definedName hidden="1" localSheetId="5" name="Z_0C82A4DC_E90D_4212_AD6A_1F8F21B2AA56_.wvu.FilterData">'Ágora'!$D$2:$F$28</definedName>
    <definedName hidden="1" localSheetId="2" name="Z_D4A83559_B735_4B8E_BC96_FAE015508A07_.wvu.FilterData">BTG!$B$2:$AJ$712</definedName>
    <definedName hidden="1" localSheetId="5" name="Z_D4A83559_B735_4B8E_BC96_FAE015508A07_.wvu.FilterData">'Ágora'!$B$2:$AD$16</definedName>
    <definedName hidden="1" localSheetId="2" name="Z_3E5207BF_E6E6_4F4B_B7D1_F4B2C6BFE1E5_.wvu.FilterData">BTG!$A$1:$AM$717</definedName>
    <definedName hidden="1" localSheetId="2" name="Z_7F0A67C3_03F1_4BCC_B437_089B1EA42E65_.wvu.FilterData">BTG!$B$2:$AG$712</definedName>
    <definedName hidden="1" localSheetId="3" name="Z_7F0A67C3_03F1_4BCC_B437_089B1EA42E65_.wvu.FilterData">Guide!$B$2:$BS$395</definedName>
    <definedName hidden="1" localSheetId="5" name="Z_7F0A67C3_03F1_4BCC_B437_089B1EA42E65_.wvu.FilterData">'Ágora'!$B$2:$AA$16</definedName>
    <definedName hidden="1" localSheetId="2" name="Z_A570573B_8D53_4EE2_BD7B_675539CBE30F_.wvu.FilterData">BTG!$Q$2:$Q$717</definedName>
    <definedName hidden="1" localSheetId="5" name="Z_A570573B_8D53_4EE2_BD7B_675539CBE30F_.wvu.FilterData">'Ágora'!$Q$2:$Q$28</definedName>
    <definedName hidden="1" localSheetId="2" name="Z_D148E6E7_2EE6_49BE_A9BD_71FE251D74D6_.wvu.FilterData">BTG!$B$2:$AJ$712</definedName>
    <definedName hidden="1" localSheetId="5" name="Z_D148E6E7_2EE6_49BE_A9BD_71FE251D74D6_.wvu.FilterData">'Ágora'!$B$2:$AD$15</definedName>
    <definedName hidden="1" localSheetId="2" name="Z_52109A24_5DD9_4107_B95F_203A6F6A7914_.wvu.FilterData">BTG!$A$2:$AR$709</definedName>
    <definedName hidden="1" localSheetId="2" name="Z_423350F7_2108_43BC_A31E_A367EEBBA113_.wvu.FilterData">BTG!$B$2:$AI$712</definedName>
    <definedName hidden="1" localSheetId="3" name="Z_423350F7_2108_43BC_A31E_A367EEBBA113_.wvu.FilterData">Guide!$A$1:$CE$395</definedName>
    <definedName hidden="1" localSheetId="5" name="Z_423350F7_2108_43BC_A31E_A367EEBBA113_.wvu.FilterData">'Ágora'!$B$2:$AC$16</definedName>
    <definedName hidden="1" localSheetId="2" name="Z_D81B9D93_C257_4334_B6B3_71353CB41B4C_.wvu.FilterData">BTG!$A$2:$AR$709</definedName>
    <definedName hidden="1" localSheetId="2" name="Z_3F606140_0F41_49C8_AB6B_BFE3DE206A48_.wvu.FilterData">BTG!$A$1:$AM$717</definedName>
    <definedName hidden="1" localSheetId="2" name="Z_E65D8B3E_1655_4F67_B0B4_3628FEF8BEF6_.wvu.FilterData">BTG!$B$2:$AJ$712</definedName>
    <definedName hidden="1" localSheetId="5" name="Z_E65D8B3E_1655_4F67_B0B4_3628FEF8BEF6_.wvu.FilterData">'Ágora'!$B$2:$AD$15</definedName>
    <definedName hidden="1" localSheetId="0" name="Z_0F73EE46_FEA2_4915_B2A3_49F2E0F02A22_.wvu.FilterData">'Clientes Novos Int.'!$B$1:$N$1</definedName>
    <definedName hidden="1" localSheetId="1" name="Z_0F73EE46_FEA2_4915_B2A3_49F2E0F02A22_.wvu.FilterData">'Clientes Novos'!$A$1:$Q$1</definedName>
    <definedName hidden="1" localSheetId="2" name="Z_0F73EE46_FEA2_4915_B2A3_49F2E0F02A22_.wvu.FilterData">BTG!$A$2:$AL$712</definedName>
    <definedName hidden="1" localSheetId="3" name="Z_0F73EE46_FEA2_4915_B2A3_49F2E0F02A22_.wvu.FilterData">Guide!$K$2:$K$403</definedName>
    <definedName hidden="1" localSheetId="2" name="Z_CD6D1556_1285_48E7_8A61_EED0F4ED38AA_.wvu.FilterData">BTG!$A$1:$AM$717</definedName>
    <definedName hidden="1" localSheetId="2" name="Z_A94FA106_16EE_486E_84B0_759F85D20B85_.wvu.FilterData">BTG!$A$1:$AL$712</definedName>
    <definedName hidden="1" localSheetId="2" name="Z_837B731C_91EB_4546_8923_C1676EFBFBBA_.wvu.FilterData">BTG!$A$1:$AO$709</definedName>
    <definedName hidden="1" localSheetId="2" name="Z_8ED94DC3_6AAF_4F10_A172_8BED5A7CF69F_.wvu.FilterData">BTG!$B$2:$AJ$712</definedName>
    <definedName hidden="1" localSheetId="5" name="Z_8ED94DC3_6AAF_4F10_A172_8BED5A7CF69F_.wvu.FilterData">'Ágora'!$B$2:$AD$15</definedName>
  </definedNames>
  <calcPr/>
  <customWorkbookViews>
    <customWorkbookView activeSheetId="0" maximized="1" windowHeight="0" windowWidth="0" guid="{A523B058-775F-4482-973A-8D9D70FC373D}" name="Filtro 59"/>
    <customWorkbookView activeSheetId="0" maximized="1" windowHeight="0" windowWidth="0" guid="{1D734B6E-A280-4CC5-9CF1-59776C13B30A}" name="Filtro 57"/>
    <customWorkbookView activeSheetId="0" maximized="1" windowHeight="0" windowWidth="0" guid="{0983671B-C43E-4C55-87EB-B8EA758CA949}" name="Filtro 58"/>
    <customWorkbookView activeSheetId="0" maximized="1" windowHeight="0" windowWidth="0" guid="{53F60B44-EBDF-4618-A6D3-5A5A6D90D69E}" name="Filtro 55"/>
    <customWorkbookView activeSheetId="0" maximized="1" windowHeight="0" windowWidth="0" guid="{D0E602DE-7A28-4214-94C1-5159DB039D8B}" name="Filtro 56"/>
    <customWorkbookView activeSheetId="0" maximized="1" windowHeight="0" windowWidth="0" guid="{FAFB7355-3511-4971-B6D7-5B1C47398093}" name="Filtro 53"/>
    <customWorkbookView activeSheetId="0" maximized="1" windowHeight="0" windowWidth="0" guid="{E001AA13-DCCE-4CB6-99F7-154443258DDF}" name="Filtro 54"/>
    <customWorkbookView activeSheetId="0" maximized="1" windowHeight="0" windowWidth="0" guid="{D4A83559-B735-4B8E-BC96-FAE015508A07}" name="Filtro 51"/>
    <customWorkbookView activeSheetId="0" maximized="1" windowHeight="0" windowWidth="0" guid="{27A544DE-9100-4FAD-8196-177D626201DB}" name="Filtro 52"/>
    <customWorkbookView activeSheetId="0" maximized="1" windowHeight="0" windowWidth="0" guid="{14AD66D1-5300-40DC-BAB6-177D96961717}" name="Filtro 118"/>
    <customWorkbookView activeSheetId="0" maximized="1" windowHeight="0" windowWidth="0" guid="{1D23FD0B-BA0E-4AA3-8709-581FB1F85E00}" name="Filtro 119"/>
    <customWorkbookView activeSheetId="0" maximized="1" windowHeight="0" windowWidth="0" guid="{99409BBF-B825-473E-B85E-DDD62A1792CB}" name="Filtro 50"/>
    <customWorkbookView activeSheetId="0" maximized="1" windowHeight="0" windowWidth="0" guid="{661149BC-C4AD-401C-A44B-54049A13E71C}" name="Filtro 125"/>
    <customWorkbookView activeSheetId="0" maximized="1" windowHeight="0" windowWidth="0" guid="{51B6FB93-5024-4D2B-9955-3F7A33A9238D}" name="Filtro 126"/>
    <customWorkbookView activeSheetId="0" maximized="1" windowHeight="0" windowWidth="0" guid="{663CCCD2-7E93-4256-8A2F-1D0B3721B68E}" name="Filtro 127"/>
    <customWorkbookView activeSheetId="0" maximized="1" windowHeight="0" windowWidth="0" guid="{7F3C9BDE-93C6-441E-A6F0-FE38FE8CC3AA}" name="Filtro 128"/>
    <customWorkbookView activeSheetId="0" maximized="1" windowHeight="0" windowWidth="0" guid="{0B669242-D7BF-4995-BDC4-A6FACDB180B1}" name="Filtro 121"/>
    <customWorkbookView activeSheetId="0" maximized="1" windowHeight="0" windowWidth="0" guid="{09584AB8-19AC-47F9-882C-B0AFD4BE0C8E}" name="Filtro 122"/>
    <customWorkbookView activeSheetId="0" maximized="1" windowHeight="0" windowWidth="0" guid="{9EC9EA22-83F8-452F-A96D-4484BDAF7C8B}" name="Filtro 123"/>
    <customWorkbookView activeSheetId="0" maximized="1" windowHeight="0" windowWidth="0" guid="{4BA204EE-6D5B-4DEC-A50D-C95DB79131CF}" name="Filtro 124"/>
    <customWorkbookView activeSheetId="0" maximized="1" windowHeight="0" windowWidth="0" guid="{56DCD043-62A4-43D9-96EA-73EE16C4E404}" name="Filtro 120"/>
    <customWorkbookView activeSheetId="0" maximized="1" windowHeight="0" windowWidth="0" guid="{AC82BF55-DA9A-426C-B5E1-71D7F2B82A4C}" name="Filtro 68"/>
    <customWorkbookView activeSheetId="0" maximized="1" windowHeight="0" windowWidth="0" guid="{CB41510F-4579-46CA-9138-B06B562FD3CD}" name="Filtro 69"/>
    <customWorkbookView activeSheetId="0" maximized="1" windowHeight="0" windowWidth="0" guid="{CB8773AC-02D6-4041-9A72-DE8DF63722B0}" name="Filtro 66"/>
    <customWorkbookView activeSheetId="0" maximized="1" windowHeight="0" windowWidth="0" guid="{2316AC53-F9C5-4323-B29B-9DB6D2EC6D21}" name="Filtro 67"/>
    <customWorkbookView activeSheetId="0" maximized="1" windowHeight="0" windowWidth="0" guid="{92AFC83B-4DEA-4A51-B68E-472825B7FCAA}" name="Filtro 64"/>
    <customWorkbookView activeSheetId="0" maximized="1" windowHeight="0" windowWidth="0" guid="{002759FD-F800-4EE3-AE2E-7162D41A6CCC}" name="Filtro 65"/>
    <customWorkbookView activeSheetId="0" maximized="1" windowHeight="0" windowWidth="0" guid="{B5E87A19-4591-4899-8666-0DD1BD25480F}" name="Filtro 62"/>
    <customWorkbookView activeSheetId="0" maximized="1" windowHeight="0" windowWidth="0" guid="{CD3A1677-267D-482A-A9C2-9B8E71ED351A}" name="Filtro 63"/>
    <customWorkbookView activeSheetId="0" maximized="1" windowHeight="0" windowWidth="0" guid="{05257AA6-5B92-48D0-A088-15AE2B8FD74A}" name="Filtro 107"/>
    <customWorkbookView activeSheetId="0" maximized="1" windowHeight="0" windowWidth="0" guid="{D148E6E7-2EE6-49BE-A9BD-71FE251D74D6}" name="Filtro 60"/>
    <customWorkbookView activeSheetId="0" maximized="1" windowHeight="0" windowWidth="0" guid="{3634CF08-937C-4CF8-B768-C5E6E298DA4F}" name="Filtro 108"/>
    <customWorkbookView activeSheetId="0" maximized="1" windowHeight="0" windowWidth="0" guid="{8ED94DC3-6AAF-4F10-A172-8BED5A7CF69F}" name="Filtro 61"/>
    <customWorkbookView activeSheetId="0" maximized="1" windowHeight="0" windowWidth="0" guid="{B492C1FC-D422-4235-AE0B-37C500566990}" name="Filtro 109"/>
    <customWorkbookView activeSheetId="0" maximized="1" windowHeight="0" windowWidth="0" guid="{8601E151-3167-4004-BAF4-1AD8E319BAF6}" name="Filtro 114"/>
    <customWorkbookView activeSheetId="0" maximized="1" windowHeight="0" windowWidth="0" guid="{6994DBCD-E022-4A48-A5E5-713ED8D51C56}" name="Filtro 115"/>
    <customWorkbookView activeSheetId="0" maximized="1" windowHeight="0" windowWidth="0" guid="{D481CC72-5287-4654-8448-0E0B9A82A529}" name="Filtro 116"/>
    <customWorkbookView activeSheetId="0" maximized="1" windowHeight="0" windowWidth="0" guid="{A8D88191-7995-4311-985F-F0CD43FC8EB6}" name="Filtro 117"/>
    <customWorkbookView activeSheetId="0" maximized="1" windowHeight="0" windowWidth="0" guid="{EC71F891-BDF5-4277-B3C5-733BFFE40ED3}" name="Filtro 110"/>
    <customWorkbookView activeSheetId="0" maximized="1" windowHeight="0" windowWidth="0" guid="{FC8C1002-0B6D-4867-B64C-40A202566A54}" name="Filtro 111"/>
    <customWorkbookView activeSheetId="0" maximized="1" windowHeight="0" windowWidth="0" guid="{9F8B5FEB-7FE7-466B-AB18-6D70DA8F7083}" name="Filtro 112"/>
    <customWorkbookView activeSheetId="0" maximized="1" windowHeight="0" windowWidth="0" guid="{803A3BD7-21B9-4395-A417-32F00FD4CEE6}" name="Filtro 113"/>
    <customWorkbookView activeSheetId="0" maximized="1" windowHeight="0" windowWidth="0" guid="{0262B4A4-219A-4910-927E-3C8B98501B55}" name="Filtro 79"/>
    <customWorkbookView activeSheetId="0" maximized="1" windowHeight="0" windowWidth="0" guid="{92793B76-64C0-4589-9F0B-568E3DE07800}" name="Filtro 77"/>
    <customWorkbookView activeSheetId="0" maximized="1" windowHeight="0" windowWidth="0" guid="{24B5D9D7-5A3B-4EA7-B778-29EF2BD5970D}" name="Filtro 78"/>
    <customWorkbookView activeSheetId="0" maximized="1" windowHeight="0" windowWidth="0" guid="{8C9FCAD4-5090-44B0-A400-F6736002E2D7}" name="Filtro 75"/>
    <customWorkbookView activeSheetId="0" maximized="1" windowHeight="0" windowWidth="0" guid="{D21F6F67-9CAE-4BE6-A778-559037510E73}" name="Filtro 76"/>
    <customWorkbookView activeSheetId="0" maximized="1" windowHeight="0" windowWidth="0" guid="{E65D8B3E-1655-4F67-B0B4-3628FEF8BEF6}" name="Filtro 73"/>
    <customWorkbookView activeSheetId="0" maximized="1" windowHeight="0" windowWidth="0" guid="{0E55175E-B0D7-41AC-A41E-2922B5D6F4C3}" name="Filtro 74"/>
    <customWorkbookView activeSheetId="0" maximized="1" windowHeight="0" windowWidth="0" guid="{74C6DE91-012A-43B1-9A44-F591F5A49024}" name="Filtro 71"/>
    <customWorkbookView activeSheetId="0" maximized="1" windowHeight="0" windowWidth="0" guid="{B89A428D-4683-4D1E-A33A-B71F52213C26}" name="Filtro 72"/>
    <customWorkbookView activeSheetId="0" maximized="1" windowHeight="0" windowWidth="0" guid="{A570573B-8D53-4EE2-BD7B-675539CBE30F}" name="Filtro 70"/>
    <customWorkbookView activeSheetId="0" maximized="1" windowHeight="0" windowWidth="0" guid="{F5F6A5BA-AAC7-4D16-9A24-5C7E40902730}" name="Filtro 147"/>
    <customWorkbookView activeSheetId="0" maximized="1" windowHeight="0" windowWidth="0" guid="{13020B47-8608-47EB-88CF-A5A3ED7FB186}" name="Filtro 148"/>
    <customWorkbookView activeSheetId="0" maximized="1" windowHeight="0" windowWidth="0" guid="{E55E08A7-A684-4713-A0EB-DCADA8951F89}" name="Filtro 149"/>
    <customWorkbookView activeSheetId="0" maximized="1" windowHeight="0" windowWidth="0" guid="{8532BC20-4043-49D8-AC0B-6564AB1B466D}" name="Filtro 143"/>
    <customWorkbookView activeSheetId="0" maximized="1" windowHeight="0" windowWidth="0" guid="{5CD27AE0-8190-43F5-AED6-243D464FE985}" name="Filtro 144"/>
    <customWorkbookView activeSheetId="0" maximized="1" windowHeight="0" windowWidth="0" guid="{A4346B98-C4C4-498B-A2E1-AB5B3A7CB27D}" name="Filtro 145"/>
    <customWorkbookView activeSheetId="0" maximized="1" windowHeight="0" windowWidth="0" guid="{C25B8CD3-D49F-49C1-84E2-78ABA8CA21DD}" name="Filtro 146"/>
    <customWorkbookView activeSheetId="0" maximized="1" windowHeight="0" windowWidth="0" guid="{9CFDA89C-F9C0-4CDA-9E07-0A03DAC4824D}" name="Filtro 140"/>
    <customWorkbookView activeSheetId="0" maximized="1" windowHeight="0" windowWidth="0" guid="{226B9BF2-3F37-4358-80AD-E570E17984BA}" name="Filtro 141"/>
    <customWorkbookView activeSheetId="0" maximized="1" windowHeight="0" windowWidth="0" guid="{1A402AE6-EA80-4266-BF99-BE51A40E5833}" name="Filtro 142"/>
    <customWorkbookView activeSheetId="0" maximized="1" windowHeight="0" windowWidth="0" guid="{A9B23163-7C0D-4211-A1A5-E11724E4BA96}" name="Filtro 88"/>
    <customWorkbookView activeSheetId="0" maximized="1" windowHeight="0" windowWidth="0" guid="{E2F9465B-B4AA-48E5-9369-43AB4226F5DE}" name="Filtro 89"/>
    <customWorkbookView activeSheetId="0" maximized="1" windowHeight="0" windowWidth="0" guid="{C2204E23-B517-4FA0-8988-3EB0CD6DE0AB}" name="Filtro 86"/>
    <customWorkbookView activeSheetId="0" maximized="1" windowHeight="0" windowWidth="0" guid="{07EA6B85-A66F-4CE6-BAFE-7F30DA1049D2}" name="Filtro 87"/>
    <customWorkbookView activeSheetId="0" maximized="1" windowHeight="0" windowWidth="0" guid="{DAF2277C-545F-4BDC-8B88-30CDA53D10E3}" name="Filtro 84"/>
    <customWorkbookView activeSheetId="0" maximized="1" windowHeight="0" windowWidth="0" guid="{A94FA106-16EE-486E-84B0-759F85D20B85}" name="Filtro 85"/>
    <customWorkbookView activeSheetId="0" maximized="1" windowHeight="0" windowWidth="0" guid="{116EB662-3C30-46DA-916F-9EA281479AE3}" name="Filtro 129"/>
    <customWorkbookView activeSheetId="0" maximized="1" windowHeight="0" windowWidth="0" guid="{3070CD03-FA60-45BD-8ADF-C9712F83623E}" name="Filtro 82"/>
    <customWorkbookView activeSheetId="0" maximized="1" windowHeight="0" windowWidth="0" guid="{4E65F573-EBD6-4FCA-999B-70F64F8AB073}" name="Filtro 83"/>
    <customWorkbookView activeSheetId="0" maximized="1" windowHeight="0" windowWidth="0" guid="{5D3800D6-FF2D-4E87-8484-84F3007EE85B}" name="Filtro 80"/>
    <customWorkbookView activeSheetId="0" maximized="1" windowHeight="0" windowWidth="0" guid="{FE51A6EC-E4D3-48B1-82F1-BC837F3DAF78}" name="Filtro 81"/>
    <customWorkbookView activeSheetId="0" maximized="1" windowHeight="0" windowWidth="0" guid="{AB219C54-7AED-4137-A1B3-FD726073CA89}" name="Filtro 136"/>
    <customWorkbookView activeSheetId="0" maximized="1" windowHeight="0" windowWidth="0" guid="{4077DF66-E4D5-4064-BFDD-3A6E2EDC589B}" name="Filtro 137"/>
    <customWorkbookView activeSheetId="0" maximized="1" windowHeight="0" windowWidth="0" guid="{08B80006-9FBD-4C50-B931-7AE1BAD7DE28}" name="Filtro 138"/>
    <customWorkbookView activeSheetId="0" maximized="1" windowHeight="0" windowWidth="0" guid="{DDFB3275-1379-4EEA-AC46-B01810C73646}" name="Filtro 139"/>
    <customWorkbookView activeSheetId="0" maximized="1" windowHeight="0" windowWidth="0" guid="{4B7822A7-8191-48B5-8641-08B7C6DC8065}" name="Filtro 132"/>
    <customWorkbookView activeSheetId="0" maximized="1" windowHeight="0" windowWidth="0" guid="{7F01E67B-DBD5-43CE-B3D3-DA4FFA0F0937}" name="Filtro 133"/>
    <customWorkbookView activeSheetId="0" maximized="1" windowHeight="0" windowWidth="0" guid="{F3926AC4-7E1C-4288-B31D-B651CBA2DB0E}" name="Filtro 134"/>
    <customWorkbookView activeSheetId="0" maximized="1" windowHeight="0" windowWidth="0" guid="{57E860CC-A3A3-4629-957E-F9B6AD5E06B0}" name="Filtro 135"/>
    <customWorkbookView activeSheetId="0" maximized="1" windowHeight="0" windowWidth="0" guid="{7B3B018A-4DE5-4C51-AA54-9AE75068E0FD}" name="Filtro 130"/>
    <customWorkbookView activeSheetId="0" maximized="1" windowHeight="0" windowWidth="0" guid="{A21317A7-0E6A-4599-BC00-DD2BF812D344}" name="Filtro 131"/>
    <customWorkbookView activeSheetId="0" maximized="1" windowHeight="0" windowWidth="0" guid="{4C7E836C-516F-4621-A32C-2C387D49B27E}" name="Filtro 17"/>
    <customWorkbookView activeSheetId="0" maximized="1" windowHeight="0" windowWidth="0" guid="{8C91DC57-0262-445C-914E-B6F2732BDF05}" name="Filtro 18"/>
    <customWorkbookView activeSheetId="0" maximized="1" windowHeight="0" windowWidth="0" guid="{FB78BCF3-4F0E-43B3-A5A7-D5862620F371}" name="Filtro 15"/>
    <customWorkbookView activeSheetId="0" maximized="1" windowHeight="0" windowWidth="0" guid="{5079BA01-902B-4C06-91F5-DAFF8F7CCF2D}" name="Filtro 16"/>
    <customWorkbookView activeSheetId="0" maximized="1" windowHeight="0" windowWidth="0" guid="{D261A082-2317-434E-870C-3DF13ED0E6A5}" name="Filtro 13"/>
    <customWorkbookView activeSheetId="0" maximized="1" windowHeight="0" windowWidth="0" guid="{7F0A67C3-03F1-4BCC-B437-089B1EA42E65}" name="Filtro 14"/>
    <customWorkbookView activeSheetId="0" maximized="1" windowHeight="0" windowWidth="0" guid="{040D3792-40E9-4D79-90E4-6D14621D76AE}" name="Filtro 99"/>
    <customWorkbookView activeSheetId="0" maximized="1" windowHeight="0" windowWidth="0" guid="{5BE5D1E9-7E18-4418-BD1F-5AE0192959D1}" name="Filtro 11"/>
    <customWorkbookView activeSheetId="0" maximized="1" windowHeight="0" windowWidth="0" guid="{C6FB1A09-FD62-4025-928B-7E80270CDB6C}" name="Filtro 12"/>
    <customWorkbookView activeSheetId="0" maximized="1" windowHeight="0" windowWidth="0" guid="{710DB259-D3C1-49BA-B5F3-65C6F595E227}" name="Filtro 97"/>
    <customWorkbookView activeSheetId="0" maximized="1" windowHeight="0" windowWidth="0" guid="{08EA56DB-48A4-4245-97C6-0327E37C8FFA}" name="Filtro 98"/>
    <customWorkbookView activeSheetId="0" maximized="1" windowHeight="0" windowWidth="0" guid="{44EEAA0D-6FB5-4FB0-8890-79C55AE8A442}" name="Filtro 10"/>
    <customWorkbookView activeSheetId="0" maximized="1" windowHeight="0" windowWidth="0" guid="{CD6D1556-1285-48E7-8A61-EED0F4ED38AA}" name="Filtro 95"/>
    <customWorkbookView activeSheetId="0" maximized="1" windowHeight="0" windowWidth="0" guid="{3E5207BF-E6E6-4F4B-B7D1-F4B2C6BFE1E5}" name="Filtro 96"/>
    <customWorkbookView activeSheetId="0" maximized="1" windowHeight="0" windowWidth="0" guid="{993D1392-AFE3-447F-AC3F-A9FF56CD86A9}" name="Filtro 93"/>
    <customWorkbookView activeSheetId="0" maximized="1" windowHeight="0" windowWidth="0" guid="{114A1133-5BB9-4BB1-9482-9752ABAB69AA}" name="Filtro 94"/>
    <customWorkbookView activeSheetId="0" maximized="1" windowHeight="0" windowWidth="0" guid="{36C090E8-0299-4B4F-B985-9F261B984FCE}" name="Filtro 91"/>
    <customWorkbookView activeSheetId="0" maximized="1" windowHeight="0" windowWidth="0" guid="{3F606140-0F41-49C8-AB6B-BFE3DE206A48}" name="Filtro 92"/>
    <customWorkbookView activeSheetId="0" maximized="1" windowHeight="0" windowWidth="0" guid="{A2BE32A9-7FC4-4450-9555-7AB2205F74C5}" name="Filtro 169"/>
    <customWorkbookView activeSheetId="0" maximized="1" windowHeight="0" windowWidth="0" guid="{9D41C457-8B07-47BC-BEF4-396DB93950A4}" name="Filtro 90"/>
    <customWorkbookView activeSheetId="0" maximized="1" windowHeight="0" windowWidth="0" guid="{52109A24-5DD9-4107-B95F-203A6F6A7914}" name="Filtro 165"/>
    <customWorkbookView activeSheetId="0" maximized="1" windowHeight="0" windowWidth="0" guid="{567ED6FE-F710-4604-AD25-12EC85CEBEEE}" name="Filtro 166"/>
    <customWorkbookView activeSheetId="0" maximized="1" windowHeight="0" windowWidth="0" guid="{0335C01C-A8D6-47B9-8969-72D2AC80F1D3}" name="Filtro 167"/>
    <customWorkbookView activeSheetId="0" maximized="1" windowHeight="0" windowWidth="0" guid="{F3D9F0AB-F6CA-4517-8F4A-57B3906D71E9}" name="Filtro 168"/>
    <customWorkbookView activeSheetId="0" maximized="1" windowHeight="0" windowWidth="0" guid="{958B9DE1-BA7C-41DA-AE33-ED738922CD85}" name="Filtro 161"/>
    <customWorkbookView activeSheetId="0" maximized="1" windowHeight="0" windowWidth="0" guid="{CF7EB1C5-EFC2-4602-97A1-C12E97B0113E}" name="Filtro 162"/>
    <customWorkbookView activeSheetId="0" maximized="1" windowHeight="0" windowWidth="0" guid="{D81B9D93-C257-4334-B6B3-71353CB41B4C}" name="Filtro 163"/>
    <customWorkbookView activeSheetId="0" maximized="1" windowHeight="0" windowWidth="0" guid="{E1939334-B421-4DCA-B9EE-43D3F33E6002}" name="Filtro 164"/>
    <customWorkbookView activeSheetId="0" maximized="1" windowHeight="0" windowWidth="0" guid="{BBF9EDB6-27CD-45A5-AD96-BEB52F7E184F}" name="Filtro 160"/>
    <customWorkbookView activeSheetId="0" maximized="1" windowHeight="0" windowWidth="0" guid="{F40E1BC1-10E8-49B7-B93C-0C0203EE3CE5}" name="Filtro 28"/>
    <customWorkbookView activeSheetId="0" maximized="1" windowHeight="0" windowWidth="0" guid="{D16A5FC9-148E-4A75-B7F7-DEC824DC0AC8}" name="Filtro 29"/>
    <customWorkbookView activeSheetId="0" maximized="1" windowHeight="0" windowWidth="0" guid="{F9FE1536-2AAE-4F09-8322-C59B92DEE01A}" name="Filtro 26"/>
    <customWorkbookView activeSheetId="0" maximized="1" windowHeight="0" windowWidth="0" guid="{53901DF9-4514-409A-96E9-8200D43B9608}" name="Filtro 27"/>
    <customWorkbookView activeSheetId="0" maximized="1" windowHeight="0" windowWidth="0" guid="{D5788DD4-C243-4F7C-BB9D-BE988D4E0E5E}" name="Filtro 8"/>
    <customWorkbookView activeSheetId="0" maximized="1" windowHeight="0" windowWidth="0" guid="{82BBDE4B-1903-4F52-BF7C-9EF911885ABE}" name="Filtro 24"/>
    <customWorkbookView activeSheetId="0" maximized="1" windowHeight="0" windowWidth="0" guid="{1FF07CE0-5A2F-4971-BB66-06AB92C22061}" name="Filtro 9"/>
    <customWorkbookView activeSheetId="0" maximized="1" windowHeight="0" windowWidth="0" guid="{DBDCCE48-4A0D-476D-9B45-8063C31CBB73}" name="Filtro 25"/>
    <customWorkbookView activeSheetId="0" maximized="1" windowHeight="0" windowWidth="0" guid="{B134422F-0BCB-4FAD-B684-0ECBB777A077}" name="Filtro 22"/>
    <customWorkbookView activeSheetId="0" maximized="1" windowHeight="0" windowWidth="0" guid="{8DAF2D55-C85C-42CC-97E9-4B596B444E4D}" name="Filtro 23"/>
    <customWorkbookView activeSheetId="0" maximized="1" windowHeight="0" windowWidth="0" guid="{F7729247-6799-449B-B0B7-A7DEE599FFFE}" name="Filtro 20"/>
    <customWorkbookView activeSheetId="0" maximized="1" windowHeight="0" windowWidth="0" guid="{1090F16F-BD9E-479B-AFD5-820BB42AB0DC}" name="Filtro 21"/>
    <customWorkbookView activeSheetId="0" maximized="1" windowHeight="0" windowWidth="0" guid="{42AD0DA8-8D4F-4188-BF43-9353912DF123}" name="Filtro 158"/>
    <customWorkbookView activeSheetId="0" maximized="1" windowHeight="0" windowWidth="0" guid="{06C8BAAC-A484-4177-88D0-D49357D723FA}" name="Filtro 159"/>
    <customWorkbookView activeSheetId="0" maximized="1" windowHeight="0" windowWidth="0" guid="{9E43057B-E338-45AA-8340-8C53E4DB09F1}" name="Filtro 154"/>
    <customWorkbookView activeSheetId="0" maximized="1" windowHeight="0" windowWidth="0" guid="{5B308F4F-4DC3-4E1E-B1C7-8867D887031D}" name="Filtro 155"/>
    <customWorkbookView activeSheetId="0" maximized="1" windowHeight="0" windowWidth="0" guid="{D2225096-4480-40B0-8B8D-B6829460A6C1}" name="Filtro 156"/>
    <customWorkbookView activeSheetId="0" maximized="1" windowHeight="0" windowWidth="0" guid="{F8CF9002-B06E-45BE-8A5F-5F71D5628DB1}" name="Filtro 157"/>
    <customWorkbookView activeSheetId="0" maximized="1" windowHeight="0" windowWidth="0" guid="{C8A91D34-A752-42D1-A08D-5861997E682A}" name="Filtro 150"/>
    <customWorkbookView activeSheetId="0" maximized="1" windowHeight="0" windowWidth="0" guid="{4B9A8B31-9805-4C2F-B7BA-95293CF049E0}" name="Filtro 151"/>
    <customWorkbookView activeSheetId="0" maximized="1" windowHeight="0" windowWidth="0" guid="{763CC667-343E-47DA-A419-6EC16B690ABE}" name="Filtro 152"/>
    <customWorkbookView activeSheetId="0" maximized="1" windowHeight="0" windowWidth="0" guid="{4ADA64E2-6C82-43DF-B641-CDED5175C63D}" name="Filtro 153"/>
    <customWorkbookView activeSheetId="0" maximized="1" windowHeight="0" windowWidth="0" guid="{66EC0AA8-93B3-4E99-AC53-0ABE46566A17}" name="Filtro 19"/>
    <customWorkbookView activeSheetId="0" maximized="1" windowHeight="0" windowWidth="0" guid="{CC80A606-E18D-4874-9084-D8DC89EF886A}" name="Filtro 39"/>
    <customWorkbookView activeSheetId="0" maximized="1" windowHeight="0" windowWidth="0" guid="{55B7646E-B15E-44B7-B0C4-C088194CE831}" name="Filtro 37"/>
    <customWorkbookView activeSheetId="0" maximized="1" windowHeight="0" windowWidth="0" guid="{82AEEF9A-38F8-4383-B167-1536C8A38048}" name="Filtro 38"/>
    <customWorkbookView activeSheetId="0" maximized="1" windowHeight="0" windowWidth="0" guid="{2387C231-1730-4402-A9BF-7885B6D4DCDC}" name="Filtro 35"/>
    <customWorkbookView activeSheetId="0" maximized="1" windowHeight="0" windowWidth="0" guid="{7985F08F-21D0-4857-B343-A169B2E7E8B8}" name="Filtro 36"/>
    <customWorkbookView activeSheetId="0" maximized="1" windowHeight="0" windowWidth="0" guid="{5E270B86-1321-4BA0-ADAE-BC61EAE9B580}" name="Filtro 33"/>
    <customWorkbookView activeSheetId="0" maximized="1" windowHeight="0" windowWidth="0" guid="{423350F7-2108-43BC-A31E-A367EEBBA113}" name="Filtro 34"/>
    <customWorkbookView activeSheetId="0" maximized="1" windowHeight="0" windowWidth="0" guid="{85DBDBA2-2BC8-499F-A7BA-C82093D9B875}" name="Filtro 31"/>
    <customWorkbookView activeSheetId="0" maximized="1" windowHeight="0" windowWidth="0" guid="{A53364DD-B514-4EA2-8A9F-51739C5C6493}" name="Filtro 32"/>
    <customWorkbookView activeSheetId="0" maximized="1" windowHeight="0" windowWidth="0" guid="{AB3ED06F-4D46-40A9-9768-3CC98FCAEF1A}" name="Filtro 30"/>
    <customWorkbookView activeSheetId="0" maximized="1" windowHeight="0" windowWidth="0" guid="{837B731C-91EB-4546-8923-C1676EFBFBBA}" name="Filtro 103"/>
    <customWorkbookView activeSheetId="0" maximized="1" windowHeight="0" windowWidth="0" guid="{644F76FA-9AD7-4D9A-B381-9F62EFB4C7A9}" name="Filtro 104"/>
    <customWorkbookView activeSheetId="0" maximized="1" windowHeight="0" windowWidth="0" guid="{B615DBA7-BA75-4741-85A9-63E212DB71B5}" name="Filtro 105"/>
    <customWorkbookView activeSheetId="0" maximized="1" windowHeight="0" windowWidth="0" guid="{44316468-38AC-42CD-AE38-9E646E512E64}" name="Filtro 106"/>
    <customWorkbookView activeSheetId="0" maximized="1" windowHeight="0" windowWidth="0" guid="{C34DA610-4FA0-47F5-AAFD-7453E6C4DDA8}" name="Filtro 100"/>
    <customWorkbookView activeSheetId="0" maximized="1" windowHeight="0" windowWidth="0" guid="{94C56A70-A484-4B0E-9C29-F9E2925BF8B5}" name="Filtro 101"/>
    <customWorkbookView activeSheetId="0" maximized="1" windowHeight="0" windowWidth="0" guid="{F0A612BA-9E11-465C-8006-C124422FE96E}" name="Filtro 102"/>
    <customWorkbookView activeSheetId="0" maximized="1" windowHeight="0" windowWidth="0" guid="{C5A526B1-B488-46A7-A394-1C2652CF562E}" name="Filtro 4"/>
    <customWorkbookView activeSheetId="0" maximized="1" windowHeight="0" windowWidth="0" guid="{0F73EE46-FEA2-4915-B2A3-49F2E0F02A22}" name="Filtro 5"/>
    <customWorkbookView activeSheetId="0" maximized="1" windowHeight="0" windowWidth="0" guid="{3C9C460F-7DEE-4D1A-871D-BBB862AA7E25}" name="Filtro 6"/>
    <customWorkbookView activeSheetId="0" maximized="1" windowHeight="0" windowWidth="0" guid="{71C59E0E-1882-4CF3-B4E8-9A991F40DD3D}" name="Filtro 7"/>
    <customWorkbookView activeSheetId="0" maximized="1" windowHeight="0" windowWidth="0" guid="{6ABE31C0-E26C-48D4-98C8-D04880C01291}" name="Filtro 1"/>
    <customWorkbookView activeSheetId="0" maximized="1" windowHeight="0" windowWidth="0" guid="{DDAD74BE-86DE-4367-A5CC-7F0296794B75}" name="Filtro 2"/>
    <customWorkbookView activeSheetId="0" maximized="1" windowHeight="0" windowWidth="0" guid="{E0AF2585-D166-4CBA-8664-0A24674CFAF8}" name="Filtro 3"/>
    <customWorkbookView activeSheetId="0" maximized="1" windowHeight="0" windowWidth="0" guid="{2E80172B-6512-4575-B651-61EDF66C7F41}" name="Filtro 48"/>
    <customWorkbookView activeSheetId="0" maximized="1" windowHeight="0" windowWidth="0" guid="{31698E10-DDA8-4AA1-9F60-2AAAD4F9FAA4}" name="Filtro 49"/>
    <customWorkbookView activeSheetId="0" maximized="1" windowHeight="0" windowWidth="0" guid="{0C82A4DC-E90D-4212-AD6A-1F8F21B2AA56}" name="Filtro 46"/>
    <customWorkbookView activeSheetId="0" maximized="1" windowHeight="0" windowWidth="0" guid="{52CEA6DB-7667-480F-8EC6-4A45716C3F0A}" name="Filtro 47"/>
    <customWorkbookView activeSheetId="0" maximized="1" windowHeight="0" windowWidth="0" guid="{FEFABB88-80C2-4506-AD54-D14703EFC7CC}" name="Filtro 44"/>
    <customWorkbookView activeSheetId="0" maximized="1" windowHeight="0" windowWidth="0" guid="{9CF884E3-577D-4B19-8C96-BC1C0F198B06}" name="Filtro 45"/>
    <customWorkbookView activeSheetId="0" maximized="1" windowHeight="0" windowWidth="0" guid="{AE3A7B01-A561-4105-8E56-82290752D097}" name="Filtro 42"/>
    <customWorkbookView activeSheetId="0" maximized="1" windowHeight="0" windowWidth="0" guid="{D9BA31C7-D462-49F9-80B1-DFF2D04F5779}" name="Filtro 43"/>
    <customWorkbookView activeSheetId="0" maximized="1" windowHeight="0" windowWidth="0" guid="{6FAA38CA-4887-41B6-A633-08D6E3A394F8}" name="Filtro 40"/>
    <customWorkbookView activeSheetId="0" maximized="1" windowHeight="0" windowWidth="0" guid="{E3CCBDF6-EBB9-4612-87C3-EFD8B53A87D8}" name="Filtro 41"/>
    <customWorkbookView activeSheetId="0" maximized="1" windowHeight="0" windowWidth="0" guid="{CE2E488F-75A5-47AE-BF0D-BD1A0BF97758}" name="Filtro 176"/>
    <customWorkbookView activeSheetId="0" maximized="1" windowHeight="0" windowWidth="0" guid="{77C0285F-4D42-43ED-8C9D-F4C7ABDCF97C}" name="Filtro 177"/>
    <customWorkbookView activeSheetId="0" maximized="1" windowHeight="0" windowWidth="0" guid="{1DB96AF3-9D3E-4838-913C-C0F399928E52}" name="Filtro 178"/>
    <customWorkbookView activeSheetId="0" maximized="1" windowHeight="0" windowWidth="0" guid="{EA986F07-F992-43A4-B104-04F9160A389A}" name="Filtro 172"/>
    <customWorkbookView activeSheetId="0" maximized="1" windowHeight="0" windowWidth="0" guid="{6ABAC057-47AB-4D66-8AB9-16F905EB4625}" name="Filtro 173"/>
    <customWorkbookView activeSheetId="0" maximized="1" windowHeight="0" windowWidth="0" guid="{56AC6FDE-4140-439E-B4CE-6ACCAB7B9E36}" name="Filtro 174"/>
    <customWorkbookView activeSheetId="0" maximized="1" windowHeight="0" windowWidth="0" guid="{D82D0BA3-5BE7-4266-B601-586E2F81D2C0}" name="Filtro 175"/>
    <customWorkbookView activeSheetId="0" maximized="1" windowHeight="0" windowWidth="0" guid="{B8880C94-87C5-4142-8BDE-8EC3E16BF146}" name="Filtro 170"/>
    <customWorkbookView activeSheetId="0" maximized="1" windowHeight="0" windowWidth="0" guid="{C96DF2B4-0F66-4C6F-8CEF-1ADCD3DF88CC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<sst xmlns="http://schemas.openxmlformats.org/spreadsheetml/2006/main" count="38702" uniqueCount="6258">
  <si>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</si>
  <si>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</si>
  <si>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</si>
  <si>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</si>
  <si>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</si>
  <si>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</si>
  <si>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</si>
  <si>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</si>
  <si>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</si>
  <si>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</si>
  <si>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</si>
  <si>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</si>
  <si>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</si>
  <si>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</si>
  <si>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</si>
  <si>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</si>
  <si>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</si>
  <si>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</si>
  <si>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</si>
  <si>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</si>
  <si>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</si>
  <si>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</si>
  <si>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</si>
  <si>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</si>
  <si>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</si>
  <si>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</si>
  <si>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</si>
  <si>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</si>
  <si>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</si>
  <si>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</si>
  <si>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</si>
  <si>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</si>
  <si>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</si>
  <si>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</si>
  <si>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</si>
  <si>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</si>
  <si>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</si>
  <si>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</si>
  <si>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</si>
  <si>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</si>
  <si>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</si>
  <si>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</si>
  <si>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</si>
  <si>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</si>
  <si>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</si>
  <si>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</si>
  <si>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</si>
  <si>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</si>
  <si>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</si>
  <si>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</si>
  <si>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</si>
  <si>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VR Label Industria Grafica LTDA</t>
  </si>
  <si>
    <t>Hugo Motta</t>
  </si>
  <si>
    <t>Aguardando Suitability</t>
  </si>
  <si>
    <t>CORP</t>
  </si>
  <si>
    <t>97.523.216/0001-73</t>
  </si>
  <si>
    <t>Bernardo Pitaluga Peret Antunes</t>
  </si>
  <si>
    <t>005262440</t>
  </si>
  <si>
    <t>Luca Bueno</t>
  </si>
  <si>
    <t>Pendente assinaturas</t>
  </si>
  <si>
    <t>INC</t>
  </si>
  <si>
    <t>Alt de CA / Realizar a saída gradual das ações, visando essa alteração nao gerar nenhum prejuízo na carteria do cliente.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</si>
  <si>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</si>
  <si>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</si>
  <si>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</si>
  <si>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</si>
  <si>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</si>
  <si>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</si>
  <si>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</si>
  <si>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</si>
  <si>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</si>
  <si>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</si>
  <si>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</si>
  <si>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</si>
  <si>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</si>
  <si>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</si>
  <si>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</si>
  <si>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</si>
  <si>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</si>
  <si>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</si>
  <si>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</si>
  <si>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</si>
  <si>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</si>
  <si>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</si>
  <si>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</si>
  <si>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</si>
  <si>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Voga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</si>
  <si>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</si>
  <si>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</si>
  <si>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</si>
  <si>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</si>
  <si>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</si>
  <si>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</si>
  <si>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</si>
  <si>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</si>
  <si>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</si>
  <si>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</si>
  <si>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</si>
  <si>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</si>
  <si>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</si>
  <si>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</si>
  <si>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</si>
  <si>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</si>
  <si>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</si>
  <si>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</si>
  <si>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</si>
  <si>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</si>
  <si>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</si>
  <si>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</si>
  <si>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</si>
  <si>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</si>
  <si>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</si>
  <si>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</si>
  <si>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</si>
  <si>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</si>
  <si>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</si>
  <si>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</si>
  <si>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</si>
  <si>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</si>
  <si>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</si>
  <si>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</si>
  <si>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</si>
  <si>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</si>
  <si>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</si>
  <si>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</si>
  <si>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</si>
  <si>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</si>
  <si>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</si>
  <si>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</si>
  <si>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</si>
  <si>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</si>
  <si>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</si>
  <si>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</si>
  <si>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</si>
  <si>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</si>
  <si>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</si>
  <si>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</si>
  <si>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</si>
  <si>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</si>
  <si>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</si>
  <si>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</si>
  <si>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</si>
  <si>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</si>
  <si>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</si>
  <si>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</si>
  <si>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</si>
  <si>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</si>
  <si>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</si>
  <si>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</si>
  <si>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</si>
  <si>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</si>
  <si>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</si>
  <si>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</si>
  <si>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</si>
  <si>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</si>
  <si>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</si>
  <si>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</si>
  <si>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</si>
  <si>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</si>
  <si>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</si>
  <si>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</si>
  <si>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</si>
  <si>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</si>
  <si>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</si>
  <si>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</si>
  <si>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</si>
  <si>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</si>
  <si>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</si>
  <si>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</si>
  <si>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</si>
  <si>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</si>
  <si>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</si>
  <si>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</si>
  <si>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</si>
  <si>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</si>
  <si>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</si>
  <si>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</si>
  <si>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</si>
  <si>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</si>
  <si>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</si>
  <si>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</si>
  <si>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</si>
  <si>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</si>
  <si>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</si>
  <si>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</si>
  <si>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</si>
  <si>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</si>
  <si>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</si>
  <si>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</si>
  <si>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</si>
  <si>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</si>
  <si>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</si>
  <si>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</si>
  <si>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</si>
  <si>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</si>
  <si>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</si>
  <si>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</si>
  <si>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</si>
  <si>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</si>
  <si>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</si>
  <si>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</si>
  <si>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Felipe Rios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</si>
  <si>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</si>
  <si>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</si>
  <si>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</si>
  <si>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</si>
  <si>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</si>
  <si>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</si>
  <si>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</si>
  <si>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</si>
  <si>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</si>
  <si>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</si>
  <si>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</si>
  <si>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</si>
  <si>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</si>
  <si>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</si>
  <si>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</si>
  <si>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</si>
  <si>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</si>
  <si>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</si>
  <si>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</si>
  <si>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</si>
  <si>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</si>
  <si>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</si>
  <si>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</si>
  <si>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</si>
  <si>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</si>
  <si>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</si>
  <si>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</si>
  <si>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</si>
  <si>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</si>
  <si>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</si>
  <si>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</si>
  <si>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</si>
  <si>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</si>
  <si>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</si>
  <si>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</si>
  <si>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</si>
  <si>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</si>
  <si>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</si>
  <si>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</si>
  <si>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</si>
  <si>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</si>
  <si>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</si>
  <si>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</si>
  <si>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</si>
  <si>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</si>
  <si>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</si>
  <si>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</si>
  <si>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</si>
  <si>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</si>
  <si>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</si>
  <si>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</si>
  <si>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</si>
  <si>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</si>
  <si>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</si>
  <si>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</si>
  <si>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</si>
  <si>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</si>
  <si>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</si>
  <si>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</si>
  <si>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</si>
  <si>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</si>
  <si>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</si>
  <si>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</si>
  <si>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</si>
  <si>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</si>
  <si>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</si>
  <si>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</si>
  <si>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</si>
  <si>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</si>
  <si>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</si>
  <si>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</si>
  <si>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</si>
  <si>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</si>
  <si>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</si>
  <si>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</si>
  <si>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</si>
  <si>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</si>
  <si>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</si>
  <si>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</si>
  <si>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</si>
  <si>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</si>
  <si>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</si>
  <si>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</si>
  <si>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</si>
  <si>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</si>
  <si>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</si>
  <si>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</si>
  <si>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</si>
  <si>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</si>
  <si>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</si>
  <si>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</si>
  <si>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</si>
  <si>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</si>
  <si>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</si>
  <si>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</si>
  <si>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</si>
  <si>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</si>
  <si>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</si>
  <si>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</si>
  <si>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</si>
  <si>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</si>
  <si>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</si>
  <si>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</si>
  <si>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</si>
  <si>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</si>
  <si>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</si>
  <si>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</si>
  <si>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</si>
  <si>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</si>
  <si>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</si>
  <si>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</si>
  <si>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</si>
  <si>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</si>
  <si>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</si>
  <si>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</si>
  <si>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</si>
  <si>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Arrojado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</si>
  <si>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</si>
  <si>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</si>
  <si>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</si>
  <si>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</si>
  <si>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</si>
  <si>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</si>
  <si>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</si>
  <si>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</si>
  <si>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</si>
  <si>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</si>
  <si>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</si>
  <si>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</si>
  <si>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</si>
  <si>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</si>
  <si>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</si>
  <si>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</si>
  <si>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</si>
  <si>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</si>
  <si>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</si>
  <si>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</si>
  <si>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</si>
  <si>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</si>
  <si>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</si>
  <si>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</si>
  <si>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</si>
  <si>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</si>
  <si>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</si>
  <si>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</si>
  <si>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</si>
  <si>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</si>
  <si>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</si>
  <si>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</si>
  <si>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</si>
  <si>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</si>
  <si>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</si>
  <si>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</si>
  <si>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</si>
  <si>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</si>
  <si>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</si>
  <si>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</si>
  <si>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</si>
  <si>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</si>
  <si>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</si>
  <si>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</si>
  <si>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</si>
  <si>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</si>
  <si>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</si>
  <si>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</si>
  <si>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</si>
  <si>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</si>
  <si>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</si>
  <si>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</si>
  <si>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</si>
  <si>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</si>
  <si>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</si>
  <si>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</si>
  <si>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</si>
  <si>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</si>
  <si>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</si>
  <si>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</si>
  <si>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</si>
  <si>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</si>
  <si>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</si>
  <si>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</si>
  <si>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</si>
  <si>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</si>
  <si>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</si>
  <si>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</si>
  <si>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</si>
  <si>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</si>
  <si>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</si>
  <si>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</si>
  <si>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</si>
  <si>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</si>
  <si>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</si>
  <si>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</si>
  <si>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</si>
  <si>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</si>
  <si>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</si>
  <si>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</si>
  <si>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</si>
  <si>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</si>
  <si>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</si>
  <si>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</si>
  <si>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</si>
  <si>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</si>
  <si>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</si>
  <si>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</si>
  <si>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</si>
  <si>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</si>
  <si>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</si>
  <si>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</si>
  <si>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</si>
  <si>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</si>
  <si>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</si>
  <si>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</si>
  <si>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</si>
  <si>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</si>
  <si>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</si>
  <si>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</si>
  <si>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</si>
  <si>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</si>
  <si>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</si>
  <si>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</si>
  <si>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</si>
  <si>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</si>
  <si>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</si>
  <si>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</si>
  <si>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</si>
  <si>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</si>
  <si>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</si>
  <si>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</si>
  <si>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</si>
  <si>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</si>
  <si>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</si>
  <si>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</si>
  <si>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</si>
  <si>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</si>
  <si>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</si>
  <si>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</si>
  <si>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</si>
  <si>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</si>
  <si>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</si>
  <si>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</si>
  <si>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</si>
  <si>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</si>
  <si>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</si>
  <si>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</si>
  <si>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</si>
  <si>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</si>
  <si>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</si>
  <si>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</si>
  <si>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</si>
  <si>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</si>
  <si>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</si>
  <si>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</si>
  <si>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</si>
  <si>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</si>
  <si>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</si>
  <si>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</si>
  <si>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</si>
  <si>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</si>
  <si>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</si>
  <si>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</si>
  <si>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</si>
  <si>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</si>
  <si>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</si>
  <si>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</si>
  <si>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</si>
  <si>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</si>
  <si>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</si>
  <si>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</si>
  <si>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</si>
  <si>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</si>
  <si>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</si>
  <si>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</si>
  <si>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</si>
  <si>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</si>
  <si>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</si>
  <si>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</si>
  <si>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</si>
  <si>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</si>
  <si>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</si>
  <si>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</si>
  <si>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</si>
  <si>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</si>
  <si>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</si>
  <si>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</si>
  <si>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</si>
  <si>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</si>
  <si>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</si>
  <si>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</si>
  <si>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</si>
  <si>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</si>
  <si>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</si>
  <si>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</si>
  <si>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</si>
  <si>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</si>
  <si>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</si>
  <si>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</si>
  <si>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</si>
  <si>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</si>
  <si>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</si>
  <si>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</si>
  <si>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</si>
  <si>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</si>
  <si>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</si>
  <si>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</si>
  <si>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</si>
  <si>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</si>
  <si>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</si>
  <si>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</si>
  <si>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</si>
  <si>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</si>
  <si>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</si>
  <si>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</si>
  <si>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</si>
  <si>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</si>
  <si>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</si>
  <si>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</si>
  <si>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</si>
  <si>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</si>
  <si>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</si>
  <si>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</si>
  <si>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</si>
  <si>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</si>
  <si>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</si>
  <si>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</si>
  <si>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</si>
  <si>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</si>
  <si>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</si>
  <si>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</si>
  <si>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</si>
  <si>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</si>
  <si>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</si>
  <si>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</si>
  <si>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</si>
  <si>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</si>
  <si>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</si>
  <si>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</si>
  <si>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</si>
  <si>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</si>
  <si>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</si>
  <si>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</si>
  <si>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</si>
  <si>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</si>
  <si>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</si>
  <si>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</si>
  <si>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</si>
  <si>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</si>
  <si>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</si>
  <si>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</si>
  <si>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</si>
  <si>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</si>
  <si>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</si>
  <si>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</si>
  <si>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</si>
  <si>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</si>
  <si>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</si>
  <si>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</si>
  <si>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</si>
  <si>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</si>
  <si>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</si>
  <si>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</si>
  <si>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</si>
  <si>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</si>
  <si>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</si>
  <si>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</si>
  <si>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</si>
  <si>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</si>
  <si>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</si>
  <si>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</si>
  <si>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</si>
  <si>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</si>
  <si>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</si>
  <si>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</si>
  <si>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</si>
  <si>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</si>
  <si>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</si>
  <si>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</si>
  <si>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</si>
  <si>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</si>
  <si>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</si>
  <si>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</si>
  <si>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</si>
  <si>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</si>
  <si>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</si>
  <si>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</si>
  <si>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</si>
  <si>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</si>
  <si>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</si>
  <si>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</si>
  <si>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</si>
  <si>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</si>
  <si>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</si>
  <si>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</si>
  <si>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</si>
  <si>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</si>
  <si>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</si>
  <si>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</si>
  <si>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</si>
  <si>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</si>
  <si>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</si>
  <si>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</si>
  <si>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</si>
  <si>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</si>
  <si>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</si>
  <si>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</si>
  <si>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</si>
  <si>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</si>
  <si>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</si>
  <si>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</si>
  <si>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</si>
  <si>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</si>
  <si>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</si>
  <si>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</si>
  <si>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</si>
  <si>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</si>
  <si>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</si>
  <si>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</si>
  <si>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</si>
  <si>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</si>
  <si>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</si>
  <si>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</si>
  <si>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</si>
  <si>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</si>
  <si>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</si>
  <si>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</si>
  <si>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</si>
  <si>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</si>
  <si>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</si>
  <si>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</si>
  <si>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</si>
  <si>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</si>
  <si>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</si>
  <si>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</si>
  <si>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</si>
  <si>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</si>
  <si>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</si>
  <si>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</si>
  <si>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</si>
  <si>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</si>
  <si>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</si>
  <si>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</si>
  <si>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</si>
  <si>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</si>
  <si>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</si>
  <si>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</si>
  <si>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</si>
  <si>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</si>
  <si>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</si>
  <si>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</si>
  <si>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</si>
  <si>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</si>
  <si>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</si>
  <si>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</si>
  <si>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</si>
  <si>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</si>
  <si>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</si>
  <si>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</si>
  <si>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</si>
  <si>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</si>
  <si>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</si>
  <si>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</si>
  <si>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</si>
  <si>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</si>
  <si>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</si>
  <si>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</si>
  <si>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</si>
  <si>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</si>
  <si>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</si>
  <si>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</si>
  <si>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</si>
  <si>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</si>
  <si>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</si>
  <si>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</si>
  <si>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</si>
  <si>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</si>
  <si>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</si>
  <si>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</si>
  <si>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</si>
  <si>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</si>
  <si>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</si>
  <si>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</si>
  <si>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</si>
  <si>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</si>
  <si>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</si>
  <si>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</si>
  <si>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</si>
  <si>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</si>
  <si>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</si>
  <si>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</si>
  <si>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</si>
  <si>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</si>
  <si>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</si>
  <si>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</si>
  <si>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</si>
  <si>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</si>
  <si>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</si>
  <si>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</si>
  <si>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</si>
  <si>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</si>
  <si>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</si>
  <si>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</si>
  <si>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</si>
  <si>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</si>
  <si>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</si>
  <si>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</si>
  <si>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</si>
  <si>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</si>
  <si>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</si>
  <si>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</si>
  <si>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</si>
  <si>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</si>
  <si>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</si>
  <si>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</si>
  <si>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</si>
  <si>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</si>
  <si>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</si>
  <si>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</si>
  <si>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</si>
  <si>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</si>
  <si>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</si>
  <si>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</si>
  <si>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</si>
  <si>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</si>
  <si>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</si>
  <si>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</si>
  <si>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</si>
  <si>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</si>
  <si>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</si>
  <si>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</si>
  <si>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</si>
  <si>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</si>
  <si>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</si>
  <si>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</si>
  <si>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</si>
  <si>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</si>
  <si>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</si>
  <si>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</si>
  <si>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</si>
  <si>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</si>
  <si>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</si>
  <si>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</si>
  <si>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</si>
  <si>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</si>
  <si>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</si>
  <si>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</si>
  <si>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</si>
  <si>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</si>
  <si>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</si>
  <si>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</si>
  <si>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</si>
  <si>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</si>
  <si>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</si>
  <si>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</si>
  <si>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</si>
  <si>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</si>
  <si>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</si>
  <si>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</si>
  <si>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</si>
  <si>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</si>
  <si>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</si>
  <si>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</si>
  <si>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</si>
  <si>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</si>
  <si>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</si>
  <si>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</si>
  <si>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</si>
  <si>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</si>
  <si>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</si>
  <si>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</si>
  <si>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</si>
  <si>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</si>
  <si>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</si>
  <si>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</si>
  <si>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</si>
  <si>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</si>
  <si>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</si>
  <si>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</si>
  <si>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</si>
  <si>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</si>
  <si>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</si>
  <si>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</si>
  <si>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</si>
  <si>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</si>
  <si>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</si>
  <si>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</si>
  <si>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</si>
  <si>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</si>
  <si>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</si>
  <si>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</si>
  <si>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</si>
  <si>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</si>
  <si>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</si>
  <si>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</si>
  <si>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</si>
  <si>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</si>
  <si>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</si>
  <si>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</si>
  <si>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</si>
  <si>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</si>
  <si>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</si>
  <si>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</si>
  <si>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</si>
  <si>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</si>
  <si>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</si>
  <si>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</si>
  <si>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</si>
  <si>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</si>
  <si>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</si>
  <si>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</si>
  <si>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</si>
  <si>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</si>
  <si>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</si>
  <si>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</si>
  <si>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</si>
  <si>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</si>
  <si>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</si>
  <si>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</si>
  <si>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</si>
  <si>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</si>
  <si>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</si>
  <si>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</si>
  <si>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</si>
  <si>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</si>
  <si>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</si>
  <si>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</si>
  <si>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</si>
  <si>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</si>
  <si>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</si>
  <si>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</si>
  <si>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</si>
  <si>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</si>
  <si>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</si>
  <si>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</si>
  <si>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</si>
  <si>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</si>
  <si>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</si>
  <si>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</si>
  <si>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</si>
  <si>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</si>
  <si>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</si>
  <si>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</si>
  <si>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</si>
  <si>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</si>
  <si>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</si>
  <si>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</si>
  <si>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</si>
  <si>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</si>
  <si>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</si>
  <si>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</si>
  <si>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</si>
  <si>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</si>
  <si>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</si>
  <si>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</si>
  <si>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</si>
  <si>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</si>
  <si>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</si>
  <si>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</si>
  <si>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</si>
  <si>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</si>
  <si>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</si>
  <si>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</si>
  <si>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</si>
  <si>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</si>
  <si>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</si>
  <si>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</si>
  <si>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</si>
  <si>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</si>
  <si>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</si>
  <si>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</si>
  <si>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</si>
  <si>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</si>
  <si>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</si>
  <si>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</si>
  <si>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</si>
  <si>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</si>
  <si>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</si>
  <si>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</si>
  <si>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</si>
  <si>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</si>
  <si>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</si>
  <si>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</si>
  <si>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</si>
  <si>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</si>
  <si>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</si>
  <si>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</si>
  <si>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</si>
  <si>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</si>
  <si>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</si>
  <si>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</si>
  <si>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</si>
  <si>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</si>
  <si>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</si>
  <si>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</si>
  <si>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</si>
  <si>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</si>
  <si>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</si>
  <si>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</si>
  <si>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</si>
  <si>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</si>
  <si>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</si>
  <si>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</si>
  <si>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</si>
  <si>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</si>
  <si>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</si>
  <si>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</si>
  <si>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</si>
  <si>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</si>
  <si>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</si>
  <si>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</si>
  <si>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</si>
  <si>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</si>
  <si>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</si>
  <si>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</si>
  <si>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</si>
  <si>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</si>
  <si>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</si>
  <si>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</si>
  <si>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</si>
  <si>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</si>
  <si>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</si>
  <si>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</si>
  <si>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</si>
  <si>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</si>
  <si>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</si>
  <si>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</si>
  <si>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</si>
  <si>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</si>
  <si>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</si>
  <si>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</si>
  <si>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</si>
  <si>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</si>
  <si>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</si>
  <si>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</si>
  <si>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</si>
  <si>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</si>
  <si>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</si>
  <si>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</si>
  <si>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</si>
  <si>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</si>
  <si>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</si>
  <si>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</si>
  <si>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</si>
  <si>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</si>
  <si>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</si>
  <si>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</si>
  <si>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</si>
  <si>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</si>
  <si>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</si>
  <si>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</si>
  <si>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</si>
  <si>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</si>
  <si>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</si>
  <si>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</si>
  <si>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</si>
  <si>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</si>
  <si>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</si>
  <si>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</si>
  <si>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</si>
  <si>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</si>
  <si>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</si>
  <si>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</si>
  <si>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</si>
  <si>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</si>
  <si>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</si>
  <si>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</si>
  <si>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</si>
  <si>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</si>
  <si>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</si>
  <si>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</si>
  <si>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</si>
  <si>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</si>
  <si>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</si>
  <si>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</si>
  <si>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</si>
  <si>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</si>
  <si>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</si>
  <si>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</si>
  <si>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</si>
  <si>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</si>
  <si>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</si>
  <si>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</si>
  <si>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</si>
  <si>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</si>
  <si>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</si>
  <si>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</si>
  <si>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</si>
  <si>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</si>
  <si>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</si>
  <si>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</si>
  <si>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</si>
  <si>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</si>
  <si>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</si>
  <si>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</si>
  <si>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</si>
  <si>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</si>
  <si>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</si>
  <si>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</si>
  <si>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</si>
  <si>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</si>
  <si>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</si>
  <si>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</si>
  <si>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</si>
  <si>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</si>
  <si>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</si>
  <si>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</si>
  <si>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</si>
  <si>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</si>
  <si>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</si>
  <si>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</si>
  <si>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</si>
  <si>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</si>
  <si>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</si>
  <si>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</si>
  <si>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</si>
  <si>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</si>
  <si>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</si>
  <si>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</si>
  <si>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</si>
  <si>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</si>
  <si>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</si>
  <si>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</si>
  <si>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</si>
  <si>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</si>
  <si>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</si>
  <si>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</si>
  <si>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</si>
  <si>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</si>
  <si>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</si>
  <si>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</si>
  <si>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</si>
  <si>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</si>
  <si>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</si>
  <si>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</si>
  <si>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</si>
  <si>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</si>
  <si>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</si>
  <si>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</si>
  <si>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</si>
  <si>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</si>
  <si>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</si>
  <si>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</si>
  <si>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</si>
  <si>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</si>
  <si>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</si>
  <si>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</si>
  <si>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</si>
  <si>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</si>
  <si>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</si>
  <si>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</si>
  <si>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</si>
  <si>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</si>
  <si>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</si>
  <si>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</si>
  <si>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</si>
  <si>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</si>
  <si>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</si>
  <si>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</si>
  <si>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</si>
  <si>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</si>
  <si>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</si>
  <si>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</si>
  <si>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</si>
  <si>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</si>
  <si>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</si>
  <si>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</si>
  <si>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</si>
  <si>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</si>
  <si>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</si>
  <si>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</si>
  <si>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</si>
  <si>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</si>
  <si>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</si>
  <si>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</si>
  <si>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</si>
  <si>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</si>
  <si>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</si>
  <si>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</si>
  <si>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</si>
  <si>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</si>
  <si>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</si>
  <si>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</si>
  <si>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</si>
  <si>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</si>
  <si>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</si>
  <si>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</si>
  <si>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</si>
  <si>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</si>
  <si>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</si>
  <si>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</si>
  <si>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</si>
  <si>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</si>
  <si>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</si>
  <si>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</si>
  <si>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</si>
  <si>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</si>
  <si>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</si>
  <si>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</si>
  <si>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</si>
  <si>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</si>
  <si>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</si>
  <si>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</si>
  <si>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</si>
  <si>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</si>
  <si>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</si>
  <si>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</si>
  <si>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</si>
  <si>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</si>
  <si>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</si>
  <si>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</si>
  <si>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</si>
  <si>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</si>
  <si>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</si>
  <si>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</si>
  <si>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</si>
  <si>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</si>
  <si>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</si>
  <si>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</si>
  <si>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</si>
  <si>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</si>
  <si>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</si>
  <si>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</si>
  <si>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</si>
  <si>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</si>
  <si>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</si>
  <si>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</si>
  <si>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</si>
  <si>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</si>
  <si>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</si>
  <si>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</si>
  <si>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</si>
  <si>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</si>
  <si>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</si>
  <si>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</si>
  <si>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</si>
  <si>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</si>
  <si>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</si>
  <si>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</si>
  <si>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</si>
  <si>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</si>
  <si>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</si>
  <si>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</si>
  <si>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</si>
  <si>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</si>
  <si>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</si>
  <si>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</si>
  <si>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</si>
  <si>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</si>
  <si>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</si>
  <si>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</si>
  <si>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</si>
  <si>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</si>
  <si>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</si>
  <si>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</si>
  <si>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</si>
  <si>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</si>
  <si>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</si>
  <si>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</si>
  <si>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</si>
  <si>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</si>
  <si>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</si>
  <si>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</si>
  <si>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</si>
  <si>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</si>
  <si>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</si>
  <si>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</si>
  <si>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</si>
  <si>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</si>
  <si>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</si>
  <si>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</si>
  <si>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</si>
  <si>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</si>
  <si>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</si>
  <si>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</si>
  <si>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</si>
  <si>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</si>
  <si>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</si>
  <si>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</si>
  <si>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</si>
  <si>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</si>
  <si>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</si>
  <si>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</si>
  <si>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</si>
  <si>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</si>
  <si>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</si>
  <si>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</si>
  <si>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</si>
  <si>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</si>
  <si>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</si>
  <si>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</si>
  <si>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</si>
  <si>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</si>
  <si>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</si>
  <si>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</si>
  <si>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</si>
  <si>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</si>
  <si>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</si>
  <si>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</si>
  <si>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</si>
  <si>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</si>
  <si>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</si>
  <si>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</si>
  <si>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</si>
  <si>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</si>
  <si>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</si>
  <si>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</si>
  <si>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</si>
  <si>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</si>
  <si>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</si>
  <si>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</si>
  <si>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</si>
  <si>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</si>
  <si>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</si>
  <si>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</si>
  <si>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</si>
  <si>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</si>
  <si>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</si>
  <si>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</si>
  <si>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</si>
  <si>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</si>
  <si>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</si>
  <si>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</si>
  <si>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</si>
  <si>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</si>
  <si>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</si>
  <si>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</si>
  <si>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</si>
  <si>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</si>
  <si>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</si>
  <si>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</si>
  <si>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</si>
  <si>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</si>
  <si>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</si>
  <si>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</si>
  <si>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</si>
  <si>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</si>
  <si>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</si>
  <si>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</si>
  <si>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</si>
  <si>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</si>
  <si>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</si>
  <si>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</si>
  <si>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</si>
  <si>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</si>
  <si>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</si>
  <si>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</si>
  <si>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</si>
  <si>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</si>
  <si>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</si>
  <si>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</si>
  <si>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</si>
  <si>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</si>
  <si>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</si>
  <si>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</si>
  <si>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</si>
  <si>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</si>
  <si>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</si>
  <si>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</si>
  <si>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</si>
  <si>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</si>
  <si>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</si>
  <si>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</si>
  <si>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</si>
  <si>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</si>
  <si>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</si>
  <si>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</si>
  <si>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</si>
  <si>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</si>
  <si>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</si>
  <si>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</si>
  <si>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</si>
  <si>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</si>
  <si>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</si>
  <si>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</si>
  <si>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</si>
  <si>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</si>
  <si>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</si>
  <si>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</si>
  <si>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</si>
  <si>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</si>
  <si>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</si>
  <si>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</si>
  <si>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</si>
  <si>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</si>
  <si>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</si>
  <si>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</si>
  <si>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</si>
  <si>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</si>
  <si>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</si>
  <si>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</si>
  <si>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</si>
  <si>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</si>
  <si>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</si>
  <si>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</si>
  <si>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</si>
  <si>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</si>
  <si>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</si>
  <si>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</si>
  <si>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</si>
  <si>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</si>
  <si>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</si>
  <si>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</si>
  <si>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</si>
  <si>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</si>
  <si>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</si>
  <si>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</si>
  <si>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</si>
  <si>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</si>
  <si>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</si>
  <si>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</si>
  <si>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</si>
  <si>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</si>
  <si>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</si>
  <si>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</si>
  <si>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</si>
  <si>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</si>
  <si>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</si>
  <si>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</si>
  <si>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</si>
  <si>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</si>
  <si>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</si>
  <si>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</si>
  <si>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</si>
  <si>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</si>
  <si>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</si>
  <si>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</si>
  <si>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</si>
  <si>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</si>
  <si>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</si>
  <si>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</si>
  <si>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</si>
  <si>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</si>
  <si>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</si>
  <si>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</si>
  <si>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</si>
  <si>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</si>
  <si>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</si>
  <si>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</si>
  <si>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</si>
  <si>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</si>
  <si>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</si>
  <si>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</si>
  <si>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</si>
  <si>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</si>
  <si>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</si>
  <si>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</si>
  <si>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</si>
  <si>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</si>
  <si>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</si>
  <si>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</si>
  <si>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</si>
  <si>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</si>
  <si>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</si>
  <si>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</si>
  <si>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</si>
  <si>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</si>
  <si>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</si>
  <si>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</si>
  <si>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</si>
  <si>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</si>
  <si>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</si>
  <si>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</si>
  <si>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</si>
  <si>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</si>
  <si>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</si>
  <si>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</si>
  <si>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</si>
  <si>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</si>
  <si>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</si>
  <si>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</si>
  <si>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</si>
  <si>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</si>
  <si>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</si>
  <si>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</si>
  <si>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</si>
  <si>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</si>
  <si>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</si>
  <si>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</si>
  <si>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</si>
  <si>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</si>
  <si>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</si>
  <si>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</si>
  <si>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</si>
  <si>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</si>
  <si>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</si>
  <si>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</si>
  <si>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</si>
  <si>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</si>
  <si>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</si>
  <si>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</si>
  <si>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</si>
  <si>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</si>
  <si>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</si>
  <si>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</si>
  <si>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</si>
  <si>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</si>
  <si>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</si>
  <si>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</si>
  <si>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</si>
  <si>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</si>
  <si>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</si>
  <si>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</si>
  <si>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</si>
  <si>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</si>
  <si>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</si>
  <si>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</si>
  <si>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</si>
  <si>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</si>
  <si>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</si>
  <si>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</si>
  <si>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</si>
  <si>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</si>
  <si>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</si>
  <si>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</si>
  <si>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</si>
  <si>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</si>
  <si>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</si>
  <si>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</si>
  <si>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</si>
  <si>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</si>
  <si>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</si>
  <si>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</si>
  <si>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</si>
  <si>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</si>
  <si>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</si>
  <si>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</si>
  <si>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</si>
  <si>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</si>
  <si>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</si>
  <si>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</si>
  <si>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</si>
  <si>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</si>
  <si>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</si>
  <si>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</si>
  <si>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</si>
  <si>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</si>
  <si>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</si>
  <si>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</si>
  <si>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</si>
  <si>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</si>
  <si>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</si>
  <si>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</si>
  <si>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</si>
  <si>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</si>
  <si>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</si>
  <si>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</si>
  <si>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</si>
  <si>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</si>
  <si>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</si>
  <si>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</si>
  <si>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</si>
  <si>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</si>
  <si>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</si>
  <si>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</si>
  <si>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</si>
  <si>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</si>
  <si>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</si>
  <si>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</si>
  <si>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</si>
  <si>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</si>
  <si>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</si>
  <si>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</si>
  <si>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</si>
  <si>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</si>
  <si>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</si>
  <si>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</si>
  <si>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</si>
  <si>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</si>
  <si>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</si>
  <si>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</si>
  <si>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</si>
  <si>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</si>
  <si>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</si>
  <si>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</si>
  <si>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</si>
  <si>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</si>
  <si>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</si>
  <si>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</si>
  <si>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</si>
  <si>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</si>
  <si>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</si>
  <si>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</si>
  <si>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</si>
  <si>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</si>
  <si>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</si>
  <si>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</si>
  <si>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</si>
  <si>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</si>
  <si>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</si>
  <si>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</si>
  <si>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</si>
  <si>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</si>
  <si>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</si>
  <si>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</si>
  <si>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</si>
  <si>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</si>
  <si>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</si>
  <si>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</si>
  <si>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</si>
  <si>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</si>
  <si>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</si>
  <si>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</si>
  <si>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</si>
  <si>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</si>
  <si>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</si>
  <si>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</si>
  <si>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</si>
  <si>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</si>
  <si>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</si>
  <si>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</si>
  <si>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</si>
  <si>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</si>
  <si>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</si>
  <si>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</si>
  <si>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</si>
  <si>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</si>
  <si>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</si>
  <si>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</si>
  <si>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</si>
  <si>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</si>
  <si>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</si>
  <si>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</si>
  <si>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</si>
  <si>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</si>
  <si>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</si>
  <si>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</si>
  <si>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</si>
  <si>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</si>
  <si>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</si>
  <si>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</si>
  <si>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</si>
  <si>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</si>
  <si>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</si>
  <si>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</si>
  <si>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</si>
  <si>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</si>
  <si>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</si>
  <si>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</si>
  <si>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</si>
  <si>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</si>
  <si>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</si>
  <si>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</si>
  <si>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</si>
  <si>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</si>
  <si>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</si>
  <si>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</si>
  <si>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</si>
  <si>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</si>
  <si>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</si>
  <si>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</si>
  <si>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</si>
  <si>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</si>
  <si>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</si>
  <si>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</si>
  <si>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</si>
  <si>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</si>
  <si>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</si>
  <si>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</si>
  <si>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</si>
  <si>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</si>
  <si>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</si>
  <si>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</si>
  <si>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</si>
  <si>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</si>
  <si>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</si>
  <si>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</si>
  <si>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</si>
  <si>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</si>
  <si>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</si>
  <si>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</si>
  <si>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</si>
  <si>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</si>
  <si>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</si>
  <si>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</si>
  <si>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</si>
  <si>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</si>
  <si>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</si>
  <si>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</si>
  <si>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</si>
  <si>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</si>
  <si>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</si>
  <si>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</si>
  <si>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</si>
  <si>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</si>
  <si>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</si>
  <si>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</si>
  <si>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</si>
  <si>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</si>
  <si>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</si>
  <si>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</si>
  <si>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</si>
  <si>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</si>
  <si>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</si>
  <si>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</si>
  <si>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</si>
  <si>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</si>
  <si>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</si>
  <si>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</si>
  <si>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</si>
  <si>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</si>
  <si>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</si>
  <si>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</si>
  <si>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</si>
  <si>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</si>
  <si>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</si>
  <si>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</si>
  <si>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</si>
  <si>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</si>
  <si>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</si>
  <si>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</si>
  <si>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</si>
  <si>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</si>
  <si>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</si>
  <si>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</si>
  <si>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</si>
  <si>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</si>
  <si>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</si>
  <si>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</si>
  <si>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</si>
  <si>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</si>
  <si>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</si>
  <si>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</si>
  <si>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</si>
  <si>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</si>
  <si>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</si>
  <si>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</si>
  <si>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</si>
  <si>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</si>
  <si>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</si>
  <si>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</si>
  <si>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</si>
  <si>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</si>
  <si>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</si>
  <si>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</si>
  <si>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</si>
  <si>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</si>
  <si>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</si>
  <si>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</si>
  <si>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</si>
  <si>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</si>
  <si>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</si>
  <si>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</si>
  <si>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</si>
  <si>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</si>
  <si>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</si>
  <si>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</si>
  <si>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</si>
  <si>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</si>
  <si>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</si>
  <si>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</si>
  <si>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</si>
  <si>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</si>
  <si>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</si>
  <si>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</si>
  <si>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</si>
  <si>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</si>
  <si>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</si>
  <si>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</si>
  <si>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</si>
  <si>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</si>
  <si>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</si>
  <si>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</si>
  <si>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</si>
  <si>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</si>
  <si>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</si>
  <si>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</si>
  <si>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</si>
  <si>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</si>
  <si>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</si>
  <si>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</si>
  <si>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</si>
  <si>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</si>
  <si>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</si>
  <si>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</si>
  <si>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</si>
  <si>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</si>
  <si>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</si>
  <si>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</si>
  <si>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</si>
  <si>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</si>
  <si>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</si>
  <si>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</si>
  <si>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</si>
  <si>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</si>
  <si>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</si>
  <si>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</si>
  <si>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</si>
  <si>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</si>
  <si>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</si>
  <si>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</si>
  <si>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</si>
  <si>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</si>
  <si>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</si>
  <si>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</si>
  <si>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</si>
  <si>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</si>
  <si>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</si>
  <si>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</si>
  <si>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</si>
  <si>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</si>
  <si>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</si>
  <si>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</si>
  <si>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</si>
  <si>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</si>
  <si>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</si>
  <si>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</si>
  <si>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</si>
  <si>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</si>
  <si>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</si>
  <si>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</si>
  <si>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</si>
  <si>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</si>
  <si>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</si>
  <si>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</si>
  <si>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</si>
  <si>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</si>
  <si>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</si>
  <si>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</si>
  <si>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</si>
  <si>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</si>
  <si>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</si>
  <si>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</si>
  <si>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</si>
  <si>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</si>
  <si>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</si>
  <si>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</si>
  <si>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</si>
  <si>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</si>
  <si>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</si>
  <si>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</si>
  <si>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</si>
  <si>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</si>
  <si>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</si>
  <si>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</si>
  <si>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</si>
  <si>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</si>
  <si>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</si>
  <si>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</si>
  <si>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</si>
  <si>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</si>
  <si>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</si>
  <si>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</si>
  <si>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</si>
  <si>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</si>
  <si>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</si>
  <si>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</si>
  <si>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</si>
  <si>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</si>
  <si>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</si>
  <si>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</si>
  <si>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</si>
  <si>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</si>
  <si>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</si>
  <si>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</si>
  <si>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</si>
  <si>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</si>
  <si>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</si>
  <si>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</si>
  <si>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</si>
  <si>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</si>
  <si>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</si>
  <si>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</si>
  <si>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</si>
  <si>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</si>
  <si>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</si>
  <si>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</si>
  <si>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</si>
  <si>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</si>
  <si>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</si>
  <si>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</si>
  <si>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</si>
  <si>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</si>
  <si>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</si>
  <si>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</si>
  <si>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</si>
  <si>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</si>
  <si>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</si>
  <si>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</si>
  <si>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</si>
  <si>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</si>
  <si>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</si>
  <si>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</si>
  <si>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</si>
  <si>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</si>
  <si>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</si>
  <si>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</si>
  <si>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</si>
  <si>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</si>
  <si>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</si>
  <si>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</si>
  <si>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</si>
  <si>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</si>
  <si>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</si>
  <si>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</si>
  <si>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</si>
  <si>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</si>
  <si>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</si>
  <si>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</si>
  <si>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</si>
  <si>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</si>
  <si>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</si>
  <si>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</si>
  <si>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</si>
  <si>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</si>
  <si>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</si>
  <si>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</si>
  <si>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</si>
  <si>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</si>
  <si>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</si>
  <si>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</si>
  <si>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</si>
  <si>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</si>
  <si>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</si>
  <si>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</si>
  <si>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</si>
  <si>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</si>
  <si>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</si>
  <si>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</si>
  <si>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</si>
  <si>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</si>
  <si>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</si>
  <si>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</si>
  <si>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</si>
  <si>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</si>
  <si>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</si>
  <si>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</si>
  <si>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</si>
  <si>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</si>
  <si>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</si>
  <si>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</si>
  <si>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</si>
  <si>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</si>
  <si>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</si>
  <si>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</si>
  <si>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</si>
  <si>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</si>
  <si>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</si>
  <si>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</si>
  <si>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</si>
  <si>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</si>
  <si>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</si>
  <si>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</si>
  <si>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</si>
  <si>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</si>
  <si>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</si>
  <si>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</si>
  <si>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</si>
  <si>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</si>
  <si>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</si>
  <si>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</si>
  <si>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</si>
  <si>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</si>
  <si>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</si>
  <si>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</si>
  <si>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</si>
  <si>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</si>
  <si>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</si>
  <si>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</si>
  <si>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</si>
  <si>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</si>
  <si>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</si>
  <si>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</si>
  <si>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</si>
  <si>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</si>
  <si>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</si>
  <si>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</si>
  <si>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</si>
  <si>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</si>
  <si>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</si>
  <si>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</si>
  <si>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</si>
  <si>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</si>
  <si>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</si>
  <si>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</si>
  <si>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</si>
  <si>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</si>
  <si>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</si>
  <si>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</si>
  <si>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</si>
  <si>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</si>
  <si>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</si>
  <si>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</si>
  <si>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</si>
  <si>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</si>
  <si>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</si>
  <si>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</si>
  <si>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</si>
  <si>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</si>
  <si>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</si>
  <si>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</si>
  <si>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</si>
  <si>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</si>
  <si>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</si>
  <si>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</si>
  <si>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</si>
  <si>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</si>
  <si>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</si>
  <si>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</si>
  <si>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</si>
  <si>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</si>
  <si>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</si>
  <si>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</si>
  <si>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</si>
  <si>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</si>
  <si>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</si>
  <si>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</si>
  <si>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</si>
  <si>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</si>
  <si>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</si>
  <si>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</si>
  <si>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</si>
  <si>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</si>
  <si>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</si>
  <si>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</si>
  <si>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</si>
  <si>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</si>
  <si>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</si>
  <si>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</si>
  <si>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</si>
  <si>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</si>
  <si>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</si>
  <si>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</si>
  <si>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</si>
  <si>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</si>
  <si>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</si>
  <si>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</si>
  <si>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</si>
  <si>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</si>
  <si>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</si>
  <si>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</si>
  <si>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</si>
  <si>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</si>
  <si>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</si>
  <si>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</si>
  <si>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</si>
  <si>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</si>
  <si>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</si>
  <si>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</si>
  <si>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</si>
  <si>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</si>
  <si>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</si>
  <si>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</si>
  <si>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</si>
  <si>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</si>
  <si>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</si>
  <si>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</si>
  <si>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</si>
  <si>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</si>
  <si>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</si>
  <si>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</si>
  <si>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</si>
  <si>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</si>
  <si>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</si>
  <si>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</si>
  <si>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</si>
  <si>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</si>
  <si>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</si>
  <si>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</si>
  <si>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</si>
  <si>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</si>
  <si>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</si>
  <si>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</si>
  <si>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</si>
  <si>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</si>
  <si>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</si>
  <si>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</si>
  <si>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</si>
  <si>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</si>
  <si>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</si>
  <si>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</si>
  <si>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</si>
  <si>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</si>
  <si>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</si>
  <si>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Encerrar conta (21/05/2024)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</si>
  <si>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</si>
  <si>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</si>
  <si>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</si>
  <si>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</si>
  <si>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</si>
  <si>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</si>
  <si>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</si>
  <si>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</si>
  <si>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</si>
  <si>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</si>
  <si>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</si>
  <si>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</si>
  <si>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</si>
  <si>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</si>
  <si>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</si>
  <si>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</si>
  <si>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</si>
  <si>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</si>
  <si>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</si>
  <si>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</si>
  <si>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</si>
  <si>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</si>
  <si>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</si>
  <si>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</si>
  <si>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</si>
  <si>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</si>
  <si>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</si>
  <si>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</si>
  <si>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</si>
  <si>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</si>
  <si>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</si>
  <si>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</si>
  <si>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</si>
  <si>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</si>
  <si>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</si>
  <si>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</si>
  <si>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</si>
  <si>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</si>
  <si>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</si>
  <si>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</si>
  <si>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</si>
  <si>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</si>
  <si>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</si>
  <si>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</si>
  <si>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</si>
  <si>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</si>
  <si>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</si>
  <si>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</si>
  <si>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</si>
  <si>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</si>
  <si>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</si>
  <si>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</si>
  <si>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</si>
  <si>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</si>
  <si>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</si>
  <si>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</si>
  <si>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</si>
  <si>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</si>
  <si>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</si>
  <si>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</si>
  <si>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</si>
  <si>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</si>
  <si>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</si>
  <si>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</si>
  <si>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</si>
  <si>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</si>
  <si>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</si>
  <si>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</si>
  <si>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</si>
  <si>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</si>
  <si>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</si>
  <si>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</si>
  <si>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</si>
  <si>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</si>
  <si>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</si>
  <si>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</si>
  <si>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</si>
  <si>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</si>
  <si>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</si>
  <si>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</si>
  <si>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</si>
  <si>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</si>
  <si>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</si>
  <si>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</si>
  <si>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</si>
  <si>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</si>
  <si>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</si>
  <si>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</si>
  <si>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</si>
  <si>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</si>
  <si>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</si>
  <si>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</si>
  <si>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</si>
  <si>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</si>
  <si>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</si>
  <si>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</si>
  <si>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</si>
  <si>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</si>
  <si>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</si>
  <si>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</si>
  <si>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</si>
  <si>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</si>
  <si>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</si>
  <si>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</si>
  <si>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</si>
  <si>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</si>
  <si>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</si>
  <si>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</si>
  <si>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</si>
  <si>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</si>
  <si>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</si>
  <si>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</si>
  <si>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</si>
  <si>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</si>
  <si>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</si>
  <si>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</si>
  <si>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</si>
  <si>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</si>
  <si>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</si>
  <si>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</si>
  <si>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</si>
  <si>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</si>
  <si>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</si>
  <si>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</si>
  <si>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</si>
  <si>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</si>
  <si>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</si>
  <si>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</si>
  <si>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</si>
  <si>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</si>
  <si>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</si>
  <si>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</si>
  <si>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</si>
  <si>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</si>
  <si>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</si>
  <si>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</si>
  <si>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</si>
  <si>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</si>
  <si>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</si>
  <si>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</si>
  <si>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</si>
  <si>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</si>
  <si>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</si>
  <si>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</si>
  <si>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</si>
  <si>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</si>
  <si>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</si>
  <si>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</si>
  <si>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</si>
  <si>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</si>
  <si>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</si>
  <si>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</si>
  <si>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</si>
  <si>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</si>
  <si>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</si>
  <si>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</si>
  <si>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</si>
  <si>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</si>
  <si>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</si>
  <si>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</si>
  <si>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</si>
  <si>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</si>
  <si>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</si>
  <si>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</si>
  <si>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</si>
  <si>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</si>
  <si>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</si>
  <si>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</si>
  <si>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</si>
  <si>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</si>
  <si>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</si>
  <si>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</si>
  <si>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</si>
  <si>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</si>
  <si>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</si>
  <si>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</si>
  <si>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</si>
  <si>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</si>
  <si>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</si>
  <si>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</si>
  <si>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</si>
  <si>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</si>
  <si>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</si>
  <si>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</si>
  <si>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</si>
  <si>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</si>
  <si>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</si>
  <si>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</si>
  <si>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</si>
  <si>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</si>
  <si>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</si>
  <si>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</si>
  <si>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</si>
  <si>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</si>
  <si>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</si>
  <si>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</si>
  <si>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</si>
  <si>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</si>
  <si>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</si>
  <si>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</si>
  <si>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</si>
  <si>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</si>
  <si>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</si>
  <si>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</si>
  <si>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</si>
  <si>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</si>
  <si>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</si>
  <si>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</si>
  <si>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</si>
  <si>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</si>
  <si>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</si>
  <si>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</si>
  <si>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</si>
  <si>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</si>
  <si>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</si>
  <si>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</si>
  <si>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</si>
  <si>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</si>
  <si>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</si>
  <si>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</si>
  <si>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</si>
  <si>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</si>
  <si>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</si>
  <si>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</si>
  <si>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</si>
  <si>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</si>
  <si>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</si>
  <si>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</si>
  <si>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</si>
  <si>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</si>
  <si>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</si>
  <si>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</si>
  <si>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</si>
  <si>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</si>
  <si>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</si>
  <si>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</si>
  <si>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</si>
  <si>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</si>
  <si>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</si>
  <si>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</si>
  <si>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</si>
  <si>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</si>
  <si>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</si>
  <si>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</si>
  <si>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</si>
  <si>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</si>
  <si>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</si>
  <si>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</si>
  <si>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</si>
  <si>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</si>
  <si>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</si>
  <si>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</si>
  <si>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</si>
  <si>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</si>
  <si>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</si>
  <si>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</si>
  <si>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</si>
  <si>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</si>
  <si>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</si>
  <si>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</si>
  <si>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</si>
  <si>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</si>
  <si>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</si>
  <si>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</si>
  <si>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</si>
  <si>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</si>
  <si>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</si>
  <si>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</si>
  <si>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</si>
  <si>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</si>
  <si>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</si>
  <si>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</si>
  <si>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</si>
  <si>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</si>
  <si>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</si>
  <si>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</si>
  <si>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</si>
  <si>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</si>
  <si>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</si>
  <si>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</si>
  <si>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</si>
  <si>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</si>
  <si>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</si>
  <si>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</si>
  <si>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</si>
  <si>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</si>
  <si>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</si>
  <si>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</si>
  <si>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</si>
  <si>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</si>
  <si>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</si>
  <si>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</si>
  <si>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</si>
  <si>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</si>
  <si>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</si>
  <si>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</si>
  <si>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</si>
  <si>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</si>
  <si>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</si>
  <si>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</si>
  <si>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</si>
  <si>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</si>
  <si>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</si>
  <si>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</si>
  <si>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</si>
  <si>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</si>
  <si>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</si>
  <si>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</si>
  <si>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</si>
  <si>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</si>
  <si>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</si>
  <si>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</si>
  <si>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</si>
  <si>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</si>
  <si>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</si>
  <si>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</si>
  <si>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</si>
  <si>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</si>
  <si>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</si>
  <si>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</si>
  <si>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</si>
  <si>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</si>
  <si>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</si>
  <si>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</si>
  <si>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</si>
  <si>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</si>
  <si>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</si>
  <si>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</si>
  <si>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</si>
  <si>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</si>
  <si>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</si>
  <si>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</si>
  <si>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</si>
  <si>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</si>
  <si>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</si>
  <si>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</si>
  <si>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</si>
  <si>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</si>
  <si>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</si>
  <si>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</si>
  <si>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</si>
  <si>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</si>
  <si>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</si>
  <si>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</si>
  <si>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</si>
  <si>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</si>
  <si>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</si>
  <si>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</si>
  <si>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</si>
  <si>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</si>
  <si>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</si>
  <si>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</si>
  <si>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</si>
  <si>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</si>
  <si>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</si>
  <si>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</si>
  <si>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</si>
  <si>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</si>
  <si>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</si>
  <si>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</si>
  <si>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</si>
  <si>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</si>
  <si>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</si>
  <si>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</si>
  <si>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</si>
  <si>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</si>
  <si>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</si>
  <si>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</si>
  <si>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</si>
  <si>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</si>
  <si>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</si>
  <si>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</si>
  <si>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</si>
  <si>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</si>
  <si>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</si>
  <si>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</si>
  <si>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</si>
  <si>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</si>
  <si>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</si>
  <si>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</si>
  <si>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</si>
  <si>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</si>
  <si>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</si>
  <si>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</si>
  <si>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</si>
  <si>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</si>
  <si>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</si>
  <si>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</si>
  <si>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</si>
  <si>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</si>
  <si>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</si>
  <si>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</si>
  <si>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</si>
  <si>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</si>
  <si>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</si>
  <si>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</si>
  <si>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</si>
  <si>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</si>
  <si>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</si>
  <si>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</si>
  <si>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</si>
  <si>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</si>
  <si>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</si>
  <si>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</si>
  <si>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</si>
  <si>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</si>
  <si>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</si>
  <si>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</si>
  <si>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</si>
  <si>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</si>
  <si>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</si>
  <si>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</si>
  <si>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</si>
  <si>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</si>
  <si>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</si>
  <si>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</si>
  <si>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</si>
  <si>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</si>
  <si>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</si>
  <si>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</si>
  <si>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</si>
  <si>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</si>
  <si>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</si>
  <si>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</si>
  <si>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</si>
  <si>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</si>
  <si>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</si>
  <si>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</si>
  <si>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</si>
  <si>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</si>
  <si>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</si>
  <si>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</si>
  <si>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</si>
  <si>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</si>
  <si>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</si>
  <si>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</si>
  <si>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</si>
  <si>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</si>
  <si>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</si>
  <si>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</si>
  <si>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</si>
  <si>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</si>
  <si>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</si>
  <si>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</si>
  <si>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</si>
  <si>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</si>
  <si>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</si>
  <si>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</si>
  <si>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</si>
  <si>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</si>
  <si>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</si>
  <si>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</si>
  <si>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</si>
  <si>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</si>
  <si>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</si>
  <si>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</si>
  <si>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</si>
  <si>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</si>
  <si>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</si>
  <si>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</si>
  <si>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</si>
  <si>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</si>
  <si>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</si>
  <si>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</si>
  <si>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</si>
  <si>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</si>
  <si>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</si>
  <si>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</si>
  <si>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</si>
  <si>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</si>
  <si>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</si>
  <si>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</si>
  <si>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</si>
  <si>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</si>
  <si>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</si>
  <si>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</si>
  <si>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</si>
  <si>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</si>
  <si>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</si>
  <si>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</si>
  <si>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</si>
  <si>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</si>
  <si>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</si>
  <si>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</si>
  <si>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</si>
  <si>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</si>
  <si>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</si>
  <si>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</si>
  <si>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</si>
  <si>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</si>
  <si>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</si>
  <si>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</si>
  <si>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</si>
  <si>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</si>
  <si>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</si>
  <si>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</si>
  <si>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</si>
  <si>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</si>
  <si>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</si>
  <si>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</si>
  <si>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</si>
  <si>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</si>
  <si>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</si>
  <si>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</si>
  <si>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</si>
  <si>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</si>
  <si>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</si>
  <si>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</si>
  <si>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</si>
  <si>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</si>
  <si>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</si>
  <si>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</si>
  <si>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</si>
  <si>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</si>
  <si>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</si>
  <si>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</si>
  <si>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</si>
  <si>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</si>
  <si>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</si>
  <si>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</si>
  <si>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</si>
  <si>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</si>
  <si>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</si>
  <si>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</si>
  <si>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</si>
  <si>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</si>
  <si>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</si>
  <si>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</si>
  <si>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</si>
  <si>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</si>
  <si>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</si>
  <si>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</si>
  <si>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</si>
  <si>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</si>
  <si>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</si>
  <si>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</si>
  <si>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</si>
  <si>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</si>
  <si>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</si>
  <si>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</si>
  <si>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</si>
  <si>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</si>
  <si>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</si>
  <si>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</si>
  <si>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</si>
  <si>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</si>
  <si>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</si>
  <si>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</si>
  <si>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</si>
  <si>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</si>
  <si>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</si>
  <si>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</si>
  <si>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</si>
  <si>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</si>
  <si>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</si>
  <si>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</si>
  <si>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</si>
  <si>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</si>
  <si>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</si>
  <si>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</si>
  <si>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</si>
  <si>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</si>
  <si>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</si>
  <si>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</si>
  <si>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</si>
  <si>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</si>
  <si>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</si>
  <si>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</si>
  <si>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</si>
  <si>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</si>
  <si>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</si>
  <si>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</si>
  <si>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</si>
  <si>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</si>
  <si>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</si>
  <si>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</si>
  <si>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</si>
  <si>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</si>
  <si>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</si>
  <si>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</si>
  <si>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</si>
  <si>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</si>
  <si>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</si>
  <si>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</si>
  <si>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</si>
  <si>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</si>
  <si>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</si>
  <si>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</si>
  <si>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</si>
  <si>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</si>
  <si>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</si>
  <si>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</si>
  <si>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</si>
  <si>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</si>
  <si>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</si>
  <si>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</si>
  <si>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</si>
  <si>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</si>
  <si>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</si>
  <si>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</si>
  <si>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</si>
  <si>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</si>
  <si>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</si>
  <si>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</si>
  <si>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</si>
  <si>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</si>
  <si>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</si>
  <si>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</si>
  <si>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</si>
  <si>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</si>
  <si>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</si>
  <si>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</si>
  <si>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</si>
  <si>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</si>
  <si>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</si>
  <si>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</si>
  <si>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</si>
  <si>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</si>
  <si>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</si>
  <si>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</si>
  <si>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</si>
  <si>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</si>
  <si>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</si>
  <si>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</si>
  <si>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</si>
  <si>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</si>
  <si>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</si>
  <si>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</si>
  <si>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</si>
  <si>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</si>
  <si>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</si>
  <si>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</si>
  <si>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</si>
  <si>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</si>
  <si>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</si>
  <si>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</si>
  <si>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</si>
  <si>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</si>
  <si>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</si>
  <si>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</si>
  <si>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</si>
  <si>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</si>
  <si>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</si>
  <si>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</si>
  <si>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</si>
  <si>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</si>
  <si>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</si>
  <si>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</si>
  <si>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</si>
  <si>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</si>
  <si>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</si>
  <si>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</si>
  <si>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</si>
  <si>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</si>
  <si>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</si>
  <si>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</si>
  <si>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</si>
  <si>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</si>
  <si>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</si>
  <si>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</si>
  <si>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</si>
  <si>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</si>
  <si>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</si>
  <si>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</si>
  <si>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</si>
  <si>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</si>
  <si>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</si>
  <si>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</si>
  <si>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</si>
  <si>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</si>
  <si>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</si>
  <si>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</si>
  <si>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</si>
  <si>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</si>
  <si>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</si>
  <si>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</si>
  <si>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</si>
  <si>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</si>
  <si>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</si>
  <si>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</si>
  <si>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</si>
  <si>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</si>
  <si>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</si>
  <si>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</si>
  <si>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</si>
  <si>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</si>
  <si>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</si>
  <si>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</si>
  <si>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</si>
  <si>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</si>
  <si>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</si>
  <si>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</si>
  <si>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</si>
  <si>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</si>
  <si>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</si>
  <si>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</si>
  <si>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</si>
  <si>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</si>
  <si>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</si>
  <si>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</si>
  <si>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</si>
  <si>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</si>
  <si>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</si>
  <si>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</si>
  <si>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</si>
  <si>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</si>
  <si>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</si>
  <si>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</si>
  <si>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</si>
  <si>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</si>
  <si>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</si>
  <si>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</si>
  <si>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</si>
  <si>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</si>
  <si>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</si>
  <si>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</si>
  <si>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</si>
  <si>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</si>
  <si>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</si>
  <si>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</si>
  <si>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</si>
  <si>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</si>
  <si>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</si>
  <si>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</si>
  <si>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</si>
  <si>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</si>
  <si>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</si>
  <si>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</si>
  <si>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</si>
  <si>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</si>
  <si>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</si>
  <si>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</si>
  <si>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</si>
  <si>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</si>
  <si>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</si>
  <si>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</si>
  <si>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</si>
  <si>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</si>
  <si>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</si>
  <si>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</si>
  <si>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</si>
  <si>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</si>
  <si>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</si>
  <si>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</si>
  <si>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</si>
  <si>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</si>
  <si>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</si>
  <si>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</si>
  <si>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</si>
  <si>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</si>
  <si>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</si>
  <si>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</si>
  <si>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</si>
  <si>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</si>
  <si>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</si>
  <si>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</si>
  <si>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</si>
  <si>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</si>
  <si>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</si>
  <si>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</si>
  <si>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</si>
  <si>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</si>
  <si>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</si>
  <si>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</si>
  <si>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</si>
  <si>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</si>
  <si>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</si>
  <si>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</si>
  <si>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</si>
  <si>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</si>
  <si>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</si>
  <si>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</si>
  <si>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</si>
  <si>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</si>
  <si>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</si>
  <si>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</si>
  <si>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</si>
  <si>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</si>
  <si>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</si>
  <si>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</si>
  <si>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</si>
  <si>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</si>
  <si>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</si>
  <si>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</si>
  <si>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</si>
  <si>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</si>
  <si>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</si>
  <si>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</si>
  <si>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</si>
  <si>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</si>
  <si>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</si>
  <si>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</si>
  <si>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</si>
  <si>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</si>
  <si>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</si>
  <si>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</si>
  <si>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</si>
  <si>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</si>
  <si>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</si>
  <si>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</si>
  <si>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</si>
  <si>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</si>
  <si>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</si>
  <si>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</si>
  <si>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</si>
  <si>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</si>
  <si>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</si>
  <si>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</si>
  <si>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</si>
  <si>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</si>
  <si>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</si>
  <si>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</si>
  <si>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</si>
  <si>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</si>
  <si>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</si>
  <si>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</si>
  <si>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</si>
  <si>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</si>
  <si>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</si>
  <si>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</si>
  <si>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</si>
  <si>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</si>
  <si>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</si>
  <si>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</si>
  <si>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</si>
  <si>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</si>
  <si>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</si>
  <si>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</si>
  <si>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</si>
  <si>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</si>
  <si>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</si>
  <si>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</si>
  <si>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</si>
  <si>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</si>
  <si>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</si>
  <si>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</si>
  <si>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</si>
  <si>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</si>
  <si>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</si>
  <si>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</si>
  <si>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</si>
  <si>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</si>
  <si>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</si>
  <si>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</si>
  <si>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</si>
  <si>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</si>
  <si>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</si>
  <si>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</si>
  <si>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</si>
  <si>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</si>
  <si>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</si>
  <si>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</si>
  <si>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</si>
  <si>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</si>
  <si>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</si>
  <si>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</si>
  <si>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</si>
  <si>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</si>
  <si>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</si>
  <si>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</si>
  <si>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</si>
  <si>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</si>
  <si>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</si>
  <si>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</si>
  <si>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</si>
  <si>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</si>
  <si>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</si>
  <si>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</si>
  <si>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</si>
  <si>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</si>
  <si>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</si>
  <si>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</si>
  <si>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</si>
  <si>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</si>
  <si>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</si>
  <si>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</si>
  <si>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</si>
  <si>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</si>
  <si>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</si>
  <si>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</si>
  <si>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</si>
  <si>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</si>
  <si>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</si>
  <si>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</si>
  <si>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</si>
  <si>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</si>
  <si>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</si>
  <si>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</si>
  <si>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</si>
  <si>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</si>
  <si>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</si>
  <si>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</si>
  <si>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</si>
  <si>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</si>
  <si>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</si>
  <si>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</si>
  <si>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</si>
  <si>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</si>
  <si>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</si>
  <si>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</si>
  <si>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</si>
  <si>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</si>
  <si>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</si>
  <si>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</si>
  <si>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</si>
  <si>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</si>
  <si>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</si>
  <si>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</si>
  <si>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</si>
  <si>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</si>
  <si>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</si>
  <si>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</si>
  <si>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</si>
  <si>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</si>
  <si>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</si>
  <si>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</si>
  <si>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</si>
  <si>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</si>
  <si>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</si>
  <si>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</si>
  <si>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</si>
  <si>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</si>
  <si>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</si>
  <si>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</si>
  <si>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</si>
  <si>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</si>
  <si>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</si>
  <si>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</si>
  <si>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</si>
  <si>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</si>
  <si>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</si>
  <si>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</si>
  <si>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</si>
  <si>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</si>
  <si>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</si>
  <si>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</si>
  <si>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</si>
  <si>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</si>
  <si>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</si>
  <si>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</si>
  <si>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</si>
  <si>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</si>
  <si>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</si>
  <si>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</si>
  <si>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</si>
  <si>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</si>
  <si>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</si>
  <si>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</si>
  <si>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</si>
  <si>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</si>
  <si>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</si>
  <si>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</si>
  <si>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</si>
  <si>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</si>
  <si>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</si>
  <si>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</si>
  <si>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</si>
  <si>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</si>
  <si>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</si>
  <si>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</si>
  <si>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</si>
  <si>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</si>
  <si>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</si>
  <si>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</si>
  <si>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</si>
  <si>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</si>
  <si>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</si>
  <si>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</si>
  <si>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</si>
  <si>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</si>
  <si>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</si>
  <si>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</si>
  <si>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</si>
  <si>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</si>
  <si>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</si>
  <si>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</si>
  <si>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</si>
  <si>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</si>
  <si>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</si>
  <si>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</si>
  <si>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</si>
  <si>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</si>
  <si>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</si>
  <si>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</si>
  <si>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</si>
  <si>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</si>
  <si>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</si>
  <si>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</si>
  <si>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</si>
  <si>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</si>
  <si>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</si>
  <si>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</si>
  <si>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</si>
  <si>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</si>
  <si>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</si>
  <si>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</si>
  <si>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</si>
  <si>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</si>
  <si>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</si>
  <si>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</si>
  <si>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</si>
  <si>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</si>
  <si>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</si>
  <si>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</si>
  <si>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</si>
  <si>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</si>
  <si>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</si>
  <si>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</si>
  <si>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</si>
  <si>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</si>
  <si>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</si>
  <si>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</si>
  <si>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</si>
  <si>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</si>
  <si>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</si>
  <si>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</si>
  <si>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</si>
  <si>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</si>
  <si>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</si>
  <si>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</si>
  <si>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</si>
  <si>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</si>
  <si>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</si>
  <si>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</si>
  <si>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</si>
  <si>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</si>
  <si>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</si>
  <si>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</si>
  <si>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</si>
  <si>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</si>
  <si>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</si>
  <si>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</si>
  <si>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</si>
  <si>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</si>
  <si>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</si>
  <si>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</si>
  <si>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</si>
  <si>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</si>
  <si>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</si>
  <si>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</si>
  <si>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</si>
  <si>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</si>
  <si>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</si>
  <si>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</si>
  <si>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</si>
  <si>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</si>
  <si>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</si>
  <si>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</si>
  <si>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</si>
  <si>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</si>
  <si>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</si>
  <si>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</si>
  <si>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</si>
  <si>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</si>
  <si>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</si>
  <si>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</si>
  <si>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</si>
  <si>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</si>
  <si>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</si>
  <si>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</si>
  <si>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</si>
  <si>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</si>
  <si>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</si>
  <si>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</si>
  <si>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</si>
  <si>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</si>
  <si>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</si>
  <si>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</si>
  <si>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</si>
  <si>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</si>
  <si>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</si>
  <si>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</si>
  <si>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</si>
  <si>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</si>
  <si>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</si>
  <si>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</si>
  <si>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</si>
  <si>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</si>
  <si>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</si>
  <si>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</si>
  <si>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</si>
  <si>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</si>
  <si>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</si>
  <si>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</si>
  <si>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</si>
  <si>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</si>
  <si>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</si>
  <si>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</si>
  <si>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</si>
  <si>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</si>
  <si>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</si>
  <si>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</si>
  <si>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</si>
  <si>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</si>
  <si>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</si>
  <si>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</si>
  <si>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</si>
  <si>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</si>
  <si>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</si>
  <si>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</si>
  <si>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</si>
  <si>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</si>
  <si>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</si>
  <si>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</si>
  <si>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</si>
  <si>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</si>
  <si>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</si>
  <si>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</si>
  <si>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</si>
  <si>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</si>
  <si>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</si>
  <si>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</si>
  <si>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</si>
  <si>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</si>
  <si>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</si>
  <si>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</si>
  <si>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</si>
  <si>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</si>
  <si>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</si>
  <si>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</si>
  <si>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</si>
  <si>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</si>
  <si>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</si>
  <si>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</si>
  <si>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</si>
  <si>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</si>
  <si>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</si>
  <si>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</si>
  <si>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</si>
  <si>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</si>
  <si>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</si>
  <si>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</si>
  <si>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</si>
  <si>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</si>
  <si>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</si>
  <si>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</si>
  <si>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</si>
  <si>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</si>
  <si>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</si>
  <si>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</si>
  <si>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</si>
  <si>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</si>
  <si>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</si>
  <si>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</si>
  <si>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</si>
  <si>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</si>
  <si>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</si>
  <si>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</si>
  <si>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</si>
  <si>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</si>
  <si>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</si>
  <si>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</si>
  <si>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</si>
  <si>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</si>
  <si>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</si>
  <si>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</si>
  <si>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</si>
  <si>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</si>
  <si>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</si>
  <si>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</si>
  <si>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</si>
  <si>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</si>
  <si>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</si>
  <si>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</si>
  <si>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</si>
  <si>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</si>
  <si>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</si>
  <si>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</si>
  <si>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</si>
  <si>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</si>
  <si>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</si>
  <si>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</si>
  <si>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</si>
  <si>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</si>
  <si>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</si>
  <si>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</si>
  <si>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</si>
  <si>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</si>
  <si>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</si>
  <si>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</si>
  <si>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</si>
  <si>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</si>
  <si>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</si>
  <si>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</si>
  <si>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</si>
  <si>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</si>
  <si>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</si>
  <si>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</si>
  <si>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</si>
  <si>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</si>
  <si>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</si>
  <si>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</si>
  <si>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</si>
  <si>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</si>
  <si>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</si>
  <si>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</si>
  <si>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</si>
  <si>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</si>
  <si>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</si>
  <si>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</si>
  <si>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</si>
  <si>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</si>
  <si>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</si>
  <si>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</si>
  <si>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</si>
  <si>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</si>
  <si>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</si>
  <si>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</si>
  <si>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</si>
  <si>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</si>
  <si>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</si>
  <si>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</si>
  <si>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</si>
  <si>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</si>
  <si>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</si>
  <si>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</si>
  <si>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</si>
  <si>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</si>
  <si>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</si>
  <si>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</si>
  <si>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</si>
  <si>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</si>
  <si>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</si>
  <si>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</si>
  <si>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</si>
  <si>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</si>
  <si>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</si>
  <si>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</si>
  <si>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</si>
  <si>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</si>
  <si>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</si>
  <si>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</si>
  <si>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</si>
  <si>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</si>
  <si>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</si>
  <si>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</si>
  <si>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</si>
  <si>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</si>
  <si>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</si>
  <si>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</si>
  <si>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</si>
  <si>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</si>
  <si>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</si>
  <si>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</si>
  <si>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</si>
  <si>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</si>
  <si>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</si>
  <si>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</si>
  <si>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</si>
  <si>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</si>
  <si>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</si>
  <si>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</si>
  <si>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</si>
  <si>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</si>
  <si>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</si>
  <si>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</si>
  <si>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</si>
  <si>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</si>
  <si>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</si>
  <si>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</si>
  <si>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</si>
  <si>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</si>
  <si>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</si>
  <si>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</si>
  <si>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</si>
  <si>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</si>
  <si>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</si>
  <si>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</si>
  <si>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</si>
  <si>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</si>
  <si>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</si>
  <si>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</si>
  <si>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</si>
  <si>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</si>
  <si>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</si>
  <si>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</si>
  <si>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</si>
  <si>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</si>
  <si>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</si>
  <si>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</si>
  <si>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</si>
  <si>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</si>
  <si>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</si>
  <si>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</si>
  <si>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</si>
  <si>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</si>
  <si>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</si>
  <si>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</si>
  <si>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</si>
  <si>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</si>
  <si>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</si>
  <si>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</si>
  <si>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</si>
  <si>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</si>
  <si>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</si>
  <si>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</si>
  <si>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</si>
  <si>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</si>
  <si>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</si>
  <si>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</si>
  <si>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</si>
  <si>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</si>
  <si>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</si>
  <si>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</si>
  <si>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</si>
  <si>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</si>
  <si>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</si>
  <si>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</si>
  <si>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</si>
  <si>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</si>
  <si>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</si>
  <si>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</si>
  <si>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</si>
  <si>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</si>
  <si>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</si>
  <si>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</si>
  <si>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</si>
  <si>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</si>
  <si>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</si>
  <si>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</si>
  <si>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</si>
  <si>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</si>
  <si>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</si>
  <si>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</si>
  <si>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</si>
  <si>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</si>
  <si>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</si>
  <si>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</si>
  <si>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</si>
  <si>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</si>
  <si>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</si>
  <si>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</si>
  <si>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</si>
  <si>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</si>
  <si>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</si>
  <si>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</si>
  <si>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</si>
  <si>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</si>
  <si>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</si>
  <si>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</si>
  <si>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</si>
  <si>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</si>
  <si>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</si>
  <si>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</si>
  <si>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</si>
  <si>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</si>
  <si>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</si>
  <si>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</si>
  <si>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</si>
  <si>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</si>
  <si>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</si>
  <si>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</si>
  <si>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</si>
  <si>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</si>
  <si>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</si>
  <si>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</si>
  <si>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</si>
  <si>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</si>
  <si>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</si>
  <si>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</si>
  <si>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</si>
  <si>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</si>
  <si>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</si>
  <si>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</si>
  <si>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</si>
  <si>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</si>
  <si>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</si>
  <si>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</si>
  <si>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</si>
  <si>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</si>
  <si>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</si>
  <si>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</si>
  <si>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</si>
  <si>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</si>
  <si>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</si>
  <si>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</si>
  <si>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</si>
  <si>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</si>
  <si>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</si>
  <si>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</si>
  <si>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</si>
  <si>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</si>
  <si>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</si>
  <si>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</si>
  <si>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</si>
  <si>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</si>
  <si>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</si>
  <si>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</si>
  <si>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</si>
  <si>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</si>
  <si>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</si>
  <si>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</si>
  <si>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</si>
  <si>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</si>
  <si>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</si>
  <si>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</si>
  <si>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</si>
  <si>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</si>
  <si>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</si>
  <si>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</si>
  <si>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</si>
  <si>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</si>
  <si>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</si>
  <si>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</si>
  <si>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</si>
  <si>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</si>
  <si>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</si>
  <si>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</si>
  <si>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</si>
  <si>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</si>
  <si>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</si>
  <si>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</si>
  <si>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</si>
  <si>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</si>
  <si>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</si>
  <si>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</si>
  <si>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</si>
  <si>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</si>
  <si>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</si>
  <si>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</si>
  <si>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</si>
  <si>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</si>
  <si>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</si>
  <si>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</si>
  <si>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</si>
  <si>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</si>
  <si>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</si>
  <si>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</si>
  <si>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</si>
  <si>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</si>
  <si>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</si>
  <si>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</si>
  <si>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</si>
  <si>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</si>
  <si>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</si>
  <si>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</si>
  <si>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</si>
  <si>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</si>
  <si>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</si>
  <si>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</si>
  <si>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</si>
  <si>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</si>
  <si>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</si>
  <si>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</si>
  <si>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</si>
  <si>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</si>
  <si>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</si>
  <si>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</si>
  <si>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</si>
  <si>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</si>
  <si>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</si>
  <si>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</si>
  <si>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</si>
  <si>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</si>
  <si>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</si>
  <si>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</si>
  <si>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</si>
  <si>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</si>
  <si>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</si>
  <si>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</si>
  <si>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</si>
  <si>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</si>
  <si>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</si>
  <si>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</si>
  <si>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</si>
  <si>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</si>
  <si>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</si>
  <si>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</si>
  <si>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</si>
  <si>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</si>
  <si>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</si>
  <si>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</si>
  <si>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</si>
  <si>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</si>
  <si>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</si>
  <si>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</si>
  <si>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</si>
  <si>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</si>
  <si>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</si>
  <si>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</si>
  <si>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</si>
  <si>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</si>
  <si>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</si>
  <si>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</si>
  <si>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</si>
  <si>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</si>
  <si>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</si>
  <si>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</si>
  <si>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</si>
  <si>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</si>
  <si>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</si>
  <si>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</si>
  <si>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</si>
  <si>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</si>
  <si>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</si>
  <si>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</si>
  <si>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</si>
  <si>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</si>
  <si>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</si>
  <si>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</si>
  <si>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</si>
  <si>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</si>
  <si>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</si>
  <si>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</si>
  <si>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</si>
  <si>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</si>
  <si>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</si>
  <si>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</si>
  <si>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</si>
  <si>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</si>
  <si>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</si>
  <si>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</si>
  <si>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</si>
  <si>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</si>
  <si>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</si>
  <si>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</si>
  <si>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</si>
  <si>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</si>
  <si>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</si>
  <si>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</si>
  <si>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</si>
  <si>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</si>
  <si>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</si>
  <si>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</si>
  <si>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</si>
  <si>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</si>
  <si>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</si>
  <si>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</si>
  <si>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</si>
  <si>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</si>
  <si>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</si>
  <si>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</si>
  <si>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</si>
  <si>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</si>
  <si>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</si>
  <si>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</si>
  <si>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</si>
  <si>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</si>
  <si>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</si>
  <si>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</si>
  <si>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</si>
  <si>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</si>
  <si>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</si>
  <si>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</si>
  <si>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</si>
  <si>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</si>
  <si>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</si>
  <si>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</si>
  <si>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</si>
  <si>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</si>
  <si>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</si>
  <si>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</si>
  <si>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</si>
  <si>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</si>
  <si>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</si>
  <si>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</si>
  <si>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</si>
  <si>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</si>
  <si>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</si>
  <si>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</si>
  <si>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</si>
  <si>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</si>
  <si>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</si>
  <si>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</si>
  <si>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</si>
  <si>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</si>
  <si>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</si>
  <si>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</si>
  <si>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</si>
  <si>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</si>
  <si>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</si>
  <si>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</si>
  <si>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</si>
  <si>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</si>
  <si>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</si>
  <si>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</si>
  <si>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</si>
  <si>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</si>
  <si>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</si>
  <si>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</si>
  <si>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</si>
  <si>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</si>
  <si>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</si>
  <si>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</si>
  <si>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</si>
  <si>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</si>
  <si>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</si>
  <si>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</si>
  <si>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</si>
  <si>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</si>
  <si>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</si>
  <si>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</si>
  <si>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</si>
  <si>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</si>
  <si>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</si>
  <si>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</si>
  <si>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</si>
  <si>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</si>
  <si>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</si>
  <si>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</si>
  <si>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</si>
  <si>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</si>
  <si>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</si>
  <si>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</si>
  <si>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</si>
  <si>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</si>
  <si>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</si>
  <si>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</si>
  <si>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</si>
  <si>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</si>
  <si>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</si>
  <si>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</si>
  <si>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</si>
  <si>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</si>
  <si>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</si>
  <si>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</si>
  <si>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</si>
  <si>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</si>
  <si>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</si>
  <si>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</si>
  <si>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</si>
  <si>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</si>
  <si>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</si>
  <si>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</si>
  <si>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</si>
  <si>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</si>
  <si>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</si>
  <si>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</si>
  <si>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</si>
  <si>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</si>
  <si>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</si>
  <si>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</si>
  <si>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</si>
  <si>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</si>
  <si>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</si>
  <si>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</si>
  <si>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</si>
  <si>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</si>
  <si>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</si>
  <si>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</si>
  <si>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</si>
  <si>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</si>
  <si>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</si>
  <si>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</si>
  <si>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</si>
  <si>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</si>
  <si>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</si>
  <si>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</si>
  <si>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</si>
  <si>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</si>
  <si>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</si>
  <si>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</si>
  <si>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</si>
  <si>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</si>
  <si>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</si>
  <si>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</si>
  <si>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</si>
  <si>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</si>
  <si>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</si>
  <si>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</si>
  <si>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</si>
  <si>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</si>
  <si>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</si>
  <si>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</si>
  <si>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</si>
  <si>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</si>
  <si>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</si>
  <si>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</si>
  <si>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</si>
  <si>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</si>
  <si>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</si>
  <si>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</si>
  <si>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</si>
  <si>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</si>
  <si>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</si>
  <si>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</si>
  <si>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</si>
  <si>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</si>
  <si>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</si>
  <si>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</si>
  <si>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</si>
  <si>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</si>
  <si>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</si>
  <si>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</si>
  <si>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</si>
  <si>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</si>
  <si>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</si>
  <si>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</si>
  <si>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</si>
  <si>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</si>
  <si>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</si>
  <si>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</si>
  <si>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</si>
  <si>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</si>
  <si>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</si>
  <si>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</si>
  <si>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</si>
  <si>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</si>
  <si>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</si>
  <si>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</si>
  <si>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</si>
  <si>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</si>
  <si>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</si>
  <si>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</si>
  <si>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</si>
  <si>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</si>
  <si>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</si>
  <si>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</si>
  <si>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</si>
  <si>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</si>
  <si>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</si>
  <si>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</si>
  <si>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</si>
  <si>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</si>
  <si>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</si>
  <si>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</si>
  <si>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</si>
  <si>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</si>
  <si>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</si>
  <si>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</si>
  <si>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</si>
  <si>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</si>
  <si>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</si>
  <si>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</si>
  <si>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</si>
  <si>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</si>
  <si>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</si>
  <si>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</si>
  <si>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</si>
  <si>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</si>
  <si>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</si>
  <si>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</si>
  <si>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</si>
  <si>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</si>
  <si>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</si>
  <si>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</si>
  <si>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</si>
  <si>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</si>
  <si>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</si>
  <si>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</si>
  <si>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</si>
  <si>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</si>
  <si>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</si>
  <si>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</si>
  <si>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</si>
  <si>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</si>
  <si>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</si>
  <si>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</si>
  <si>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</si>
  <si>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</si>
  <si>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</si>
  <si>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</si>
  <si>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</si>
  <si>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</si>
  <si>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</si>
  <si>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</si>
  <si>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</si>
  <si>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</si>
  <si>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</si>
  <si>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</si>
  <si>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</si>
  <si>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</si>
  <si>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</si>
  <si>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</si>
  <si>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</si>
  <si>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</si>
  <si>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</si>
  <si>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</si>
  <si>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</si>
  <si>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</si>
  <si>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</si>
  <si>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</si>
  <si>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</si>
  <si>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</si>
  <si>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</si>
  <si>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</si>
  <si>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</si>
  <si>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</si>
  <si>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</si>
  <si>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</si>
  <si>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</si>
  <si>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</si>
  <si>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</si>
  <si>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</si>
  <si>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</si>
  <si>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</si>
  <si>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</si>
  <si>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</si>
  <si>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</si>
  <si>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</si>
  <si>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</si>
  <si>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</si>
  <si>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</si>
  <si>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</si>
  <si>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</si>
  <si>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</si>
  <si>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</si>
  <si>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</si>
  <si>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</si>
  <si>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</si>
  <si>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</si>
  <si>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</si>
  <si>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</si>
  <si>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</si>
  <si>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</si>
  <si>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</si>
  <si>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</si>
  <si>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</si>
  <si>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</si>
  <si>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</si>
  <si>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</si>
  <si>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</si>
  <si>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</si>
  <si>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</si>
  <si>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</si>
  <si>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</si>
  <si>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</si>
  <si>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</si>
  <si>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</si>
  <si>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</si>
  <si>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</si>
  <si>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</si>
  <si>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</si>
  <si>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</si>
  <si>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</si>
  <si>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</si>
  <si>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</si>
  <si>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</si>
  <si>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</si>
  <si>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</si>
  <si>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</si>
  <si>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</si>
  <si>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</si>
  <si>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</si>
  <si>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</si>
  <si>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</si>
  <si>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</si>
  <si>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</si>
  <si>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</si>
  <si>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</si>
  <si>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</si>
  <si>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</si>
  <si>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</si>
  <si>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</si>
  <si>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</si>
  <si>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</si>
  <si>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</si>
  <si>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</si>
  <si>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</si>
  <si>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</si>
  <si>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</si>
  <si>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</si>
  <si>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</si>
  <si>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</si>
  <si>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</si>
  <si>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</si>
  <si>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</si>
  <si>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</si>
  <si>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</si>
  <si>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</si>
  <si>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</si>
  <si>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</si>
  <si>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</si>
  <si>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</si>
  <si>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</si>
  <si>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</si>
  <si>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</si>
  <si>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</si>
  <si>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</si>
  <si>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</si>
  <si>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</si>
  <si>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</si>
  <si>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</si>
  <si>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</si>
  <si>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</si>
  <si>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</si>
  <si>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</si>
  <si>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</si>
  <si>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</si>
  <si>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</si>
  <si>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</si>
  <si>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</si>
  <si>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</si>
  <si>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</si>
  <si>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</si>
  <si>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</si>
  <si>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</si>
  <si>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</si>
  <si>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</si>
  <si>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</si>
  <si>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</si>
  <si>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</si>
  <si>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</si>
  <si>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</si>
  <si>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</si>
  <si>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</si>
  <si>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</si>
  <si>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</si>
  <si>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</si>
  <si>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</si>
  <si>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</si>
  <si>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</si>
  <si>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</si>
  <si>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</si>
  <si>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</si>
  <si>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</si>
  <si>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</si>
  <si>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</si>
  <si>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</si>
  <si>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</si>
  <si>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</si>
  <si>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</si>
  <si>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</si>
  <si>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</si>
  <si>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</si>
  <si>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</si>
  <si>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</si>
  <si>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</si>
  <si>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</si>
  <si>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</si>
  <si>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</si>
  <si>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</si>
  <si>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</si>
  <si>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</si>
  <si>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</si>
  <si>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</si>
  <si>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</si>
  <si>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</si>
  <si>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</si>
  <si>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</si>
  <si>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</si>
  <si>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</si>
  <si>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</si>
  <si>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</si>
  <si>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</si>
  <si>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</si>
  <si>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</si>
  <si>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</si>
  <si>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</si>
  <si>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</si>
  <si>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</si>
  <si>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</si>
  <si>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</si>
  <si>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</si>
  <si>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</si>
  <si>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</si>
  <si>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</si>
  <si>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</si>
  <si>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</si>
  <si>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</si>
  <si>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</si>
  <si>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</si>
  <si>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</si>
  <si>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</si>
  <si>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</si>
  <si>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</si>
  <si>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</si>
  <si>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</si>
  <si>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</si>
  <si>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</si>
  <si>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</si>
  <si>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</si>
  <si>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</si>
  <si>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</si>
  <si>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</si>
  <si>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</si>
  <si>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</si>
  <si>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</si>
  <si>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</si>
  <si>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</si>
  <si>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</si>
  <si>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</si>
  <si>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</si>
  <si>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</si>
  <si>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</si>
  <si>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</si>
  <si>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</si>
  <si>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</si>
  <si>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</si>
  <si>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</si>
  <si>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</si>
  <si>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</si>
  <si>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</si>
  <si>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</si>
  <si>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</si>
  <si>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</si>
  <si>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</si>
  <si>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</si>
  <si>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</si>
  <si>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</si>
  <si>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</si>
  <si>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</si>
  <si>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</si>
  <si>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</si>
  <si>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</si>
  <si>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</si>
  <si>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</si>
  <si>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</si>
  <si>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</si>
  <si>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</si>
  <si>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</si>
  <si>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</si>
  <si>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</si>
  <si>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</si>
  <si>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</si>
  <si>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</si>
  <si>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</si>
  <si>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</si>
  <si>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</si>
  <si>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</si>
  <si>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</si>
  <si>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</si>
  <si>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</si>
  <si>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</si>
  <si>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</si>
  <si>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</si>
  <si>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</si>
  <si>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</si>
  <si>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</si>
  <si>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</si>
  <si>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</si>
  <si>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</si>
  <si>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</si>
  <si>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</si>
  <si>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</si>
  <si>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</si>
  <si>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</si>
  <si>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</si>
  <si>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</si>
  <si>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</si>
  <si>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</si>
  <si>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</si>
  <si>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</si>
  <si>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</si>
  <si>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</si>
  <si>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</si>
  <si>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</si>
  <si>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</si>
  <si>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</si>
  <si>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</si>
  <si>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</si>
  <si>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</si>
  <si>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</si>
  <si>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</si>
  <si>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</si>
  <si>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</si>
  <si>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</si>
  <si>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</si>
  <si>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</si>
  <si>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</si>
  <si>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</si>
  <si>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</si>
  <si>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</si>
  <si>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</si>
  <si>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</si>
  <si>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</si>
  <si>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</si>
  <si>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</si>
  <si>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</si>
  <si>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</si>
  <si>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</si>
  <si>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</si>
  <si>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</si>
  <si>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</si>
  <si>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</si>
  <si>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</si>
  <si>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</si>
  <si>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</si>
  <si>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</si>
  <si>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</si>
  <si>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</si>
  <si>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</si>
  <si>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</si>
  <si>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</si>
  <si>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</si>
  <si>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</si>
  <si>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</si>
  <si>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</si>
  <si>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</si>
  <si>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</si>
  <si>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</si>
  <si>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</si>
  <si>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</si>
  <si>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</si>
  <si>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</si>
  <si>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</si>
  <si>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</si>
  <si>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</si>
  <si>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</si>
  <si>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</si>
  <si>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</si>
  <si>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</si>
  <si>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</si>
  <si>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</si>
  <si>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</si>
  <si>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</si>
  <si>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</si>
  <si>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</si>
  <si>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</si>
  <si>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</si>
  <si>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</si>
  <si>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</si>
  <si>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</si>
  <si>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</si>
  <si>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</si>
  <si>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</si>
  <si>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</si>
  <si>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</si>
  <si>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</si>
  <si>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</si>
  <si>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</si>
  <si>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</si>
  <si>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</si>
  <si>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</si>
  <si>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</si>
  <si>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</si>
  <si>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</si>
  <si>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</si>
  <si>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</si>
  <si>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</si>
  <si>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</si>
  <si>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</si>
  <si>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</si>
  <si>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</si>
  <si>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</si>
  <si>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</si>
  <si>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</si>
  <si>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</si>
  <si>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</si>
  <si>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</si>
  <si>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</si>
  <si>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</si>
  <si>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</si>
  <si>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</si>
  <si>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</si>
  <si>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</si>
  <si>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</si>
  <si>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</si>
  <si>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</si>
  <si>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</si>
  <si>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</si>
  <si>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</si>
  <si>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</si>
  <si>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</si>
  <si>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</si>
  <si>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</si>
  <si>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</si>
  <si>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</si>
  <si>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</si>
  <si>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</si>
  <si>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</si>
  <si>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</si>
  <si>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</si>
  <si>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</si>
  <si>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</si>
  <si>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</si>
  <si>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</si>
  <si>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</si>
  <si>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</si>
  <si>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</si>
  <si>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</si>
  <si>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</si>
  <si>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</si>
  <si>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</si>
  <si>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</si>
  <si>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</si>
  <si>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</si>
  <si>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</si>
  <si>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</si>
  <si>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</si>
  <si>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</si>
  <si>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</si>
  <si>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</si>
  <si>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</si>
  <si>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</si>
  <si>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</si>
  <si>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</si>
  <si>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</si>
  <si>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</si>
  <si>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</si>
  <si>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</si>
  <si>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</si>
  <si>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</si>
  <si>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</si>
  <si>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</si>
  <si>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</si>
  <si>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</si>
  <si>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</si>
  <si>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</si>
  <si>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</si>
  <si>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</si>
  <si>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</si>
  <si>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</si>
  <si>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</si>
  <si>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</si>
  <si>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</si>
  <si>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</si>
  <si>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</si>
  <si>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</si>
  <si>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</si>
  <si>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</si>
  <si>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</si>
  <si>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</si>
  <si>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</si>
  <si>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</si>
  <si>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</si>
  <si>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</si>
  <si>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</si>
  <si>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</si>
  <si>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</si>
  <si>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</si>
  <si>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</si>
  <si>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</si>
  <si>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</si>
  <si>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</si>
  <si>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</si>
  <si>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</si>
  <si>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</si>
  <si>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</si>
  <si>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</si>
  <si>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</si>
  <si>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</si>
  <si>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</si>
  <si>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</si>
  <si>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</si>
  <si>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</si>
  <si>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</si>
  <si>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</si>
  <si>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</si>
  <si>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</si>
  <si>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</si>
  <si>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</si>
  <si>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</si>
  <si>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</si>
  <si>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</si>
  <si>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</si>
  <si>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</si>
  <si>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</si>
  <si>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</si>
  <si>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</si>
  <si>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</si>
  <si>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</si>
  <si>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</si>
  <si>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</si>
  <si>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</si>
  <si>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</si>
  <si>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</si>
  <si>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</si>
  <si>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</si>
  <si>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</si>
  <si>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</si>
  <si>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</si>
  <si>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</si>
  <si>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</si>
  <si>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</si>
  <si>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</si>
  <si>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</si>
  <si>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</si>
  <si>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</si>
  <si>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</si>
  <si>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</si>
  <si>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</si>
  <si>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</si>
  <si>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</si>
  <si>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</si>
  <si>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</si>
  <si>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</si>
  <si>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</si>
  <si>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</si>
  <si>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</si>
  <si>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</si>
  <si>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</si>
  <si>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</si>
  <si>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</si>
  <si>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</si>
  <si>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</si>
  <si>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</si>
  <si>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</si>
  <si>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</si>
  <si>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</si>
  <si>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</si>
  <si>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</si>
  <si>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</si>
  <si>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</si>
  <si>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</si>
  <si>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</si>
  <si>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</si>
  <si>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</si>
  <si>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</si>
  <si>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</si>
  <si>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</si>
  <si>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</si>
  <si>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</si>
  <si>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</si>
  <si>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</si>
  <si>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</si>
  <si>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</si>
  <si>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</si>
  <si>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</si>
  <si>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</si>
  <si>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</si>
  <si>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</si>
  <si>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</si>
  <si>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</si>
  <si>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</si>
  <si>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</si>
  <si>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</si>
  <si>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</si>
  <si>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</si>
  <si>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</si>
  <si>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</si>
  <si>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</si>
  <si>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</si>
  <si>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</si>
  <si>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</si>
  <si>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</si>
  <si>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</si>
  <si>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</si>
  <si>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</si>
  <si>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</si>
  <si>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</si>
  <si>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</si>
  <si>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</si>
  <si>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</si>
  <si>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</si>
  <si>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</si>
  <si>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</si>
  <si>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</si>
  <si>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</si>
  <si>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</si>
  <si>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</si>
  <si>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</si>
  <si>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</si>
  <si>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</si>
  <si>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</si>
  <si>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</si>
  <si>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</si>
  <si>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</si>
  <si>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</si>
  <si>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</si>
  <si>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</si>
  <si>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</si>
  <si>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</si>
  <si>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</si>
  <si>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</si>
  <si>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</si>
  <si>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</si>
  <si>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</si>
  <si>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</si>
  <si>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</si>
  <si>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</si>
  <si>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</si>
  <si>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</si>
  <si>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</si>
  <si>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</si>
  <si>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</si>
  <si>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</si>
  <si>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</si>
  <si>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</si>
  <si>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</si>
  <si>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</si>
  <si>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</si>
  <si>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</si>
  <si>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</si>
  <si>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</si>
  <si>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</si>
  <si>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</si>
  <si>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</si>
  <si>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</si>
  <si>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</si>
  <si>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</si>
  <si>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</si>
  <si>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</si>
  <si>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</si>
  <si>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</si>
  <si>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</si>
  <si>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</si>
  <si>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</si>
  <si>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</si>
  <si>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</si>
  <si>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</si>
  <si>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</si>
  <si>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</si>
  <si>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</si>
  <si>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</si>
  <si>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</si>
  <si>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</si>
  <si>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</si>
  <si>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</si>
  <si>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</si>
  <si>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</si>
  <si>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</si>
  <si>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</si>
  <si>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</si>
  <si>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</si>
  <si>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</si>
  <si>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</si>
  <si>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</si>
  <si>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</si>
  <si>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</si>
  <si>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</si>
  <si>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</si>
  <si>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</si>
  <si>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</si>
  <si>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</si>
  <si>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</si>
  <si>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</si>
  <si>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</si>
  <si>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</si>
  <si>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</si>
  <si>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</si>
  <si>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</si>
  <si>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</si>
  <si>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</si>
  <si>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</si>
  <si>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</si>
  <si>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</si>
  <si>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</si>
  <si>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</si>
  <si>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</si>
  <si>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</si>
  <si>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</si>
  <si>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</si>
  <si>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</si>
  <si>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</si>
  <si>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</si>
  <si>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</si>
  <si>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</si>
  <si>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</si>
  <si>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</si>
  <si>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</si>
  <si>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</si>
  <si>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</si>
  <si>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</si>
  <si>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</si>
  <si>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</si>
  <si>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</si>
  <si>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</si>
  <si>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</si>
  <si>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</si>
  <si>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</si>
  <si>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</si>
  <si>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</si>
  <si>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</si>
  <si>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</si>
  <si>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</si>
  <si>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</si>
  <si>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</si>
  <si>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</si>
  <si>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</si>
  <si>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</si>
  <si>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</si>
  <si>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</si>
  <si>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</si>
  <si>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</si>
  <si>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</si>
  <si>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</si>
  <si>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</si>
  <si>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</si>
  <si>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</si>
  <si>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</si>
  <si>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</si>
  <si>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</si>
  <si>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</si>
  <si>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</si>
  <si>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</si>
  <si>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</si>
  <si>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</si>
  <si>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</si>
  <si>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</si>
  <si>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</si>
  <si>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</si>
  <si>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</si>
  <si>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</si>
  <si>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</si>
  <si>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</si>
  <si>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</si>
  <si>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</si>
  <si>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</si>
  <si>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</si>
  <si>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</si>
  <si>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</si>
  <si>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</si>
  <si>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</si>
  <si>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</si>
  <si>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</si>
  <si>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</si>
  <si>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</si>
  <si>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</si>
  <si>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</si>
  <si>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</si>
  <si>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</si>
  <si>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</si>
  <si>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</si>
  <si>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</si>
  <si>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</si>
  <si>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</si>
  <si>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</si>
  <si>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</si>
  <si>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</si>
  <si>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</si>
  <si>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</si>
  <si>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</si>
  <si>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</si>
  <si>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</si>
  <si>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</si>
  <si>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</si>
  <si>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</si>
  <si>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</si>
  <si>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</si>
  <si>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</si>
  <si>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</si>
  <si>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</si>
  <si>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</si>
  <si>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</si>
  <si>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</si>
  <si>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</si>
  <si>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</si>
  <si>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</si>
  <si>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</si>
  <si>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</si>
  <si>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</si>
  <si>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</si>
  <si>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</si>
  <si>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</si>
  <si>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</si>
  <si>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</si>
  <si>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</si>
  <si>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</si>
  <si>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</si>
  <si>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</si>
  <si>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</si>
  <si>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</si>
  <si>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</si>
  <si>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</si>
  <si>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</si>
  <si>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</si>
  <si>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</si>
  <si>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</si>
  <si>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</si>
  <si>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</si>
  <si>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</si>
  <si>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</si>
  <si>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</si>
  <si>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</si>
  <si>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</si>
  <si>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</si>
  <si>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</si>
  <si>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</si>
  <si>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</si>
  <si>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</si>
  <si>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</si>
  <si>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</si>
  <si>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</si>
  <si>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</si>
  <si>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</si>
  <si>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</si>
  <si>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</si>
  <si>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</si>
  <si>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</si>
  <si>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</si>
  <si>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</si>
  <si>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</si>
  <si>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</si>
  <si>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</si>
  <si>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</si>
  <si>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</si>
  <si>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</si>
  <si>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</si>
  <si>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</si>
  <si>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</si>
  <si>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</si>
  <si>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</si>
  <si>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</si>
  <si>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</si>
  <si>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</si>
  <si>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</si>
  <si>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</si>
  <si>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</si>
  <si>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</si>
  <si>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</si>
  <si>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</si>
  <si>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</si>
  <si>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</si>
  <si>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</si>
  <si>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</si>
  <si>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</si>
  <si>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</si>
  <si>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</si>
  <si>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</si>
  <si>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</si>
  <si>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</si>
  <si>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</si>
  <si>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</si>
  <si>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</si>
  <si>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</si>
  <si>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</si>
  <si>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</si>
  <si>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</si>
  <si>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</si>
  <si>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</si>
  <si>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</si>
  <si>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</si>
  <si>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</si>
  <si>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</si>
  <si>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</si>
  <si>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</si>
  <si>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</si>
  <si>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</si>
  <si>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</si>
  <si>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</si>
  <si>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</si>
  <si>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</si>
  <si>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</si>
  <si>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</si>
  <si>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</si>
  <si>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</si>
  <si>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</si>
  <si>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</si>
  <si>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</si>
  <si>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</si>
  <si>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</si>
  <si>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</si>
  <si>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</si>
  <si>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</si>
  <si>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</si>
  <si>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</si>
  <si>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</si>
  <si>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</si>
  <si>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</si>
  <si>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</si>
  <si>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</si>
  <si>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</si>
  <si>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</si>
  <si>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</si>
  <si>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</si>
  <si>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</si>
  <si>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</si>
  <si>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</si>
  <si>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</si>
  <si>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</si>
  <si>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</si>
  <si>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</si>
  <si>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</si>
  <si>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</si>
  <si>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</si>
  <si>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</si>
  <si>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</si>
  <si>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</si>
  <si>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</si>
  <si>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</si>
  <si>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</si>
  <si>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</si>
  <si>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</si>
  <si>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</si>
  <si>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</si>
  <si>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</si>
  <si>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</si>
  <si>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</si>
  <si>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</si>
  <si>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</si>
  <si>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</si>
  <si>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</si>
  <si>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</si>
  <si>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</si>
  <si>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</si>
  <si>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</si>
  <si>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</si>
  <si>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</si>
  <si>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</si>
  <si>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</si>
  <si>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</si>
  <si>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</si>
  <si>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</si>
  <si>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</si>
  <si>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</si>
  <si>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</si>
  <si>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</si>
  <si>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</si>
  <si>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</si>
  <si>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</si>
  <si>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</si>
  <si>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</si>
  <si>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</si>
  <si>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</si>
  <si>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</si>
  <si>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</si>
  <si>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</si>
  <si>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</si>
  <si>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</si>
  <si>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</si>
  <si>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</si>
  <si>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</si>
  <si>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</si>
  <si>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</si>
  <si>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</si>
  <si>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</si>
  <si>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</si>
  <si>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</si>
  <si>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</si>
  <si>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</si>
  <si>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</si>
  <si>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</si>
  <si>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</si>
  <si>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</si>
  <si>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</si>
  <si>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</si>
  <si>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</si>
  <si>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</si>
  <si>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</si>
  <si>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</si>
  <si>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</si>
  <si>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</si>
  <si>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</si>
  <si>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</si>
  <si>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</si>
  <si>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</si>
  <si>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</si>
  <si>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</si>
  <si>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</si>
  <si>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</si>
  <si>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</si>
  <si>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</si>
  <si>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</si>
  <si>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</si>
  <si>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</si>
  <si>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</si>
  <si>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</si>
  <si>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</si>
  <si>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</si>
  <si>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</si>
  <si>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</si>
  <si>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</si>
  <si>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</si>
  <si>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</si>
  <si>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</si>
  <si>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</si>
  <si>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</si>
  <si>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</si>
  <si>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</si>
  <si>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</si>
  <si>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</si>
  <si>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</si>
  <si>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</si>
  <si>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</si>
  <si>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</si>
  <si>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</si>
  <si>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</si>
  <si>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</si>
  <si>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</si>
  <si>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</si>
  <si>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</si>
  <si>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</si>
  <si>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</si>
  <si>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</si>
  <si>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</si>
  <si>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</si>
  <si>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</si>
  <si>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</si>
  <si>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</si>
  <si>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</si>
  <si>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</si>
  <si>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</si>
  <si>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</si>
  <si>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</si>
  <si>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</si>
  <si>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</si>
  <si>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</si>
  <si>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</si>
  <si>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</si>
  <si>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</si>
  <si>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</si>
  <si>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</si>
  <si>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</si>
  <si>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</si>
  <si>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</si>
  <si>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</si>
  <si>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</si>
  <si>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</si>
  <si>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</si>
  <si>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</si>
  <si>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</si>
  <si>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</si>
  <si>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</si>
  <si>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</si>
  <si>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</si>
  <si>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</si>
  <si>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</si>
  <si>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</si>
  <si>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</si>
  <si>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</si>
  <si>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</si>
  <si>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</si>
  <si>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</si>
  <si>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</si>
  <si>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</si>
  <si>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</si>
  <si>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</si>
  <si>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</si>
  <si>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</si>
  <si>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</si>
  <si>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</si>
  <si>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</si>
  <si>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</si>
  <si>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</si>
  <si>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</si>
  <si>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</si>
  <si>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</si>
  <si>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</si>
  <si>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</si>
  <si>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</si>
  <si>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</si>
  <si>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</si>
  <si>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</si>
  <si>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</si>
  <si>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</si>
  <si>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</si>
  <si>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</si>
  <si>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</si>
  <si>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</si>
  <si>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</si>
  <si>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</si>
  <si>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</si>
  <si>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</si>
  <si>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</si>
  <si>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</si>
  <si>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</si>
  <si>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</si>
  <si>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</si>
  <si>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</si>
  <si>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</si>
  <si>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</si>
  <si>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</si>
  <si>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</si>
  <si>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</si>
  <si>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</si>
  <si>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</si>
  <si>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</si>
  <si>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</si>
  <si>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</si>
  <si>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</si>
  <si>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</si>
  <si>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</si>
  <si>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</si>
  <si>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</si>
  <si>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</si>
  <si>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</si>
  <si>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</si>
  <si>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</si>
  <si>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</si>
  <si>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</si>
  <si>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</si>
  <si>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</si>
  <si>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</si>
  <si>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</si>
  <si>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</si>
  <si>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</si>
  <si>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</si>
  <si>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</si>
  <si>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</si>
  <si>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</si>
  <si>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</si>
  <si>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</si>
  <si>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</si>
  <si>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</si>
  <si>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</si>
  <si>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</si>
  <si>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</si>
  <si>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</si>
  <si>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</si>
  <si>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</si>
  <si>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</si>
  <si>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</si>
  <si>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</si>
  <si>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</si>
  <si>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</si>
  <si>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</si>
  <si>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</si>
  <si>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</si>
  <si>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</si>
  <si>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</si>
  <si>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</si>
  <si>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</si>
  <si>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</si>
  <si>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</si>
  <si>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</si>
  <si>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</si>
  <si>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</si>
  <si>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</si>
  <si>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</si>
  <si>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</si>
  <si>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</si>
  <si>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</si>
  <si>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</si>
  <si>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</si>
  <si>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</si>
  <si>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</si>
  <si>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</si>
  <si>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</si>
  <si>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</si>
  <si>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</si>
  <si>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</si>
  <si>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</si>
  <si>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</si>
  <si>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</si>
  <si>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</si>
  <si>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</si>
  <si>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</si>
  <si>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</si>
  <si>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</si>
  <si>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</si>
  <si>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</si>
  <si>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</si>
  <si>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</si>
  <si>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</si>
  <si>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</si>
  <si>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</si>
  <si>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</si>
  <si>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</si>
  <si>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</si>
  <si>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</si>
  <si>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</si>
  <si>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</si>
  <si>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</si>
  <si>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</si>
  <si>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</si>
  <si>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</si>
  <si>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</si>
  <si>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</si>
  <si>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</si>
  <si>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</si>
  <si>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</si>
  <si>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</si>
  <si>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</si>
  <si>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</si>
  <si>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</si>
  <si>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</si>
  <si>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</si>
  <si>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</si>
  <si>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</si>
  <si>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</si>
  <si>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</si>
  <si>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</si>
  <si>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</si>
  <si>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</si>
  <si>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</si>
  <si>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</si>
  <si>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</si>
  <si>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</si>
  <si>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</si>
  <si>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</si>
  <si>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</si>
  <si>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</si>
  <si>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</si>
  <si>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</si>
  <si>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</si>
  <si>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</si>
  <si>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</si>
  <si>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</si>
  <si>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</si>
  <si>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</si>
  <si>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</si>
  <si>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</si>
  <si>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</si>
  <si>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</si>
  <si>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</si>
  <si>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</si>
  <si>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</si>
  <si>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</si>
  <si>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</si>
  <si>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</si>
  <si>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</si>
  <si>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</si>
  <si>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</si>
  <si>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</si>
  <si>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</si>
  <si>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</si>
  <si>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</si>
  <si>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</si>
  <si>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</si>
  <si>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</si>
  <si>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</si>
  <si>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</si>
  <si>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</si>
  <si>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</si>
  <si>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</si>
  <si>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</si>
  <si>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</si>
  <si>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</si>
  <si>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</si>
  <si>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</si>
  <si>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</si>
  <si>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</si>
  <si>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</si>
  <si>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</si>
  <si>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</si>
  <si>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</si>
  <si>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</si>
  <si>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</si>
  <si>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</si>
  <si>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</si>
  <si>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</si>
  <si>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</si>
  <si>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</si>
  <si>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</si>
  <si>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</si>
  <si>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</si>
  <si>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</si>
  <si>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</si>
  <si>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</si>
  <si>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</si>
  <si>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</si>
  <si>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</si>
  <si>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</si>
  <si>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</si>
  <si>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</si>
  <si>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</si>
  <si>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</si>
  <si>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</si>
  <si>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</si>
  <si>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</si>
  <si>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</si>
  <si>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</si>
  <si>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</si>
  <si>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</si>
  <si>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</si>
  <si>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</si>
  <si>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</si>
  <si>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</si>
  <si>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</si>
  <si>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</si>
  <si>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</si>
  <si>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</si>
  <si>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</si>
  <si>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</si>
  <si>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</si>
  <si>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</si>
  <si>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</si>
  <si>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</si>
  <si>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</si>
  <si>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</si>
  <si>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</si>
  <si>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</si>
  <si>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</si>
  <si>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</si>
  <si>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</si>
  <si>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</si>
  <si>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</si>
  <si>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</si>
  <si>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</si>
  <si>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</si>
  <si>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</si>
  <si>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</si>
  <si>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</si>
  <si>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</si>
  <si>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</si>
  <si>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</si>
  <si>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</si>
  <si>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</si>
  <si>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</si>
  <si>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</si>
  <si>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</si>
  <si>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</si>
  <si>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</si>
  <si>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</si>
  <si>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</si>
  <si>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</si>
  <si>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</si>
  <si>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</si>
  <si>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</si>
  <si>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</si>
  <si>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</si>
  <si>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</si>
  <si>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</si>
  <si>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</si>
  <si>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</si>
  <si>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</si>
  <si>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</si>
  <si>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</si>
  <si>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</si>
  <si>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</si>
  <si>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</si>
  <si>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</si>
  <si>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</si>
  <si>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</si>
  <si>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</si>
  <si>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</si>
  <si>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</si>
  <si>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</si>
  <si>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</si>
  <si>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</si>
  <si>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</si>
  <si>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</si>
  <si>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</si>
  <si>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</si>
  <si>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</si>
  <si>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</si>
  <si>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</si>
  <si>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</si>
  <si>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</si>
  <si>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</si>
  <si>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</si>
  <si>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</si>
  <si>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</si>
  <si>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</si>
  <si>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</si>
  <si>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</si>
  <si>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</si>
  <si>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</si>
  <si>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</si>
  <si>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</si>
  <si>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</si>
  <si>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</si>
  <si>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</si>
  <si>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</si>
  <si>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</si>
  <si>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</si>
  <si>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</si>
  <si>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</si>
  <si>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</si>
  <si>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</si>
  <si>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</si>
  <si>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</si>
  <si>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</si>
  <si>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</si>
  <si>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</si>
  <si>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</si>
  <si>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</si>
  <si>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</si>
  <si>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</si>
  <si>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</si>
  <si>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</si>
  <si>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</si>
  <si>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</si>
  <si>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</si>
  <si>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</si>
  <si>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</si>
  <si>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</si>
  <si>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</si>
  <si>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</si>
  <si>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</si>
  <si>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</si>
  <si>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</si>
  <si>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</si>
  <si>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</si>
  <si>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</si>
  <si>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</si>
  <si>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</si>
  <si>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</si>
  <si>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</si>
  <si>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</si>
  <si>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</si>
  <si>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</si>
  <si>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</si>
  <si>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</si>
  <si>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</si>
  <si>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</si>
  <si>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</si>
  <si>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</si>
  <si>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</si>
  <si>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</si>
  <si>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</si>
  <si>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</si>
  <si>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</si>
  <si>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</si>
  <si>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</si>
  <si>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</si>
  <si>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</si>
  <si>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</si>
  <si>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</si>
  <si>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</si>
  <si>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</si>
  <si>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</si>
  <si>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</si>
  <si>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</si>
  <si>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</si>
  <si>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</si>
  <si>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</si>
  <si>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</si>
  <si>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</si>
  <si>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</si>
  <si>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</si>
  <si>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</si>
  <si>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</si>
  <si>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</si>
  <si>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</si>
  <si>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</si>
  <si>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</si>
  <si>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</si>
  <si>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</si>
  <si>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</si>
  <si>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</si>
  <si>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</si>
  <si>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</si>
  <si>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</si>
  <si>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</si>
  <si>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</si>
  <si>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</si>
  <si>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</si>
  <si>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</si>
  <si>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</si>
  <si>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</si>
  <si>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</si>
  <si>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</si>
  <si>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</si>
  <si>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</si>
  <si>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</si>
  <si>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</si>
  <si>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</si>
  <si>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</si>
  <si>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</si>
  <si>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</si>
  <si>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</si>
  <si>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</si>
  <si>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</si>
  <si>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</si>
  <si>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</si>
  <si>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</si>
  <si>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</si>
  <si>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</si>
  <si>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</si>
  <si>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</si>
  <si>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</si>
  <si>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</si>
  <si>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</si>
  <si>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</si>
  <si>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</si>
  <si>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</si>
  <si>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</si>
  <si>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</si>
  <si>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</si>
  <si>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</si>
  <si>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</si>
  <si>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</si>
  <si>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</si>
  <si>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</si>
  <si>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</si>
  <si>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</si>
  <si>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</si>
  <si>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</si>
  <si>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</si>
  <si>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</si>
  <si>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</si>
  <si>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</si>
  <si>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</si>
  <si>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</si>
  <si>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</si>
  <si>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</si>
  <si>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</si>
  <si>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</si>
  <si>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</si>
  <si>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</si>
  <si>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</si>
  <si>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</si>
  <si>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</si>
  <si>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</si>
  <si>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</si>
  <si>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</si>
  <si>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</si>
  <si>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</si>
  <si>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</si>
  <si>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</si>
  <si>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</si>
  <si>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</si>
  <si>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</si>
  <si>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</si>
  <si>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</si>
  <si>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</si>
  <si>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</si>
  <si>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</si>
  <si>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</si>
  <si>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</si>
  <si>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</si>
  <si>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</si>
  <si>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</si>
  <si>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</si>
  <si>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</si>
  <si>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</si>
  <si>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</si>
  <si>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</si>
  <si>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</si>
  <si>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</si>
  <si>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</si>
  <si>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</si>
  <si>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</si>
  <si>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</si>
  <si>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</si>
  <si>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</si>
  <si>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</si>
  <si>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</si>
  <si>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</si>
  <si>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</si>
  <si>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</si>
  <si>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</si>
  <si>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</si>
  <si>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</si>
  <si>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</si>
  <si>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</si>
  <si>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004384167</t>
  </si>
  <si>
    <t>DOUGLAS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</si>
  <si>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</si>
  <si>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</si>
  <si>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</si>
  <si>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</si>
  <si>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</si>
  <si>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</si>
  <si>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</si>
  <si>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</si>
  <si>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</si>
  <si>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</si>
  <si>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</si>
  <si>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</si>
  <si>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</si>
  <si>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</si>
  <si>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</si>
  <si>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</si>
  <si>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</si>
  <si>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</si>
  <si>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</si>
  <si>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</si>
  <si>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</si>
  <si>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</si>
  <si>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</si>
  <si>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</si>
  <si>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</si>
  <si>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</si>
  <si>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</si>
  <si>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</si>
  <si>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</si>
  <si>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</si>
  <si>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</si>
  <si>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</si>
  <si>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</si>
  <si>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</si>
  <si>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</si>
  <si>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</si>
  <si>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</si>
  <si>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</si>
  <si>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</si>
  <si>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</si>
  <si>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</si>
  <si>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</si>
  <si>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</si>
  <si>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</si>
  <si>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</si>
  <si>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</si>
  <si>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</si>
  <si>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</si>
  <si>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</si>
  <si>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</si>
  <si>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</si>
  <si>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</si>
  <si>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</si>
  <si>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</si>
  <si>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</si>
  <si>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</si>
  <si>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</si>
  <si>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</si>
  <si>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</si>
  <si>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</si>
  <si>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</si>
  <si>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</si>
  <si>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</si>
  <si>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</si>
  <si>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</si>
  <si>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</si>
  <si>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</si>
  <si>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NATALIA</t>
  </si>
  <si>
    <t>LARISSA</t>
  </si>
  <si>
    <t>004261201</t>
  </si>
  <si>
    <t>HELIO</t>
  </si>
  <si>
    <t>JOAQUIM</t>
  </si>
  <si>
    <t>ADSON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</si>
  <si>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</si>
  <si>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</si>
  <si>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</si>
  <si>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</si>
  <si>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</si>
  <si>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</si>
  <si>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</si>
  <si>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</si>
  <si>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</si>
  <si>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</si>
  <si>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</si>
  <si>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</si>
  <si>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</si>
  <si>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</si>
  <si>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</si>
  <si>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</si>
  <si>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</si>
  <si>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</si>
  <si>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</si>
  <si>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</si>
  <si>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</si>
  <si>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</si>
  <si>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</si>
  <si>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</si>
  <si>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</si>
  <si>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</si>
  <si>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</si>
  <si>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</si>
  <si>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</si>
  <si>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</si>
  <si>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</si>
  <si>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</si>
  <si>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</si>
  <si>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</si>
  <si>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</si>
  <si>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HELOISA</t>
  </si>
  <si>
    <t>MARCEL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</si>
  <si>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</si>
  <si>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</si>
  <si>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</si>
  <si>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</si>
  <si>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</si>
  <si>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</si>
  <si>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</si>
  <si>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</si>
  <si>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</si>
  <si>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</si>
  <si>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</si>
  <si>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</si>
  <si>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</si>
  <si>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JORGE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</si>
  <si>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</si>
  <si>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</si>
  <si>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</si>
  <si>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</si>
  <si>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</si>
  <si>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</si>
  <si>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</si>
  <si>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</si>
  <si>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MATEUS</t>
  </si>
  <si>
    <t>RACHEL</t>
  </si>
  <si>
    <t>WALTER</t>
  </si>
  <si>
    <t>PHYLIA</t>
  </si>
  <si>
    <t>BENTO</t>
  </si>
  <si>
    <t>004855596</t>
  </si>
  <si>
    <t>MARIANA</t>
  </si>
  <si>
    <t>TATYANA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</si>
  <si>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</si>
  <si>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</si>
  <si>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</si>
  <si>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</si>
  <si>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</si>
  <si>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</si>
  <si>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</si>
  <si>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</si>
  <si>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CLOVIS</t>
  </si>
  <si>
    <t>FLAVIA</t>
  </si>
  <si>
    <t>MAFALDA</t>
  </si>
  <si>
    <t>GENESI</t>
  </si>
  <si>
    <t>LUCYENE</t>
  </si>
  <si>
    <t>RITA</t>
  </si>
  <si>
    <t>GILTON</t>
  </si>
  <si>
    <t>ALINE</t>
  </si>
  <si>
    <t>FERNANDO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</si>
  <si>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</si>
  <si>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</si>
  <si>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</si>
  <si>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</si>
  <si>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</si>
  <si>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</si>
  <si>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</si>
  <si>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</si>
  <si>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</si>
  <si>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</si>
  <si>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</si>
  <si>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</si>
  <si>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</si>
  <si>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</si>
  <si>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</si>
  <si>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</si>
  <si>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</si>
  <si>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</si>
  <si>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</si>
  <si>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</si>
  <si>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</si>
  <si>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</si>
  <si>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</si>
  <si>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JO</t>
  </si>
  <si>
    <t>GABRIELA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</si>
  <si>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</si>
  <si>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</si>
  <si>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</si>
  <si>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</si>
  <si>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</si>
  <si>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</si>
  <si>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</si>
  <si>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</si>
  <si>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</si>
  <si>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</si>
  <si>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</si>
  <si>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</si>
  <si>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</si>
  <si>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</si>
  <si>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</si>
  <si>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</si>
  <si>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</si>
  <si>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</si>
  <si>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</si>
  <si>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</si>
  <si>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</si>
  <si>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MARCUS</t>
  </si>
  <si>
    <t>CESAR</t>
  </si>
  <si>
    <t>ELENE</t>
  </si>
  <si>
    <t>BEATRIZ</t>
  </si>
  <si>
    <t>RODOLFO</t>
  </si>
  <si>
    <t>ROSANE</t>
  </si>
  <si>
    <t>CIRIA</t>
  </si>
  <si>
    <t>BIANCA</t>
  </si>
  <si>
    <t>ERIKA</t>
  </si>
  <si>
    <t>RAPHAELA</t>
  </si>
  <si>
    <t>DANILO</t>
  </si>
  <si>
    <t>STELLA</t>
  </si>
  <si>
    <t>DIOGO</t>
  </si>
  <si>
    <t>JAIME</t>
  </si>
  <si>
    <t>LAIS</t>
  </si>
  <si>
    <t>SUZY</t>
  </si>
  <si>
    <t>JULIO</t>
  </si>
  <si>
    <t>LUCIANA</t>
  </si>
  <si>
    <t>ROBERTO</t>
  </si>
  <si>
    <t>WAGNER</t>
  </si>
  <si>
    <t>005064906</t>
  </si>
  <si>
    <t>BERTILLA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</si>
  <si>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</si>
  <si>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</si>
  <si>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</si>
  <si>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</si>
  <si>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</si>
  <si>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</si>
  <si>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</si>
  <si>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</si>
  <si>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</si>
  <si>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</si>
  <si>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</si>
  <si>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</si>
  <si>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</si>
  <si>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</si>
  <si>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</si>
  <si>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</si>
  <si>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</si>
  <si>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</si>
  <si>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</si>
  <si>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</si>
  <si>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</si>
  <si>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</si>
  <si>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</si>
  <si>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CHRISTIAN</t>
  </si>
  <si>
    <t>POLYANNA</t>
  </si>
  <si>
    <t>OTAVIO</t>
  </si>
  <si>
    <t>KARINA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</si>
  <si>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</si>
  <si>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</si>
  <si>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</si>
  <si>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</si>
  <si>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</si>
  <si>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</si>
  <si>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</si>
  <si>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</si>
  <si>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</si>
  <si>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</si>
  <si>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</si>
  <si>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</si>
  <si>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</si>
  <si>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</si>
  <si>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</si>
  <si>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</si>
  <si>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</si>
  <si>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</si>
  <si>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</si>
  <si>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</si>
  <si>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</si>
  <si>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</si>
  <si>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</si>
  <si>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</si>
  <si>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</si>
  <si>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</si>
  <si>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</si>
  <si>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</si>
  <si>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</si>
  <si>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</si>
  <si>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</si>
  <si>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</si>
  <si>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</si>
  <si>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</si>
  <si>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</si>
  <si>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</si>
  <si>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</si>
  <si>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</si>
  <si>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</si>
  <si>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</si>
  <si>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</si>
  <si>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</si>
  <si>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</si>
  <si>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</si>
  <si>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</si>
  <si>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</si>
  <si>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</si>
  <si>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</si>
  <si>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</si>
  <si>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</si>
  <si>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DAIANNE</t>
  </si>
  <si>
    <t>003691207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</si>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</sst>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2" fontId="36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3" fontId="17" numFmtId="0" xfId="0" applyBorder="1" applyFont="1"/>
    <xf borderId="1" fillId="3" fontId="13" numFmtId="49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8" numFmtId="173" xfId="0" applyAlignment="1" applyBorder="1" applyFont="1" applyNumberFormat="1">
      <alignment horizontal="center"/>
    </xf>
    <xf borderId="1" fillId="0" fontId="38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8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6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8" numFmtId="0" xfId="0" applyAlignment="1" applyBorder="1" applyFont="1">
      <alignment horizontal="left"/>
    </xf>
    <xf borderId="1" fillId="3" fontId="38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8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8" numFmtId="0" xfId="0" applyAlignment="1" applyBorder="1" applyFont="1">
      <alignment horizontal="center" shrinkToFit="0" vertical="bottom" wrapText="0"/>
    </xf>
    <xf borderId="1" fillId="13" fontId="38" numFmtId="0" xfId="0" applyAlignment="1" applyBorder="1" applyFont="1">
      <alignment horizontal="center" shrinkToFit="0" vertical="bottom" wrapText="0"/>
    </xf>
    <xf borderId="1" fillId="2" fontId="36" numFmtId="0" xfId="0" applyAlignment="1" applyBorder="1" applyFont="1">
      <alignment horizontal="center" shrinkToFit="0" wrapText="1"/>
    </xf>
    <xf borderId="1" fillId="2" fontId="36" numFmtId="49" xfId="0" applyAlignment="1" applyBorder="1" applyFont="1" applyNumberFormat="1">
      <alignment horizontal="center" shrinkToFit="0" wrapText="1"/>
    </xf>
    <xf borderId="1" fillId="2" fontId="36" numFmtId="166" xfId="0" applyAlignment="1" applyBorder="1" applyFont="1" applyNumberFormat="1">
      <alignment horizontal="right" shrinkToFit="0" wrapText="1"/>
    </xf>
    <xf borderId="1" fillId="2" fontId="36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8" numFmtId="164" xfId="0" applyAlignment="1" applyBorder="1" applyFont="1" applyNumberFormat="1">
      <alignment horizontal="center" shrinkToFit="0" vertical="bottom" wrapText="0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38" numFmtId="166" xfId="0" applyAlignment="1" applyBorder="1" applyFont="1" applyNumberFormat="1">
      <alignment horizontal="right" shrinkToFit="0" vertical="bottom" wrapText="0"/>
    </xf>
    <xf borderId="13" fillId="3" fontId="38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8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8" numFmtId="166" xfId="0" applyAlignment="1" applyFont="1" applyNumberFormat="1">
      <alignment horizontal="right" shrinkToFit="0" vertical="bottom" wrapText="0"/>
    </xf>
    <xf borderId="0" fillId="3" fontId="38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8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8" numFmtId="0" xfId="0" applyAlignment="1" applyFont="1">
      <alignment horizontal="center" shrinkToFit="0" vertical="bottom" wrapText="0"/>
    </xf>
    <xf borderId="0" fillId="3" fontId="38" numFmtId="10" xfId="0" applyAlignment="1" applyFont="1" applyNumberFormat="1">
      <alignment horizontal="center" shrinkToFit="0" vertical="bottom" wrapText="0"/>
    </xf>
    <xf borderId="0" fillId="3" fontId="38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8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8" numFmtId="165" xfId="0" applyAlignment="1" applyBorder="1" applyFont="1" applyNumberFormat="1">
      <alignment horizontal="center" shrinkToFit="0" vertical="bottom" wrapText="0"/>
    </xf>
    <xf borderId="1" fillId="3" fontId="38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8" numFmtId="49" xfId="0" applyAlignment="1" applyBorder="1" applyFont="1" applyNumberFormat="1">
      <alignment horizontal="center"/>
    </xf>
    <xf borderId="1" fillId="3" fontId="38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8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8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8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8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8" numFmtId="0" xfId="0" applyAlignment="1" applyBorder="1" applyFont="1">
      <alignment horizontal="center" shrinkToFit="0" vertical="bottom" wrapText="0"/>
    </xf>
    <xf borderId="2" fillId="3" fontId="38" numFmtId="166" xfId="0" applyAlignment="1" applyBorder="1" applyFont="1" applyNumberFormat="1">
      <alignment horizontal="right" shrinkToFit="0" vertical="bottom" wrapText="0"/>
    </xf>
    <xf borderId="2" fillId="3" fontId="38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8" numFmtId="168" xfId="0" applyAlignment="1" applyBorder="1" applyFont="1" applyNumberFormat="1">
      <alignment horizontal="center" shrinkToFit="0" vertical="bottom" wrapText="0"/>
    </xf>
    <xf borderId="2" fillId="0" fontId="38" numFmtId="0" xfId="0" applyAlignment="1" applyBorder="1" applyFont="1">
      <alignment horizontal="center" shrinkToFit="0" vertical="bottom" wrapText="0"/>
    </xf>
    <xf borderId="2" fillId="3" fontId="38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8" numFmtId="166" xfId="0" applyAlignment="1" applyBorder="1" applyFont="1" applyNumberFormat="1">
      <alignment horizontal="right" shrinkToFit="0" vertical="bottom" wrapText="0"/>
    </xf>
    <xf borderId="1" fillId="0" fontId="38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8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E0AF2585-D166-4CBA-8664-0A24674CFAF8}" filter="1" showAutoFilter="1">
      <autoFilter ref="$B$1:$N$1"/>
    </customSheetView>
    <customSheetView guid="{6ABE31C0-E26C-48D4-98C8-D04880C01291}" filter="1" showAutoFilter="1">
      <autoFilter ref="$B$1:$N$1"/>
    </customSheetView>
    <customSheetView guid="{DDAD74BE-86DE-4367-A5CC-7F0296794B75}" filter="1" showAutoFilter="1">
      <autoFilter ref="$B$1:$J$1"/>
    </customSheetView>
    <customSheetView guid="{C5A526B1-B488-46A7-A394-1C2652CF562E}" filter="1" showAutoFilter="1">
      <autoFilter ref="$D$1"/>
    </customSheetView>
    <customSheetView guid="{0F73EE46-FEA2-4915-B2A3-49F2E0F02A2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 ht="15.75" customHeight="1">
      <c r="A3" s="20" t="s">
        <v>42</v>
      </c>
      <c r="B3" s="21" t="s">
        <v>43</v>
      </c>
      <c r="C3" s="22" t="s">
        <v>36</v>
      </c>
      <c r="D3" s="5" t="s">
        <v>18</v>
      </c>
      <c r="E3" s="5" t="s">
        <v>29</v>
      </c>
      <c r="F3" s="9" t="s">
        <v>44</v>
      </c>
      <c r="G3" s="5" t="s">
        <v>38</v>
      </c>
      <c r="H3" s="10" t="s">
        <v>39</v>
      </c>
      <c r="I3" s="11" t="s">
        <v>45</v>
      </c>
      <c r="J3" s="12">
        <v>0.012</v>
      </c>
      <c r="K3" s="13" t="s">
        <v>46</v>
      </c>
      <c r="L3" s="14">
        <v>0.1</v>
      </c>
      <c r="M3" s="23" t="s">
        <v>47</v>
      </c>
      <c r="N3" s="23" t="s">
        <v>29</v>
      </c>
      <c r="O3" s="25" t="s">
        <v>48</v>
      </c>
      <c r="P3" s="15"/>
      <c r="Q3" s="15"/>
    </row>
    <row r="4">
      <c r="A4" s="20" t="s">
        <v>49</v>
      </c>
      <c r="B4" s="21" t="s">
        <v>16</v>
      </c>
      <c r="C4" s="22" t="s">
        <v>36</v>
      </c>
      <c r="D4" s="5" t="s">
        <v>18</v>
      </c>
      <c r="E4" s="5" t="s">
        <v>29</v>
      </c>
      <c r="F4" s="9" t="s">
        <v>44</v>
      </c>
      <c r="G4" s="5" t="s">
        <v>38</v>
      </c>
      <c r="H4" s="10" t="s">
        <v>39</v>
      </c>
      <c r="I4" s="11" t="s">
        <v>45</v>
      </c>
      <c r="J4" s="12">
        <v>0.012</v>
      </c>
      <c r="K4" s="13" t="s">
        <v>46</v>
      </c>
      <c r="L4" s="14">
        <v>0.1</v>
      </c>
      <c r="M4" s="23" t="s">
        <v>50</v>
      </c>
      <c r="N4" s="23" t="s">
        <v>29</v>
      </c>
      <c r="O4" s="25" t="s">
        <v>48</v>
      </c>
      <c r="P4" s="26"/>
      <c r="Q4" s="26"/>
    </row>
    <row r="5">
      <c r="A5" s="20" t="s">
        <v>51</v>
      </c>
      <c r="B5" s="21" t="s">
        <v>16</v>
      </c>
      <c r="C5" s="22" t="s">
        <v>36</v>
      </c>
      <c r="D5" s="5" t="s">
        <v>18</v>
      </c>
      <c r="E5" s="5" t="s">
        <v>19</v>
      </c>
      <c r="F5" s="9" t="s">
        <v>52</v>
      </c>
      <c r="G5" s="5" t="s">
        <v>38</v>
      </c>
      <c r="H5" s="10" t="s">
        <v>53</v>
      </c>
      <c r="I5" s="11" t="s">
        <v>54</v>
      </c>
      <c r="J5" s="12">
        <v>0.007</v>
      </c>
      <c r="K5" s="13" t="s">
        <v>24</v>
      </c>
      <c r="L5" s="14">
        <v>0.0</v>
      </c>
      <c r="M5" s="23" t="s">
        <v>55</v>
      </c>
      <c r="N5" s="23" t="s">
        <v>19</v>
      </c>
      <c r="O5" s="25"/>
      <c r="P5" s="26"/>
      <c r="Q5" s="26"/>
    </row>
    <row r="6">
      <c r="A6" s="20" t="s">
        <v>56</v>
      </c>
      <c r="B6" s="21" t="s">
        <v>57</v>
      </c>
      <c r="C6" s="22" t="s">
        <v>36</v>
      </c>
      <c r="D6" s="5" t="s">
        <v>18</v>
      </c>
      <c r="E6" s="5" t="s">
        <v>29</v>
      </c>
      <c r="F6" s="9" t="s">
        <v>58</v>
      </c>
      <c r="G6" s="5" t="s">
        <v>38</v>
      </c>
      <c r="H6" s="10" t="s">
        <v>59</v>
      </c>
      <c r="I6" s="11" t="s">
        <v>60</v>
      </c>
      <c r="J6" s="12">
        <v>0.012</v>
      </c>
      <c r="K6" s="13" t="s">
        <v>24</v>
      </c>
      <c r="L6" s="14">
        <v>0.0</v>
      </c>
      <c r="M6" s="23"/>
      <c r="N6" s="23"/>
      <c r="O6" s="25"/>
      <c r="P6" s="26"/>
      <c r="Q6" s="27" t="s">
        <v>61</v>
      </c>
    </row>
  </sheetData>
  <customSheetViews>
    <customSheetView guid="{C5A526B1-B488-46A7-A394-1C2652CF562E}" filter="1" showAutoFilter="1">
      <autoFilter ref="$C$1"/>
    </customSheetView>
    <customSheetView guid="{0F73EE46-FEA2-4915-B2A3-49F2E0F02A22}" filter="1" showAutoFilter="1">
      <autoFilter ref="$A$1:$Q$1">
        <filterColumn colId="5">
          <filters/>
        </filterColumn>
      </autoFilter>
    </customSheetView>
    <customSheetView guid="{6ABE31C0-E26C-48D4-98C8-D04880C01291}" filter="1" showAutoFilter="1">
      <autoFilter ref="$A$1:$Q$1"/>
    </customSheetView>
    <customSheetView guid="{DDAD74BE-86DE-4367-A5CC-7F0296794B75}" filter="1" showAutoFilter="1">
      <autoFilter ref="$A$1:$I$1"/>
    </customSheetView>
    <customSheetView guid="{E0AF2585-D166-4CBA-8664-0A24674CFAF8}" filter="1" showAutoFilter="1">
      <autoFilter ref="$A$1:$Q$1"/>
    </customSheetView>
  </customSheetViews>
  <conditionalFormatting sqref="O2:O6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6">
      <formula1>"Conservador,Moderado,Arrojado"</formula1>
    </dataValidation>
    <dataValidation type="list" allowBlank="1" showErrorMessage="1" sqref="D2:D6">
      <formula1>"Bluemetrix,Bluemetrix (MI),VcInvest,Voga"</formula1>
    </dataValidation>
    <dataValidation type="list" allowBlank="1" showErrorMessage="1" sqref="G2:G6">
      <formula1>"PIPE,EMAIL"</formula1>
    </dataValidation>
    <dataValidation type="list" allowBlank="1" showErrorMessage="1" sqref="K2:K6">
      <formula1>"IBOV,CDI,------,IFIX,SMALL,S&amp;P 500"</formula1>
    </dataValidation>
    <dataValidation type="list" allowBlank="1" showErrorMessage="1" sqref="H2:H6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62</v>
      </c>
      <c r="G1" s="29" t="s">
        <v>63</v>
      </c>
      <c r="H1" s="30" t="s">
        <v>64</v>
      </c>
      <c r="J1" s="28" t="s">
        <v>62</v>
      </c>
      <c r="Q1" s="29" t="s">
        <v>63</v>
      </c>
      <c r="R1" s="31" t="s">
        <v>65</v>
      </c>
      <c r="S1" s="32" t="s">
        <v>62</v>
      </c>
      <c r="T1" s="33" t="s">
        <v>66</v>
      </c>
      <c r="AA1" s="34" t="s">
        <v>67</v>
      </c>
      <c r="AL1" s="34"/>
      <c r="AM1" s="35" t="s">
        <v>67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68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69</v>
      </c>
      <c r="H2" s="2" t="s">
        <v>70</v>
      </c>
      <c r="I2" s="2" t="s">
        <v>71</v>
      </c>
      <c r="J2" s="2" t="s">
        <v>72</v>
      </c>
      <c r="K2" s="37" t="s">
        <v>73</v>
      </c>
      <c r="L2" s="37" t="s">
        <v>74</v>
      </c>
      <c r="M2" s="37" t="s">
        <v>9</v>
      </c>
      <c r="N2" s="39" t="s">
        <v>75</v>
      </c>
      <c r="O2" s="3" t="s">
        <v>76</v>
      </c>
      <c r="P2" s="40" t="s">
        <v>12</v>
      </c>
      <c r="Q2" s="4" t="s">
        <v>77</v>
      </c>
      <c r="R2" s="4" t="s">
        <v>78</v>
      </c>
      <c r="S2" s="4" t="s">
        <v>79</v>
      </c>
      <c r="T2" s="2" t="s">
        <v>80</v>
      </c>
      <c r="U2" s="36" t="s">
        <v>31</v>
      </c>
      <c r="V2" s="37" t="s">
        <v>32</v>
      </c>
      <c r="W2" s="18" t="s">
        <v>81</v>
      </c>
      <c r="X2" s="3" t="s">
        <v>33</v>
      </c>
      <c r="Y2" s="3" t="s">
        <v>34</v>
      </c>
      <c r="Z2" s="1" t="s">
        <v>82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83</v>
      </c>
    </row>
    <row r="3" ht="15.75" customHeight="1">
      <c r="A3" s="44" t="s">
        <v>36</v>
      </c>
      <c r="B3" s="45" t="s">
        <v>84</v>
      </c>
      <c r="C3" s="46" t="s">
        <v>85</v>
      </c>
      <c r="D3" s="47" t="s">
        <v>86</v>
      </c>
      <c r="E3" s="24" t="s">
        <v>29</v>
      </c>
      <c r="F3" s="47" t="s">
        <v>87</v>
      </c>
      <c r="G3" s="47" t="str">
        <f t="shared" ref="G3:G711" si="1">IFS($AT$3:$AT$711&lt;=400000,"Augusto",$AT$3:$AT$711&lt;=1000000,"Breno",$AT$3:$AT$711&lt;=20000000,"Bruno")</f>
        <v>Breno</v>
      </c>
      <c r="H3" s="48" t="s">
        <v>88</v>
      </c>
      <c r="I3" s="48" t="s">
        <v>24</v>
      </c>
      <c r="J3" s="47" t="str">
        <f t="shared" ref="J3:J348" si="2">IF(Q3=0,"Não","Sim")</f>
        <v>Não</v>
      </c>
      <c r="K3" s="49">
        <v>45105.0</v>
      </c>
      <c r="L3" s="24"/>
      <c r="M3" s="24" t="s">
        <v>45</v>
      </c>
      <c r="N3" s="50">
        <v>0.012</v>
      </c>
      <c r="O3" s="47" t="s">
        <v>46</v>
      </c>
      <c r="P3" s="51">
        <v>0.1</v>
      </c>
      <c r="Q3" s="52"/>
      <c r="R3" s="52"/>
      <c r="S3" s="52"/>
      <c r="T3" s="24" t="s">
        <v>89</v>
      </c>
      <c r="U3" s="25" t="s">
        <v>90</v>
      </c>
      <c r="V3" s="9" t="s">
        <v>29</v>
      </c>
      <c r="W3" s="53" t="str">
        <f t="shared" ref="W3:W711" si="3">IFS(H:H="Encerrado","Encerrado",COUNTBLANK(AE3:AP3)&gt;0,"Ativo",SUM(AE3:AP3)=0,"Inativo",SUM(AE3:AP3)&gt;0,"Ativo")</f>
        <v>Ativo</v>
      </c>
      <c r="X3" s="24"/>
      <c r="Y3" s="54" t="s">
        <v>91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474406.2</v>
      </c>
    </row>
    <row r="4" ht="15.75" customHeight="1">
      <c r="A4" s="44" t="s">
        <v>36</v>
      </c>
      <c r="B4" s="45" t="s">
        <v>92</v>
      </c>
      <c r="C4" s="46" t="s">
        <v>93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88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60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89</v>
      </c>
      <c r="U4" s="25" t="s">
        <v>94</v>
      </c>
      <c r="V4" s="9" t="s">
        <v>19</v>
      </c>
      <c r="W4" s="53" t="str">
        <f t="shared" si="3"/>
        <v>Ativo</v>
      </c>
      <c r="X4" s="24"/>
      <c r="Y4" s="54" t="s">
        <v>95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10867.86</v>
      </c>
    </row>
    <row r="5" ht="15.75" customHeight="1">
      <c r="A5" s="6" t="s">
        <v>36</v>
      </c>
      <c r="B5" s="57" t="s">
        <v>96</v>
      </c>
      <c r="C5" s="58" t="s">
        <v>97</v>
      </c>
      <c r="D5" s="9" t="s">
        <v>18</v>
      </c>
      <c r="E5" s="25" t="s">
        <v>29</v>
      </c>
      <c r="F5" s="9" t="s">
        <v>98</v>
      </c>
      <c r="G5" s="47" t="str">
        <f t="shared" si="1"/>
        <v>Augusto</v>
      </c>
      <c r="H5" s="53" t="s">
        <v>88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99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89</v>
      </c>
      <c r="U5" s="25" t="s">
        <v>100</v>
      </c>
      <c r="V5" s="9" t="s">
        <v>29</v>
      </c>
      <c r="W5" s="53" t="str">
        <f t="shared" si="3"/>
        <v>Ativo</v>
      </c>
      <c r="X5" s="24"/>
      <c r="Y5" s="54" t="s">
        <v>95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2597.43</v>
      </c>
    </row>
    <row r="6" ht="15.75" customHeight="1">
      <c r="A6" s="44" t="s">
        <v>36</v>
      </c>
      <c r="B6" s="57" t="s">
        <v>101</v>
      </c>
      <c r="C6" s="46" t="s">
        <v>102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88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60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89</v>
      </c>
      <c r="U6" s="25" t="s">
        <v>103</v>
      </c>
      <c r="V6" s="9" t="s">
        <v>19</v>
      </c>
      <c r="W6" s="53" t="str">
        <f t="shared" si="3"/>
        <v>Ativo</v>
      </c>
      <c r="X6" s="25"/>
      <c r="Y6" s="54" t="s">
        <v>95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897720.5</v>
      </c>
    </row>
    <row r="7" ht="15.75" customHeight="1">
      <c r="A7" s="6" t="s">
        <v>36</v>
      </c>
      <c r="B7" s="6" t="s">
        <v>104</v>
      </c>
      <c r="C7" s="7" t="s">
        <v>105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88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106</v>
      </c>
      <c r="N7" s="60">
        <v>0.012</v>
      </c>
      <c r="O7" s="9" t="s">
        <v>46</v>
      </c>
      <c r="P7" s="61">
        <v>0.1</v>
      </c>
      <c r="Q7" s="62"/>
      <c r="R7" s="52"/>
      <c r="S7" s="52"/>
      <c r="T7" s="25" t="s">
        <v>89</v>
      </c>
      <c r="U7" s="5" t="s">
        <v>107</v>
      </c>
      <c r="V7" s="9" t="s">
        <v>19</v>
      </c>
      <c r="W7" s="53" t="str">
        <f t="shared" si="3"/>
        <v>Ativo</v>
      </c>
      <c r="X7" s="25"/>
      <c r="Y7" s="54" t="s">
        <v>95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98705.89</v>
      </c>
    </row>
    <row r="8" ht="15.75" customHeight="1">
      <c r="A8" s="44" t="s">
        <v>36</v>
      </c>
      <c r="B8" s="45" t="s">
        <v>108</v>
      </c>
      <c r="C8" s="46" t="s">
        <v>109</v>
      </c>
      <c r="D8" s="47" t="s">
        <v>18</v>
      </c>
      <c r="E8" s="24" t="s">
        <v>29</v>
      </c>
      <c r="F8" s="47" t="s">
        <v>110</v>
      </c>
      <c r="G8" s="47" t="str">
        <f t="shared" si="1"/>
        <v>Breno</v>
      </c>
      <c r="H8" s="48" t="s">
        <v>88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111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89</v>
      </c>
      <c r="U8" s="25" t="s">
        <v>112</v>
      </c>
      <c r="V8" s="9" t="s">
        <v>29</v>
      </c>
      <c r="W8" s="53" t="str">
        <f t="shared" si="3"/>
        <v>Ativo</v>
      </c>
      <c r="X8" s="24"/>
      <c r="Y8" s="54" t="s">
        <v>95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584963</v>
      </c>
    </row>
    <row r="9" ht="15.75" customHeight="1">
      <c r="A9" s="6" t="s">
        <v>36</v>
      </c>
      <c r="B9" s="45" t="s">
        <v>113</v>
      </c>
      <c r="C9" s="46" t="s">
        <v>114</v>
      </c>
      <c r="D9" s="9" t="s">
        <v>86</v>
      </c>
      <c r="E9" s="25" t="s">
        <v>29</v>
      </c>
      <c r="F9" s="24" t="s">
        <v>115</v>
      </c>
      <c r="G9" s="47" t="str">
        <f t="shared" si="1"/>
        <v>Augusto</v>
      </c>
      <c r="H9" s="53" t="s">
        <v>116</v>
      </c>
      <c r="I9" s="53" t="s">
        <v>117</v>
      </c>
      <c r="J9" s="47" t="str">
        <f t="shared" si="2"/>
        <v>Sim</v>
      </c>
      <c r="K9" s="59">
        <v>45279.0</v>
      </c>
      <c r="L9" s="24"/>
      <c r="M9" s="25" t="s">
        <v>118</v>
      </c>
      <c r="N9" s="60">
        <v>0.003</v>
      </c>
      <c r="O9" s="9" t="s">
        <v>24</v>
      </c>
      <c r="P9" s="61">
        <v>0.0</v>
      </c>
      <c r="Q9" s="15" t="s">
        <v>119</v>
      </c>
      <c r="R9" s="44"/>
      <c r="S9" s="15"/>
      <c r="T9" s="25" t="s">
        <v>89</v>
      </c>
      <c r="U9" s="25" t="s">
        <v>120</v>
      </c>
      <c r="V9" s="9" t="s">
        <v>121</v>
      </c>
      <c r="W9" s="53" t="str">
        <f t="shared" si="3"/>
        <v>Ativo</v>
      </c>
      <c r="X9" s="24"/>
      <c r="Y9" s="54" t="s">
        <v>95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551.44</v>
      </c>
    </row>
    <row r="10" ht="15.75" customHeight="1">
      <c r="A10" s="44" t="s">
        <v>36</v>
      </c>
      <c r="B10" s="45" t="s">
        <v>122</v>
      </c>
      <c r="C10" s="46" t="s">
        <v>123</v>
      </c>
      <c r="D10" s="47" t="s">
        <v>18</v>
      </c>
      <c r="E10" s="24" t="s">
        <v>29</v>
      </c>
      <c r="F10" s="47" t="s">
        <v>44</v>
      </c>
      <c r="G10" s="47" t="str">
        <f t="shared" si="1"/>
        <v>Augusto</v>
      </c>
      <c r="H10" s="48" t="s">
        <v>88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60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89</v>
      </c>
      <c r="U10" s="25" t="s">
        <v>124</v>
      </c>
      <c r="V10" s="9" t="s">
        <v>29</v>
      </c>
      <c r="W10" s="53" t="str">
        <f t="shared" si="3"/>
        <v>Ativo</v>
      </c>
      <c r="X10" s="24"/>
      <c r="Y10" s="54" t="s">
        <v>95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131885.9</v>
      </c>
    </row>
    <row r="11" ht="15.75" customHeight="1">
      <c r="A11" s="44" t="s">
        <v>36</v>
      </c>
      <c r="B11" s="45" t="s">
        <v>125</v>
      </c>
      <c r="C11" s="46" t="s">
        <v>126</v>
      </c>
      <c r="D11" s="47" t="s">
        <v>18</v>
      </c>
      <c r="E11" s="24" t="s">
        <v>29</v>
      </c>
      <c r="F11" s="47" t="s">
        <v>44</v>
      </c>
      <c r="G11" s="47" t="str">
        <f t="shared" si="1"/>
        <v>Augusto</v>
      </c>
      <c r="H11" s="48" t="s">
        <v>88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60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89</v>
      </c>
      <c r="U11" s="25" t="s">
        <v>127</v>
      </c>
      <c r="V11" s="9" t="s">
        <v>29</v>
      </c>
      <c r="W11" s="53" t="str">
        <f t="shared" si="3"/>
        <v>Ativo</v>
      </c>
      <c r="X11" s="24"/>
      <c r="Y11" s="54" t="s">
        <v>95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205535.4</v>
      </c>
    </row>
    <row r="12" ht="15.75" customHeight="1">
      <c r="A12" s="6" t="s">
        <v>36</v>
      </c>
      <c r="B12" s="6" t="s">
        <v>128</v>
      </c>
      <c r="C12" s="58" t="s">
        <v>129</v>
      </c>
      <c r="D12" s="9" t="s">
        <v>18</v>
      </c>
      <c r="E12" s="25" t="s">
        <v>29</v>
      </c>
      <c r="F12" s="47" t="s">
        <v>44</v>
      </c>
      <c r="G12" s="47" t="str">
        <f t="shared" si="1"/>
        <v>#N/A</v>
      </c>
      <c r="H12" s="53" t="s">
        <v>116</v>
      </c>
      <c r="I12" s="53" t="s">
        <v>130</v>
      </c>
      <c r="J12" s="47" t="str">
        <f t="shared" si="2"/>
        <v>Não</v>
      </c>
      <c r="K12" s="59">
        <v>45356.0</v>
      </c>
      <c r="L12" s="24"/>
      <c r="M12" s="25" t="s">
        <v>45</v>
      </c>
      <c r="N12" s="60">
        <v>0.01</v>
      </c>
      <c r="O12" s="9" t="s">
        <v>46</v>
      </c>
      <c r="P12" s="61">
        <v>0.1</v>
      </c>
      <c r="Q12" s="62"/>
      <c r="R12" s="52"/>
      <c r="S12" s="52"/>
      <c r="T12" s="25" t="s">
        <v>89</v>
      </c>
      <c r="U12" s="25" t="s">
        <v>127</v>
      </c>
      <c r="V12" s="9" t="s">
        <v>29</v>
      </c>
      <c r="W12" s="53" t="str">
        <f t="shared" si="3"/>
        <v>Ativo</v>
      </c>
      <c r="X12" s="24"/>
      <c r="Y12" s="54" t="s">
        <v>95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131</v>
      </c>
      <c r="C13" s="46" t="s">
        <v>132</v>
      </c>
      <c r="D13" s="47" t="s">
        <v>86</v>
      </c>
      <c r="E13" s="24" t="s">
        <v>29</v>
      </c>
      <c r="F13" s="47" t="s">
        <v>87</v>
      </c>
      <c r="G13" s="47" t="str">
        <f t="shared" si="1"/>
        <v>Augusto</v>
      </c>
      <c r="H13" s="48" t="s">
        <v>88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133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89</v>
      </c>
      <c r="U13" s="25" t="s">
        <v>134</v>
      </c>
      <c r="V13" s="9" t="s">
        <v>29</v>
      </c>
      <c r="W13" s="53" t="str">
        <f t="shared" si="3"/>
        <v>Ativo</v>
      </c>
      <c r="X13" s="24"/>
      <c r="Y13" s="54" t="s">
        <v>91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296203.8</v>
      </c>
    </row>
    <row r="14" ht="15.75" customHeight="1">
      <c r="A14" s="44" t="s">
        <v>36</v>
      </c>
      <c r="B14" s="63" t="s">
        <v>135</v>
      </c>
      <c r="C14" s="46" t="s">
        <v>136</v>
      </c>
      <c r="D14" s="47" t="s">
        <v>18</v>
      </c>
      <c r="E14" s="24" t="s">
        <v>29</v>
      </c>
      <c r="F14" s="47" t="s">
        <v>137</v>
      </c>
      <c r="G14" s="47" t="str">
        <f t="shared" si="1"/>
        <v>Breno</v>
      </c>
      <c r="H14" s="48" t="s">
        <v>88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60</v>
      </c>
      <c r="N14" s="50">
        <v>0.012</v>
      </c>
      <c r="O14" s="47" t="s">
        <v>24</v>
      </c>
      <c r="P14" s="51">
        <v>0.0</v>
      </c>
      <c r="Q14" s="62" t="s">
        <v>138</v>
      </c>
      <c r="R14" s="52"/>
      <c r="S14" s="52"/>
      <c r="T14" s="24" t="s">
        <v>89</v>
      </c>
      <c r="U14" s="25" t="s">
        <v>139</v>
      </c>
      <c r="V14" s="9" t="s">
        <v>29</v>
      </c>
      <c r="W14" s="53" t="str">
        <f t="shared" si="3"/>
        <v>Ativo</v>
      </c>
      <c r="X14" s="24"/>
      <c r="Y14" s="54" t="s">
        <v>95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641347.8</v>
      </c>
    </row>
    <row r="15" ht="15.75" customHeight="1">
      <c r="A15" s="44" t="s">
        <v>36</v>
      </c>
      <c r="B15" s="45" t="s">
        <v>140</v>
      </c>
      <c r="C15" s="46" t="s">
        <v>141</v>
      </c>
      <c r="D15" s="9" t="s">
        <v>18</v>
      </c>
      <c r="E15" s="24" t="s">
        <v>29</v>
      </c>
      <c r="F15" s="9" t="s">
        <v>110</v>
      </c>
      <c r="G15" s="47" t="str">
        <f t="shared" si="1"/>
        <v>Augusto</v>
      </c>
      <c r="H15" s="48" t="s">
        <v>88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60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89</v>
      </c>
      <c r="U15" s="25" t="s">
        <v>142</v>
      </c>
      <c r="V15" s="9" t="s">
        <v>29</v>
      </c>
      <c r="W15" s="53" t="str">
        <f t="shared" si="3"/>
        <v>Ativo</v>
      </c>
      <c r="X15" s="24"/>
      <c r="Y15" s="54" t="s">
        <v>95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240570.5</v>
      </c>
    </row>
    <row r="16" ht="15.75" customHeight="1">
      <c r="A16" s="44" t="s">
        <v>36</v>
      </c>
      <c r="B16" s="45" t="s">
        <v>143</v>
      </c>
      <c r="C16" s="46" t="s">
        <v>144</v>
      </c>
      <c r="D16" s="47" t="s">
        <v>18</v>
      </c>
      <c r="E16" s="24" t="s">
        <v>145</v>
      </c>
      <c r="F16" s="47" t="s">
        <v>146</v>
      </c>
      <c r="G16" s="47" t="str">
        <f t="shared" si="1"/>
        <v>Augusto</v>
      </c>
      <c r="H16" s="48" t="s">
        <v>88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111</v>
      </c>
      <c r="N16" s="50">
        <v>0.015</v>
      </c>
      <c r="O16" s="47" t="s">
        <v>46</v>
      </c>
      <c r="P16" s="51">
        <v>0.1</v>
      </c>
      <c r="Q16" s="65"/>
      <c r="R16" s="52"/>
      <c r="S16" s="62" t="s">
        <v>147</v>
      </c>
      <c r="T16" s="24" t="s">
        <v>89</v>
      </c>
      <c r="U16" s="25" t="s">
        <v>148</v>
      </c>
      <c r="V16" s="9" t="s">
        <v>149</v>
      </c>
      <c r="W16" s="53" t="str">
        <f t="shared" si="3"/>
        <v>Ativo</v>
      </c>
      <c r="X16" s="24"/>
      <c r="Y16" s="54" t="s">
        <v>91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22806.02</v>
      </c>
    </row>
    <row r="17" ht="15.75" customHeight="1">
      <c r="A17" s="44" t="s">
        <v>36</v>
      </c>
      <c r="B17" s="66" t="s">
        <v>150</v>
      </c>
      <c r="C17" s="67" t="s">
        <v>151</v>
      </c>
      <c r="D17" s="9" t="s">
        <v>18</v>
      </c>
      <c r="E17" s="25" t="s">
        <v>145</v>
      </c>
      <c r="F17" s="9" t="s">
        <v>152</v>
      </c>
      <c r="G17" s="47" t="str">
        <f t="shared" si="1"/>
        <v>Augusto</v>
      </c>
      <c r="H17" s="53" t="s">
        <v>88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60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89</v>
      </c>
      <c r="U17" s="23" t="s">
        <v>153</v>
      </c>
      <c r="V17" s="9" t="s">
        <v>29</v>
      </c>
      <c r="W17" s="53" t="str">
        <f t="shared" si="3"/>
        <v>Ativo</v>
      </c>
      <c r="X17" s="25" t="s">
        <v>154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/>
    </row>
    <row r="18" ht="15.75" customHeight="1">
      <c r="A18" s="44" t="s">
        <v>36</v>
      </c>
      <c r="B18" s="68" t="s">
        <v>155</v>
      </c>
      <c r="C18" s="69" t="s">
        <v>156</v>
      </c>
      <c r="D18" s="47" t="s">
        <v>18</v>
      </c>
      <c r="E18" s="24" t="s">
        <v>29</v>
      </c>
      <c r="F18" s="9" t="s">
        <v>44</v>
      </c>
      <c r="G18" s="47" t="str">
        <f t="shared" si="1"/>
        <v>#N/A</v>
      </c>
      <c r="H18" s="53" t="s">
        <v>157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60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158</v>
      </c>
      <c r="T18" s="24" t="s">
        <v>89</v>
      </c>
      <c r="U18" s="25" t="s">
        <v>159</v>
      </c>
      <c r="V18" s="9" t="s">
        <v>29</v>
      </c>
      <c r="W18" s="53" t="str">
        <f t="shared" si="3"/>
        <v>Encerrado</v>
      </c>
      <c r="X18" s="24"/>
      <c r="Y18" s="54" t="s">
        <v>95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155</v>
      </c>
      <c r="C19" s="69" t="s">
        <v>160</v>
      </c>
      <c r="D19" s="47" t="s">
        <v>18</v>
      </c>
      <c r="E19" s="24" t="s">
        <v>29</v>
      </c>
      <c r="F19" s="9" t="s">
        <v>44</v>
      </c>
      <c r="G19" s="47" t="str">
        <f t="shared" si="1"/>
        <v>#N/A</v>
      </c>
      <c r="H19" s="53" t="s">
        <v>157</v>
      </c>
      <c r="I19" s="53" t="s">
        <v>161</v>
      </c>
      <c r="J19" s="47" t="str">
        <f t="shared" si="2"/>
        <v>Não</v>
      </c>
      <c r="K19" s="49">
        <v>45196.0</v>
      </c>
      <c r="L19" s="70">
        <v>45414.0</v>
      </c>
      <c r="M19" s="24" t="s">
        <v>162</v>
      </c>
      <c r="N19" s="50">
        <v>0.02</v>
      </c>
      <c r="O19" s="47" t="s">
        <v>163</v>
      </c>
      <c r="P19" s="51">
        <v>0.2</v>
      </c>
      <c r="Q19" s="52"/>
      <c r="R19" s="52"/>
      <c r="S19" s="6" t="s">
        <v>164</v>
      </c>
      <c r="T19" s="24" t="s">
        <v>89</v>
      </c>
      <c r="U19" s="25" t="s">
        <v>159</v>
      </c>
      <c r="V19" s="9" t="s">
        <v>29</v>
      </c>
      <c r="W19" s="53" t="str">
        <f t="shared" si="3"/>
        <v>Encerrado</v>
      </c>
      <c r="X19" s="24"/>
      <c r="Y19" s="54" t="s">
        <v>95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155</v>
      </c>
      <c r="C20" s="71" t="s">
        <v>165</v>
      </c>
      <c r="D20" s="47" t="s">
        <v>18</v>
      </c>
      <c r="E20" s="24" t="s">
        <v>29</v>
      </c>
      <c r="F20" s="9" t="s">
        <v>44</v>
      </c>
      <c r="G20" s="47" t="str">
        <f t="shared" si="1"/>
        <v>#N/A</v>
      </c>
      <c r="H20" s="53" t="s">
        <v>157</v>
      </c>
      <c r="I20" s="53" t="s">
        <v>161</v>
      </c>
      <c r="J20" s="47" t="str">
        <f t="shared" si="2"/>
        <v>Não</v>
      </c>
      <c r="K20" s="49">
        <v>45202.0</v>
      </c>
      <c r="L20" s="70">
        <v>45414.0</v>
      </c>
      <c r="M20" s="24" t="s">
        <v>166</v>
      </c>
      <c r="N20" s="50">
        <v>0.008</v>
      </c>
      <c r="O20" s="47" t="s">
        <v>167</v>
      </c>
      <c r="P20" s="51">
        <v>0.1</v>
      </c>
      <c r="Q20" s="52"/>
      <c r="R20" s="52"/>
      <c r="S20" s="72" t="s">
        <v>168</v>
      </c>
      <c r="T20" s="24" t="s">
        <v>89</v>
      </c>
      <c r="U20" s="25" t="s">
        <v>159</v>
      </c>
      <c r="V20" s="9" t="s">
        <v>29</v>
      </c>
      <c r="W20" s="53" t="str">
        <f t="shared" si="3"/>
        <v>Encerrado</v>
      </c>
      <c r="X20" s="24"/>
      <c r="Y20" s="54" t="s">
        <v>95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169</v>
      </c>
      <c r="C21" s="73" t="s">
        <v>170</v>
      </c>
      <c r="D21" s="47" t="s">
        <v>18</v>
      </c>
      <c r="E21" s="24" t="s">
        <v>145</v>
      </c>
      <c r="F21" s="47" t="s">
        <v>171</v>
      </c>
      <c r="G21" s="47" t="str">
        <f t="shared" si="1"/>
        <v>Augusto</v>
      </c>
      <c r="H21" s="48" t="s">
        <v>88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45</v>
      </c>
      <c r="N21" s="50">
        <v>0.012</v>
      </c>
      <c r="O21" s="47" t="s">
        <v>46</v>
      </c>
      <c r="P21" s="51">
        <v>0.1</v>
      </c>
      <c r="Q21" s="65"/>
      <c r="R21" s="75"/>
      <c r="S21" s="76" t="s">
        <v>172</v>
      </c>
      <c r="T21" s="24" t="s">
        <v>89</v>
      </c>
      <c r="U21" s="25" t="s">
        <v>173</v>
      </c>
      <c r="V21" s="9" t="s">
        <v>149</v>
      </c>
      <c r="W21" s="53" t="str">
        <f t="shared" si="3"/>
        <v>Ativo</v>
      </c>
      <c r="X21" s="24"/>
      <c r="Y21" s="54" t="s">
        <v>91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130119.5</v>
      </c>
    </row>
    <row r="22">
      <c r="A22" s="44" t="s">
        <v>36</v>
      </c>
      <c r="B22" s="45" t="s">
        <v>174</v>
      </c>
      <c r="C22" s="46" t="s">
        <v>175</v>
      </c>
      <c r="D22" s="47" t="s">
        <v>18</v>
      </c>
      <c r="E22" s="24" t="s">
        <v>145</v>
      </c>
      <c r="F22" s="47" t="s">
        <v>171</v>
      </c>
      <c r="G22" s="47" t="str">
        <f t="shared" si="1"/>
        <v>#N/A</v>
      </c>
      <c r="H22" s="48" t="s">
        <v>157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60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89</v>
      </c>
      <c r="U22" s="25" t="s">
        <v>173</v>
      </c>
      <c r="V22" s="9" t="s">
        <v>149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176</v>
      </c>
      <c r="C23" s="67" t="s">
        <v>177</v>
      </c>
      <c r="D23" s="9" t="s">
        <v>18</v>
      </c>
      <c r="E23" s="25" t="s">
        <v>29</v>
      </c>
      <c r="F23" s="9" t="s">
        <v>37</v>
      </c>
      <c r="G23" s="47" t="str">
        <f t="shared" si="1"/>
        <v>Augusto</v>
      </c>
      <c r="H23" s="53" t="s">
        <v>178</v>
      </c>
      <c r="I23" s="53" t="s">
        <v>161</v>
      </c>
      <c r="J23" s="47" t="str">
        <f t="shared" si="2"/>
        <v>Não</v>
      </c>
      <c r="K23" s="59">
        <v>45421.0</v>
      </c>
      <c r="L23" s="74"/>
      <c r="M23" s="25" t="s">
        <v>60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89</v>
      </c>
      <c r="U23" s="23" t="s">
        <v>179</v>
      </c>
      <c r="V23" s="9" t="s">
        <v>180</v>
      </c>
      <c r="W23" s="53" t="str">
        <f t="shared" si="3"/>
        <v>Ativo</v>
      </c>
      <c r="X23" s="25" t="s">
        <v>48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/>
    </row>
    <row r="24" ht="15.75" customHeight="1">
      <c r="A24" s="44" t="s">
        <v>36</v>
      </c>
      <c r="B24" s="45" t="s">
        <v>181</v>
      </c>
      <c r="C24" s="77" t="s">
        <v>182</v>
      </c>
      <c r="D24" s="47" t="s">
        <v>86</v>
      </c>
      <c r="E24" s="24" t="s">
        <v>29</v>
      </c>
      <c r="F24" s="47" t="s">
        <v>183</v>
      </c>
      <c r="G24" s="47" t="str">
        <f t="shared" si="1"/>
        <v>Augusto</v>
      </c>
      <c r="H24" s="48" t="s">
        <v>88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162</v>
      </c>
      <c r="N24" s="50">
        <v>0.025</v>
      </c>
      <c r="O24" s="47" t="s">
        <v>163</v>
      </c>
      <c r="P24" s="51">
        <v>0.2</v>
      </c>
      <c r="Q24" s="75"/>
      <c r="R24" s="75"/>
      <c r="S24" s="52"/>
      <c r="T24" s="24" t="s">
        <v>89</v>
      </c>
      <c r="U24" s="25" t="s">
        <v>184</v>
      </c>
      <c r="V24" s="9" t="s">
        <v>29</v>
      </c>
      <c r="W24" s="53" t="str">
        <f t="shared" si="3"/>
        <v>Ativo</v>
      </c>
      <c r="X24" s="24"/>
      <c r="Y24" s="54" t="s">
        <v>95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362760</v>
      </c>
    </row>
    <row r="25" ht="15.75" customHeight="1">
      <c r="A25" s="44" t="s">
        <v>36</v>
      </c>
      <c r="B25" s="45" t="s">
        <v>185</v>
      </c>
      <c r="C25" s="46" t="s">
        <v>186</v>
      </c>
      <c r="D25" s="47" t="s">
        <v>18</v>
      </c>
      <c r="E25" s="24" t="s">
        <v>19</v>
      </c>
      <c r="F25" s="47" t="s">
        <v>52</v>
      </c>
      <c r="G25" s="47" t="str">
        <f t="shared" si="1"/>
        <v>Augusto</v>
      </c>
      <c r="H25" s="48" t="s">
        <v>88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60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89</v>
      </c>
      <c r="U25" s="25" t="s">
        <v>187</v>
      </c>
      <c r="V25" s="9" t="s">
        <v>29</v>
      </c>
      <c r="W25" s="53" t="str">
        <f t="shared" si="3"/>
        <v>Ativo</v>
      </c>
      <c r="X25" s="24"/>
      <c r="Y25" s="54" t="s">
        <v>95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70041.03</v>
      </c>
    </row>
    <row r="26" ht="15.75" customHeight="1">
      <c r="A26" s="44" t="s">
        <v>36</v>
      </c>
      <c r="B26" s="45" t="s">
        <v>188</v>
      </c>
      <c r="C26" s="46" t="s">
        <v>189</v>
      </c>
      <c r="D26" s="47" t="s">
        <v>86</v>
      </c>
      <c r="E26" s="24" t="s">
        <v>29</v>
      </c>
      <c r="F26" s="47" t="s">
        <v>190</v>
      </c>
      <c r="G26" s="47" t="str">
        <f t="shared" si="1"/>
        <v>Augusto</v>
      </c>
      <c r="H26" s="48" t="s">
        <v>116</v>
      </c>
      <c r="I26" s="48" t="s">
        <v>161</v>
      </c>
      <c r="J26" s="47" t="str">
        <f t="shared" si="2"/>
        <v>Não</v>
      </c>
      <c r="K26" s="49">
        <v>44973.0</v>
      </c>
      <c r="L26" s="24"/>
      <c r="M26" s="24" t="s">
        <v>111</v>
      </c>
      <c r="N26" s="50">
        <v>0.02</v>
      </c>
      <c r="O26" s="47" t="s">
        <v>46</v>
      </c>
      <c r="P26" s="51">
        <v>0.2</v>
      </c>
      <c r="Q26" s="78"/>
      <c r="R26" s="78"/>
      <c r="S26" s="78"/>
      <c r="T26" s="24" t="s">
        <v>89</v>
      </c>
      <c r="U26" s="25" t="s">
        <v>191</v>
      </c>
      <c r="V26" s="9" t="s">
        <v>29</v>
      </c>
      <c r="W26" s="53" t="str">
        <f t="shared" si="3"/>
        <v>Ativo</v>
      </c>
      <c r="X26" s="24"/>
      <c r="Y26" s="54" t="s">
        <v>91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192</v>
      </c>
      <c r="C27" s="58" t="s">
        <v>193</v>
      </c>
      <c r="D27" s="9" t="s">
        <v>18</v>
      </c>
      <c r="E27" s="25" t="s">
        <v>29</v>
      </c>
      <c r="F27" s="9" t="s">
        <v>110</v>
      </c>
      <c r="G27" s="47" t="str">
        <f t="shared" si="1"/>
        <v>Breno</v>
      </c>
      <c r="H27" s="53" t="s">
        <v>88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111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89</v>
      </c>
      <c r="U27" s="25" t="s">
        <v>194</v>
      </c>
      <c r="V27" s="9" t="s">
        <v>195</v>
      </c>
      <c r="W27" s="53" t="str">
        <f t="shared" si="3"/>
        <v>Ativo</v>
      </c>
      <c r="X27" s="24"/>
      <c r="Y27" s="54" t="s">
        <v>95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865018.7</v>
      </c>
    </row>
    <row r="28" ht="16.5" customHeight="1">
      <c r="A28" s="44" t="s">
        <v>36</v>
      </c>
      <c r="B28" s="45" t="s">
        <v>196</v>
      </c>
      <c r="C28" s="46" t="s">
        <v>197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88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60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89</v>
      </c>
      <c r="U28" s="25" t="s">
        <v>198</v>
      </c>
      <c r="V28" s="9" t="s">
        <v>19</v>
      </c>
      <c r="W28" s="53" t="str">
        <f t="shared" si="3"/>
        <v>Ativo</v>
      </c>
      <c r="X28" s="24"/>
      <c r="Y28" s="54" t="s">
        <v>95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171204.8</v>
      </c>
    </row>
    <row r="29" ht="16.5" customHeight="1">
      <c r="A29" s="44" t="s">
        <v>36</v>
      </c>
      <c r="B29" s="45" t="s">
        <v>199</v>
      </c>
      <c r="C29" s="46" t="s">
        <v>200</v>
      </c>
      <c r="D29" s="47" t="s">
        <v>18</v>
      </c>
      <c r="E29" s="24" t="s">
        <v>19</v>
      </c>
      <c r="F29" s="47" t="s">
        <v>201</v>
      </c>
      <c r="G29" s="47" t="str">
        <f t="shared" si="1"/>
        <v>#N/A</v>
      </c>
      <c r="H29" s="53" t="s">
        <v>116</v>
      </c>
      <c r="I29" s="53" t="s">
        <v>130</v>
      </c>
      <c r="J29" s="47" t="str">
        <f t="shared" si="2"/>
        <v>Não</v>
      </c>
      <c r="K29" s="49">
        <v>45247.0</v>
      </c>
      <c r="L29" s="24"/>
      <c r="M29" s="24" t="s">
        <v>60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89</v>
      </c>
      <c r="U29" s="25" t="s">
        <v>202</v>
      </c>
      <c r="V29" s="9" t="s">
        <v>19</v>
      </c>
      <c r="W29" s="53" t="str">
        <f t="shared" si="3"/>
        <v>Ativo</v>
      </c>
      <c r="X29" s="24"/>
      <c r="Y29" s="54" t="s">
        <v>95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203</v>
      </c>
      <c r="C30" s="67" t="s">
        <v>204</v>
      </c>
      <c r="D30" s="9" t="s">
        <v>86</v>
      </c>
      <c r="E30" s="25" t="s">
        <v>29</v>
      </c>
      <c r="F30" s="9" t="s">
        <v>87</v>
      </c>
      <c r="G30" s="47" t="str">
        <f t="shared" si="1"/>
        <v>Augusto</v>
      </c>
      <c r="H30" s="53" t="s">
        <v>116</v>
      </c>
      <c r="I30" s="53" t="s">
        <v>161</v>
      </c>
      <c r="J30" s="47" t="str">
        <f t="shared" si="2"/>
        <v>Não</v>
      </c>
      <c r="K30" s="59">
        <v>45383.0</v>
      </c>
      <c r="L30" s="24"/>
      <c r="M30" s="25" t="s">
        <v>118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89</v>
      </c>
      <c r="U30" s="5" t="s">
        <v>205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456.81</v>
      </c>
    </row>
    <row r="31" ht="16.5" customHeight="1">
      <c r="A31" s="44" t="s">
        <v>36</v>
      </c>
      <c r="B31" s="81" t="s">
        <v>206</v>
      </c>
      <c r="C31" s="69" t="s">
        <v>207</v>
      </c>
      <c r="D31" s="47" t="s">
        <v>18</v>
      </c>
      <c r="E31" s="24" t="s">
        <v>145</v>
      </c>
      <c r="F31" s="47" t="s">
        <v>171</v>
      </c>
      <c r="G31" s="47" t="str">
        <f t="shared" si="1"/>
        <v>Augusto</v>
      </c>
      <c r="H31" s="48" t="s">
        <v>88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60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89</v>
      </c>
      <c r="U31" s="25" t="s">
        <v>208</v>
      </c>
      <c r="V31" s="9" t="s">
        <v>149</v>
      </c>
      <c r="W31" s="53" t="str">
        <f t="shared" si="3"/>
        <v>Ativo</v>
      </c>
      <c r="X31" s="24"/>
      <c r="Y31" s="54" t="s">
        <v>91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20868.65</v>
      </c>
    </row>
    <row r="32" ht="15.75" customHeight="1">
      <c r="A32" s="44" t="s">
        <v>36</v>
      </c>
      <c r="B32" s="45" t="s">
        <v>209</v>
      </c>
      <c r="C32" s="82" t="s">
        <v>210</v>
      </c>
      <c r="D32" s="47" t="s">
        <v>18</v>
      </c>
      <c r="E32" s="24" t="s">
        <v>29</v>
      </c>
      <c r="F32" s="47" t="s">
        <v>44</v>
      </c>
      <c r="G32" s="47" t="str">
        <f t="shared" si="1"/>
        <v>#N/A</v>
      </c>
      <c r="H32" s="48" t="s">
        <v>116</v>
      </c>
      <c r="I32" s="48" t="s">
        <v>161</v>
      </c>
      <c r="J32" s="47" t="str">
        <f t="shared" si="2"/>
        <v>Sim</v>
      </c>
      <c r="K32" s="49">
        <v>45042.0</v>
      </c>
      <c r="L32" s="24"/>
      <c r="M32" s="24" t="s">
        <v>60</v>
      </c>
      <c r="N32" s="50">
        <v>0.01</v>
      </c>
      <c r="O32" s="47" t="s">
        <v>24</v>
      </c>
      <c r="P32" s="51">
        <v>0.0</v>
      </c>
      <c r="Q32" s="76" t="s">
        <v>211</v>
      </c>
      <c r="R32" s="75"/>
      <c r="S32" s="75"/>
      <c r="T32" s="24" t="s">
        <v>89</v>
      </c>
      <c r="U32" s="25" t="s">
        <v>212</v>
      </c>
      <c r="V32" s="9" t="s">
        <v>29</v>
      </c>
      <c r="W32" s="53" t="str">
        <f t="shared" si="3"/>
        <v>Ativo</v>
      </c>
      <c r="X32" s="24"/>
      <c r="Y32" s="54" t="s">
        <v>91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213</v>
      </c>
      <c r="C33" s="84" t="s">
        <v>214</v>
      </c>
      <c r="D33" s="9" t="s">
        <v>18</v>
      </c>
      <c r="E33" s="25" t="s">
        <v>145</v>
      </c>
      <c r="F33" s="47" t="s">
        <v>146</v>
      </c>
      <c r="G33" s="47" t="str">
        <f t="shared" si="1"/>
        <v>Augusto</v>
      </c>
      <c r="H33" s="53" t="s">
        <v>88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60</v>
      </c>
      <c r="N33" s="85">
        <v>0.012</v>
      </c>
      <c r="O33" s="86" t="s">
        <v>46</v>
      </c>
      <c r="P33" s="87">
        <v>0.1</v>
      </c>
      <c r="Q33" s="65"/>
      <c r="R33" s="75"/>
      <c r="S33" s="76" t="s">
        <v>215</v>
      </c>
      <c r="T33" s="25" t="s">
        <v>89</v>
      </c>
      <c r="U33" s="25" t="s">
        <v>216</v>
      </c>
      <c r="V33" s="9" t="s">
        <v>149</v>
      </c>
      <c r="W33" s="53" t="str">
        <f t="shared" si="3"/>
        <v>Ativo</v>
      </c>
      <c r="X33" s="24"/>
      <c r="Y33" s="54" t="s">
        <v>91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160658.5</v>
      </c>
    </row>
    <row r="34" ht="15.75" customHeight="1">
      <c r="A34" s="44" t="s">
        <v>36</v>
      </c>
      <c r="B34" s="63" t="s">
        <v>217</v>
      </c>
      <c r="C34" s="46" t="s">
        <v>218</v>
      </c>
      <c r="D34" s="47" t="s">
        <v>18</v>
      </c>
      <c r="E34" s="24" t="s">
        <v>145</v>
      </c>
      <c r="F34" s="47" t="s">
        <v>146</v>
      </c>
      <c r="G34" s="47" t="str">
        <f t="shared" si="1"/>
        <v>Breno</v>
      </c>
      <c r="H34" s="48" t="s">
        <v>88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111</v>
      </c>
      <c r="N34" s="50">
        <v>0.015</v>
      </c>
      <c r="O34" s="47" t="s">
        <v>46</v>
      </c>
      <c r="P34" s="51">
        <v>0.1</v>
      </c>
      <c r="Q34" s="62" t="s">
        <v>219</v>
      </c>
      <c r="R34" s="52"/>
      <c r="S34" s="52"/>
      <c r="T34" s="24" t="s">
        <v>89</v>
      </c>
      <c r="U34" s="25" t="s">
        <v>220</v>
      </c>
      <c r="V34" s="9" t="s">
        <v>149</v>
      </c>
      <c r="W34" s="53" t="str">
        <f t="shared" si="3"/>
        <v>Ativo</v>
      </c>
      <c r="X34" s="24"/>
      <c r="Y34" s="54" t="s">
        <v>91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709345.7</v>
      </c>
    </row>
    <row r="35" ht="15.75" customHeight="1">
      <c r="A35" s="44" t="s">
        <v>36</v>
      </c>
      <c r="B35" s="45" t="s">
        <v>217</v>
      </c>
      <c r="C35" s="46" t="s">
        <v>221</v>
      </c>
      <c r="D35" s="47" t="s">
        <v>18</v>
      </c>
      <c r="E35" s="24" t="s">
        <v>145</v>
      </c>
      <c r="F35" s="47" t="s">
        <v>146</v>
      </c>
      <c r="G35" s="47" t="str">
        <f t="shared" si="1"/>
        <v>#N/A</v>
      </c>
      <c r="H35" s="53" t="s">
        <v>116</v>
      </c>
      <c r="I35" s="53" t="s">
        <v>161</v>
      </c>
      <c r="J35" s="47" t="str">
        <f t="shared" si="2"/>
        <v>Sim</v>
      </c>
      <c r="K35" s="49">
        <v>44998.0</v>
      </c>
      <c r="L35" s="24"/>
      <c r="M35" s="24" t="s">
        <v>60</v>
      </c>
      <c r="N35" s="50">
        <v>0.012</v>
      </c>
      <c r="O35" s="47" t="s">
        <v>24</v>
      </c>
      <c r="P35" s="51">
        <v>0.0</v>
      </c>
      <c r="Q35" s="62" t="s">
        <v>222</v>
      </c>
      <c r="R35" s="62" t="s">
        <v>223</v>
      </c>
      <c r="S35" s="52"/>
      <c r="T35" s="24" t="s">
        <v>89</v>
      </c>
      <c r="U35" s="25" t="s">
        <v>220</v>
      </c>
      <c r="V35" s="9" t="s">
        <v>149</v>
      </c>
      <c r="W35" s="53" t="str">
        <f t="shared" si="3"/>
        <v>Ativo</v>
      </c>
      <c r="X35" s="24"/>
      <c r="Y35" s="54" t="s">
        <v>91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224</v>
      </c>
      <c r="C36" s="46" t="s">
        <v>225</v>
      </c>
      <c r="D36" s="47" t="s">
        <v>18</v>
      </c>
      <c r="E36" s="24" t="s">
        <v>145</v>
      </c>
      <c r="F36" s="47" t="s">
        <v>146</v>
      </c>
      <c r="G36" s="47" t="str">
        <f t="shared" si="1"/>
        <v>Augusto</v>
      </c>
      <c r="H36" s="53" t="s">
        <v>88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45</v>
      </c>
      <c r="N36" s="50">
        <v>0.012</v>
      </c>
      <c r="O36" s="9" t="s">
        <v>46</v>
      </c>
      <c r="P36" s="61">
        <v>0.1</v>
      </c>
      <c r="Q36" s="62"/>
      <c r="R36" s="52"/>
      <c r="S36" s="62" t="s">
        <v>226</v>
      </c>
      <c r="T36" s="24" t="s">
        <v>89</v>
      </c>
      <c r="U36" s="25" t="s">
        <v>227</v>
      </c>
      <c r="V36" s="9" t="s">
        <v>149</v>
      </c>
      <c r="W36" s="53" t="str">
        <f t="shared" si="3"/>
        <v>Ativo</v>
      </c>
      <c r="X36" s="24"/>
      <c r="Y36" s="54" t="s">
        <v>91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162464.5</v>
      </c>
    </row>
    <row r="37" ht="15.75" customHeight="1">
      <c r="A37" s="44" t="s">
        <v>36</v>
      </c>
      <c r="B37" s="57" t="s">
        <v>228</v>
      </c>
      <c r="C37" s="46" t="s">
        <v>229</v>
      </c>
      <c r="D37" s="47" t="s">
        <v>18</v>
      </c>
      <c r="E37" s="24" t="s">
        <v>19</v>
      </c>
      <c r="F37" s="47" t="s">
        <v>230</v>
      </c>
      <c r="G37" s="47" t="str">
        <f t="shared" si="1"/>
        <v>#N/A</v>
      </c>
      <c r="H37" s="53" t="s">
        <v>116</v>
      </c>
      <c r="I37" s="48" t="s">
        <v>161</v>
      </c>
      <c r="J37" s="47" t="str">
        <f t="shared" si="2"/>
        <v>Não</v>
      </c>
      <c r="K37" s="49">
        <v>45166.0</v>
      </c>
      <c r="L37" s="64"/>
      <c r="M37" s="24" t="s">
        <v>60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231</v>
      </c>
      <c r="T37" s="24" t="s">
        <v>89</v>
      </c>
      <c r="U37" s="25" t="s">
        <v>232</v>
      </c>
      <c r="V37" s="9" t="s">
        <v>19</v>
      </c>
      <c r="W37" s="53" t="str">
        <f t="shared" si="3"/>
        <v>Inativo</v>
      </c>
      <c r="X37" s="24"/>
      <c r="Y37" s="54" t="s">
        <v>95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233</v>
      </c>
      <c r="C38" s="88" t="s">
        <v>234</v>
      </c>
      <c r="D38" s="47" t="s">
        <v>18</v>
      </c>
      <c r="E38" s="24" t="s">
        <v>145</v>
      </c>
      <c r="F38" s="47" t="s">
        <v>171</v>
      </c>
      <c r="G38" s="47" t="str">
        <f t="shared" si="1"/>
        <v>Augusto</v>
      </c>
      <c r="H38" s="48" t="s">
        <v>88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60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235</v>
      </c>
      <c r="T38" s="24" t="s">
        <v>89</v>
      </c>
      <c r="U38" s="25" t="s">
        <v>236</v>
      </c>
      <c r="V38" s="9" t="s">
        <v>149</v>
      </c>
      <c r="W38" s="53" t="str">
        <f t="shared" si="3"/>
        <v>Ativo</v>
      </c>
      <c r="X38" s="24"/>
      <c r="Y38" s="54" t="s">
        <v>91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76707.85</v>
      </c>
    </row>
    <row r="39" ht="15.75" customHeight="1">
      <c r="A39" s="44" t="s">
        <v>36</v>
      </c>
      <c r="B39" s="63" t="s">
        <v>237</v>
      </c>
      <c r="C39" s="46" t="s">
        <v>238</v>
      </c>
      <c r="D39" s="47" t="s">
        <v>18</v>
      </c>
      <c r="E39" s="24" t="s">
        <v>145</v>
      </c>
      <c r="F39" s="47" t="s">
        <v>146</v>
      </c>
      <c r="G39" s="47" t="str">
        <f t="shared" si="1"/>
        <v>Bruno</v>
      </c>
      <c r="H39" s="48" t="s">
        <v>88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60</v>
      </c>
      <c r="N39" s="50">
        <v>0.012</v>
      </c>
      <c r="O39" s="47" t="s">
        <v>24</v>
      </c>
      <c r="P39" s="51">
        <v>0.0</v>
      </c>
      <c r="Q39" s="89" t="s">
        <v>239</v>
      </c>
      <c r="R39" s="52"/>
      <c r="S39" s="52"/>
      <c r="T39" s="24" t="s">
        <v>89</v>
      </c>
      <c r="U39" s="25" t="s">
        <v>240</v>
      </c>
      <c r="V39" s="9" t="s">
        <v>149</v>
      </c>
      <c r="W39" s="53" t="str">
        <f t="shared" si="3"/>
        <v>Ativo</v>
      </c>
      <c r="X39" s="24"/>
      <c r="Y39" s="54" t="s">
        <v>91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1445595</v>
      </c>
    </row>
    <row r="40" ht="15.75" customHeight="1">
      <c r="A40" s="44" t="s">
        <v>36</v>
      </c>
      <c r="B40" s="45" t="s">
        <v>241</v>
      </c>
      <c r="C40" s="46" t="s">
        <v>242</v>
      </c>
      <c r="D40" s="47" t="s">
        <v>86</v>
      </c>
      <c r="E40" s="24" t="s">
        <v>29</v>
      </c>
      <c r="F40" s="47" t="s">
        <v>87</v>
      </c>
      <c r="G40" s="47" t="str">
        <f t="shared" si="1"/>
        <v>Augusto</v>
      </c>
      <c r="H40" s="53" t="s">
        <v>116</v>
      </c>
      <c r="I40" s="53" t="s">
        <v>161</v>
      </c>
      <c r="J40" s="47" t="str">
        <f t="shared" si="2"/>
        <v>Não</v>
      </c>
      <c r="K40" s="49">
        <v>45098.0</v>
      </c>
      <c r="L40" s="24"/>
      <c r="M40" s="24" t="s">
        <v>243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244</v>
      </c>
      <c r="T40" s="24" t="s">
        <v>89</v>
      </c>
      <c r="U40" s="25" t="s">
        <v>245</v>
      </c>
      <c r="V40" s="9" t="s">
        <v>180</v>
      </c>
      <c r="W40" s="53" t="str">
        <f t="shared" si="3"/>
        <v>Ativo</v>
      </c>
      <c r="X40" s="24"/>
      <c r="Y40" s="54" t="s">
        <v>91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246</v>
      </c>
      <c r="C41" s="67" t="s">
        <v>247</v>
      </c>
      <c r="D41" s="9" t="s">
        <v>18</v>
      </c>
      <c r="E41" s="25" t="s">
        <v>29</v>
      </c>
      <c r="F41" s="9" t="s">
        <v>110</v>
      </c>
      <c r="G41" s="47" t="str">
        <f t="shared" si="1"/>
        <v>Breno</v>
      </c>
      <c r="H41" s="53" t="s">
        <v>88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60</v>
      </c>
      <c r="N41" s="60">
        <v>0.012</v>
      </c>
      <c r="O41" s="9" t="s">
        <v>24</v>
      </c>
      <c r="P41" s="61">
        <v>0.0</v>
      </c>
      <c r="Q41" s="15" t="s">
        <v>248</v>
      </c>
      <c r="R41" s="52"/>
      <c r="S41" s="62"/>
      <c r="T41" s="25" t="s">
        <v>89</v>
      </c>
      <c r="U41" s="25" t="s">
        <v>249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450229.7</v>
      </c>
    </row>
    <row r="42" ht="15.75" customHeight="1">
      <c r="A42" s="6" t="s">
        <v>36</v>
      </c>
      <c r="B42" s="45" t="s">
        <v>250</v>
      </c>
      <c r="C42" s="58" t="s">
        <v>251</v>
      </c>
      <c r="D42" s="9" t="s">
        <v>18</v>
      </c>
      <c r="E42" s="25" t="s">
        <v>29</v>
      </c>
      <c r="F42" s="9" t="s">
        <v>44</v>
      </c>
      <c r="G42" s="47" t="str">
        <f t="shared" si="1"/>
        <v>#N/A</v>
      </c>
      <c r="H42" s="53" t="s">
        <v>116</v>
      </c>
      <c r="I42" s="53" t="s">
        <v>161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89</v>
      </c>
      <c r="U42" s="25" t="s">
        <v>252</v>
      </c>
      <c r="V42" s="9" t="s">
        <v>29</v>
      </c>
      <c r="W42" s="53" t="str">
        <f t="shared" si="3"/>
        <v>Ativo</v>
      </c>
      <c r="X42" s="24"/>
      <c r="Y42" s="54" t="s">
        <v>95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253</v>
      </c>
      <c r="C43" s="97" t="s">
        <v>254</v>
      </c>
      <c r="D43" s="47" t="s">
        <v>18</v>
      </c>
      <c r="E43" s="24" t="s">
        <v>19</v>
      </c>
      <c r="F43" s="47" t="s">
        <v>201</v>
      </c>
      <c r="G43" s="47" t="str">
        <f t="shared" si="1"/>
        <v>Augusto</v>
      </c>
      <c r="H43" s="48" t="s">
        <v>88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60</v>
      </c>
      <c r="N43" s="50">
        <v>0.012</v>
      </c>
      <c r="O43" s="47" t="s">
        <v>24</v>
      </c>
      <c r="P43" s="51">
        <v>0.0</v>
      </c>
      <c r="Q43" s="98" t="s">
        <v>255</v>
      </c>
      <c r="R43" s="52"/>
      <c r="S43" s="52"/>
      <c r="T43" s="24" t="s">
        <v>89</v>
      </c>
      <c r="U43" s="25" t="s">
        <v>256</v>
      </c>
      <c r="V43" s="9" t="s">
        <v>257</v>
      </c>
      <c r="W43" s="53" t="str">
        <f t="shared" si="3"/>
        <v>Ativo</v>
      </c>
      <c r="X43" s="24"/>
      <c r="Y43" s="54" t="s">
        <v>95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101186.2</v>
      </c>
    </row>
    <row r="44" ht="15.75" customHeight="1">
      <c r="A44" s="44" t="s">
        <v>36</v>
      </c>
      <c r="B44" s="57" t="s">
        <v>258</v>
      </c>
      <c r="C44" s="99" t="s">
        <v>259</v>
      </c>
      <c r="D44" s="47" t="s">
        <v>18</v>
      </c>
      <c r="E44" s="24" t="s">
        <v>145</v>
      </c>
      <c r="F44" s="47" t="s">
        <v>146</v>
      </c>
      <c r="G44" s="47" t="str">
        <f t="shared" si="1"/>
        <v>Bruno</v>
      </c>
      <c r="H44" s="53" t="s">
        <v>88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111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260</v>
      </c>
      <c r="T44" s="24" t="s">
        <v>89</v>
      </c>
      <c r="U44" s="25" t="s">
        <v>261</v>
      </c>
      <c r="V44" s="9" t="s">
        <v>149</v>
      </c>
      <c r="W44" s="53" t="str">
        <f t="shared" si="3"/>
        <v>Ativo</v>
      </c>
      <c r="X44" s="24"/>
      <c r="Y44" s="54" t="s">
        <v>91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1623123</v>
      </c>
    </row>
    <row r="45" ht="15.75" customHeight="1">
      <c r="A45" s="44" t="s">
        <v>36</v>
      </c>
      <c r="B45" s="45" t="s">
        <v>258</v>
      </c>
      <c r="C45" s="46" t="s">
        <v>262</v>
      </c>
      <c r="D45" s="47" t="s">
        <v>18</v>
      </c>
      <c r="E45" s="24" t="s">
        <v>145</v>
      </c>
      <c r="F45" s="47" t="s">
        <v>146</v>
      </c>
      <c r="G45" s="47" t="str">
        <f t="shared" si="1"/>
        <v>#N/A</v>
      </c>
      <c r="H45" s="48" t="s">
        <v>157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166</v>
      </c>
      <c r="N45" s="50">
        <v>0.008</v>
      </c>
      <c r="O45" s="47" t="s">
        <v>167</v>
      </c>
      <c r="P45" s="51">
        <v>0.1</v>
      </c>
      <c r="Q45" s="52"/>
      <c r="R45" s="52"/>
      <c r="S45" s="52"/>
      <c r="T45" s="24" t="s">
        <v>89</v>
      </c>
      <c r="U45" s="25" t="s">
        <v>261</v>
      </c>
      <c r="V45" s="9" t="s">
        <v>149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263</v>
      </c>
      <c r="C46" s="99" t="s">
        <v>264</v>
      </c>
      <c r="D46" s="47" t="s">
        <v>18</v>
      </c>
      <c r="E46" s="24" t="s">
        <v>145</v>
      </c>
      <c r="F46" s="47" t="s">
        <v>146</v>
      </c>
      <c r="G46" s="47" t="str">
        <f t="shared" si="1"/>
        <v>Augusto</v>
      </c>
      <c r="H46" s="53" t="s">
        <v>116</v>
      </c>
      <c r="I46" s="53" t="s">
        <v>161</v>
      </c>
      <c r="J46" s="47" t="str">
        <f t="shared" si="2"/>
        <v>Não</v>
      </c>
      <c r="K46" s="49">
        <v>45020.0</v>
      </c>
      <c r="L46" s="24"/>
      <c r="M46" s="24" t="s">
        <v>162</v>
      </c>
      <c r="N46" s="50">
        <v>0.025</v>
      </c>
      <c r="O46" s="47" t="s">
        <v>163</v>
      </c>
      <c r="P46" s="51">
        <v>0.2</v>
      </c>
      <c r="Q46" s="52"/>
      <c r="R46" s="52"/>
      <c r="S46" s="52" t="s">
        <v>260</v>
      </c>
      <c r="T46" s="24" t="s">
        <v>89</v>
      </c>
      <c r="U46" s="25" t="s">
        <v>261</v>
      </c>
      <c r="V46" s="9" t="s">
        <v>149</v>
      </c>
      <c r="W46" s="53" t="str">
        <f t="shared" si="3"/>
        <v>Ativo</v>
      </c>
      <c r="X46" s="24"/>
      <c r="Y46" s="54" t="s">
        <v>91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265</v>
      </c>
      <c r="C47" s="46" t="s">
        <v>266</v>
      </c>
      <c r="D47" s="47" t="s">
        <v>18</v>
      </c>
      <c r="E47" s="24" t="s">
        <v>145</v>
      </c>
      <c r="F47" s="47" t="s">
        <v>171</v>
      </c>
      <c r="G47" s="47" t="str">
        <f t="shared" si="1"/>
        <v>Augusto</v>
      </c>
      <c r="H47" s="48" t="s">
        <v>88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111</v>
      </c>
      <c r="N47" s="50">
        <v>0.015</v>
      </c>
      <c r="O47" s="47" t="s">
        <v>46</v>
      </c>
      <c r="P47" s="51">
        <v>0.1</v>
      </c>
      <c r="Q47" s="65"/>
      <c r="R47" s="52"/>
      <c r="S47" s="62" t="s">
        <v>267</v>
      </c>
      <c r="T47" s="24" t="s">
        <v>89</v>
      </c>
      <c r="U47" s="25" t="s">
        <v>268</v>
      </c>
      <c r="V47" s="9" t="s">
        <v>149</v>
      </c>
      <c r="W47" s="53" t="str">
        <f t="shared" si="3"/>
        <v>Ativo</v>
      </c>
      <c r="X47" s="24"/>
      <c r="Y47" s="54" t="s">
        <v>91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108472.8</v>
      </c>
    </row>
    <row r="48" ht="15.75" customHeight="1">
      <c r="A48" s="44" t="s">
        <v>36</v>
      </c>
      <c r="B48" s="96" t="s">
        <v>269</v>
      </c>
      <c r="C48" s="73" t="s">
        <v>270</v>
      </c>
      <c r="D48" s="47" t="s">
        <v>18</v>
      </c>
      <c r="E48" s="24" t="s">
        <v>29</v>
      </c>
      <c r="F48" s="92" t="s">
        <v>98</v>
      </c>
      <c r="G48" s="47" t="str">
        <f t="shared" si="1"/>
        <v>Augusto</v>
      </c>
      <c r="H48" s="48" t="s">
        <v>88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60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271</v>
      </c>
      <c r="T48" s="24" t="s">
        <v>89</v>
      </c>
      <c r="U48" s="25" t="s">
        <v>272</v>
      </c>
      <c r="V48" s="9" t="s">
        <v>29</v>
      </c>
      <c r="W48" s="53" t="str">
        <f t="shared" si="3"/>
        <v>Ativo</v>
      </c>
      <c r="X48" s="24"/>
      <c r="Y48" s="54" t="s">
        <v>91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21883.8</v>
      </c>
    </row>
    <row r="49" ht="15.75" customHeight="1">
      <c r="A49" s="6" t="s">
        <v>36</v>
      </c>
      <c r="B49" s="57" t="s">
        <v>269</v>
      </c>
      <c r="C49" s="58" t="s">
        <v>273</v>
      </c>
      <c r="D49" s="9" t="s">
        <v>18</v>
      </c>
      <c r="E49" s="25" t="s">
        <v>29</v>
      </c>
      <c r="F49" s="92" t="s">
        <v>98</v>
      </c>
      <c r="G49" s="47" t="str">
        <f t="shared" si="1"/>
        <v>Augusto</v>
      </c>
      <c r="H49" s="53" t="s">
        <v>116</v>
      </c>
      <c r="I49" s="53" t="s">
        <v>117</v>
      </c>
      <c r="J49" s="47" t="str">
        <f t="shared" si="2"/>
        <v>Não</v>
      </c>
      <c r="K49" s="59">
        <v>45293.0</v>
      </c>
      <c r="L49" s="24"/>
      <c r="M49" s="25" t="s">
        <v>118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274</v>
      </c>
      <c r="T49" s="25" t="s">
        <v>89</v>
      </c>
      <c r="U49" s="25" t="s">
        <v>272</v>
      </c>
      <c r="V49" s="9" t="s">
        <v>29</v>
      </c>
      <c r="W49" s="53" t="str">
        <f t="shared" si="3"/>
        <v>Ativo</v>
      </c>
      <c r="X49" s="24"/>
      <c r="Y49" s="54" t="s">
        <v>91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31576.18</v>
      </c>
    </row>
    <row r="50" ht="15.75" customHeight="1">
      <c r="A50" s="44" t="s">
        <v>36</v>
      </c>
      <c r="B50" s="45" t="s">
        <v>275</v>
      </c>
      <c r="C50" s="101" t="s">
        <v>276</v>
      </c>
      <c r="D50" s="47" t="s">
        <v>18</v>
      </c>
      <c r="E50" s="24" t="s">
        <v>29</v>
      </c>
      <c r="F50" s="47" t="s">
        <v>110</v>
      </c>
      <c r="G50" s="47" t="str">
        <f t="shared" si="1"/>
        <v>Breno</v>
      </c>
      <c r="H50" s="48" t="s">
        <v>88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60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89</v>
      </c>
      <c r="U50" s="25" t="s">
        <v>277</v>
      </c>
      <c r="V50" s="9" t="s">
        <v>29</v>
      </c>
      <c r="W50" s="53" t="str">
        <f t="shared" si="3"/>
        <v>Ativo</v>
      </c>
      <c r="X50" s="24"/>
      <c r="Y50" s="54" t="s">
        <v>95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685242.2</v>
      </c>
    </row>
    <row r="51" ht="15.75" customHeight="1">
      <c r="A51" s="44" t="s">
        <v>36</v>
      </c>
      <c r="B51" s="45" t="s">
        <v>278</v>
      </c>
      <c r="C51" s="46" t="s">
        <v>279</v>
      </c>
      <c r="D51" s="47" t="s">
        <v>18</v>
      </c>
      <c r="E51" s="24" t="s">
        <v>29</v>
      </c>
      <c r="F51" s="47" t="s">
        <v>58</v>
      </c>
      <c r="G51" s="47" t="str">
        <f t="shared" si="1"/>
        <v>Augusto</v>
      </c>
      <c r="H51" s="53" t="s">
        <v>116</v>
      </c>
      <c r="I51" s="53" t="s">
        <v>161</v>
      </c>
      <c r="J51" s="47" t="str">
        <f t="shared" si="2"/>
        <v>Não</v>
      </c>
      <c r="K51" s="49">
        <v>44973.0</v>
      </c>
      <c r="L51" s="24"/>
      <c r="M51" s="24" t="s">
        <v>60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89</v>
      </c>
      <c r="U51" s="25" t="s">
        <v>280</v>
      </c>
      <c r="V51" s="9" t="s">
        <v>29</v>
      </c>
      <c r="W51" s="53" t="str">
        <f t="shared" si="3"/>
        <v>Ativo</v>
      </c>
      <c r="X51" s="24"/>
      <c r="Y51" s="54" t="s">
        <v>95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281</v>
      </c>
      <c r="C52" s="46" t="s">
        <v>282</v>
      </c>
      <c r="D52" s="47" t="s">
        <v>18</v>
      </c>
      <c r="E52" s="24" t="s">
        <v>19</v>
      </c>
      <c r="F52" s="47" t="s">
        <v>52</v>
      </c>
      <c r="G52" s="47" t="str">
        <f t="shared" si="1"/>
        <v>Augusto</v>
      </c>
      <c r="H52" s="53" t="s">
        <v>116</v>
      </c>
      <c r="I52" s="53" t="s">
        <v>161</v>
      </c>
      <c r="J52" s="47" t="str">
        <f t="shared" si="2"/>
        <v>Não</v>
      </c>
      <c r="K52" s="49">
        <v>44949.0</v>
      </c>
      <c r="L52" s="24"/>
      <c r="M52" s="24" t="s">
        <v>60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89</v>
      </c>
      <c r="U52" s="25" t="s">
        <v>283</v>
      </c>
      <c r="V52" s="9" t="s">
        <v>19</v>
      </c>
      <c r="W52" s="53" t="str">
        <f t="shared" si="3"/>
        <v>Ativo</v>
      </c>
      <c r="X52" s="24"/>
      <c r="Y52" s="54" t="s">
        <v>95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284</v>
      </c>
      <c r="C53" s="46" t="s">
        <v>285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157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60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286</v>
      </c>
      <c r="T53" s="24" t="s">
        <v>89</v>
      </c>
      <c r="U53" s="25" t="s">
        <v>287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288</v>
      </c>
      <c r="C54" s="46" t="s">
        <v>289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88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111</v>
      </c>
      <c r="N54" s="50">
        <v>0.015</v>
      </c>
      <c r="O54" s="47" t="s">
        <v>46</v>
      </c>
      <c r="P54" s="51">
        <v>0.1</v>
      </c>
      <c r="Q54" s="62" t="s">
        <v>290</v>
      </c>
      <c r="R54" s="52"/>
      <c r="S54" s="52"/>
      <c r="T54" s="24" t="s">
        <v>89</v>
      </c>
      <c r="U54" s="25" t="s">
        <v>291</v>
      </c>
      <c r="V54" s="9" t="s">
        <v>19</v>
      </c>
      <c r="W54" s="53" t="str">
        <f t="shared" si="3"/>
        <v>Ativo</v>
      </c>
      <c r="X54" s="24"/>
      <c r="Y54" s="54" t="s">
        <v>95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677796.6</v>
      </c>
    </row>
    <row r="55" ht="15.75" customHeight="1">
      <c r="A55" s="44" t="s">
        <v>36</v>
      </c>
      <c r="B55" s="45" t="s">
        <v>292</v>
      </c>
      <c r="C55" s="46" t="s">
        <v>293</v>
      </c>
      <c r="D55" s="47" t="s">
        <v>18</v>
      </c>
      <c r="E55" s="24" t="s">
        <v>19</v>
      </c>
      <c r="F55" s="47" t="s">
        <v>201</v>
      </c>
      <c r="G55" s="47" t="str">
        <f t="shared" si="1"/>
        <v>Augusto</v>
      </c>
      <c r="H55" s="48" t="s">
        <v>88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60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89</v>
      </c>
      <c r="U55" s="25" t="s">
        <v>294</v>
      </c>
      <c r="V55" s="9" t="s">
        <v>29</v>
      </c>
      <c r="W55" s="53" t="str">
        <f t="shared" si="3"/>
        <v>Ativo</v>
      </c>
      <c r="X55" s="24"/>
      <c r="Y55" s="54" t="s">
        <v>95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43905.63</v>
      </c>
    </row>
    <row r="56" ht="15.75" customHeight="1">
      <c r="A56" s="44" t="s">
        <v>36</v>
      </c>
      <c r="B56" s="45" t="s">
        <v>295</v>
      </c>
      <c r="C56" s="46" t="s">
        <v>296</v>
      </c>
      <c r="D56" s="47" t="s">
        <v>18</v>
      </c>
      <c r="E56" s="24" t="s">
        <v>19</v>
      </c>
      <c r="F56" s="47" t="s">
        <v>201</v>
      </c>
      <c r="G56" s="47" t="str">
        <f t="shared" si="1"/>
        <v>#N/A</v>
      </c>
      <c r="H56" s="53" t="s">
        <v>116</v>
      </c>
      <c r="I56" s="48" t="s">
        <v>161</v>
      </c>
      <c r="J56" s="47" t="str">
        <f t="shared" si="2"/>
        <v>Não</v>
      </c>
      <c r="K56" s="49">
        <v>45012.0</v>
      </c>
      <c r="L56" s="24"/>
      <c r="M56" s="24" t="s">
        <v>60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89</v>
      </c>
      <c r="U56" s="25" t="s">
        <v>297</v>
      </c>
      <c r="V56" s="9" t="s">
        <v>19</v>
      </c>
      <c r="W56" s="53" t="str">
        <f t="shared" si="3"/>
        <v>Ativo</v>
      </c>
      <c r="X56" s="24"/>
      <c r="Y56" s="54" t="s">
        <v>95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298</v>
      </c>
      <c r="C57" s="58" t="s">
        <v>299</v>
      </c>
      <c r="D57" s="9" t="s">
        <v>18</v>
      </c>
      <c r="E57" s="25" t="s">
        <v>29</v>
      </c>
      <c r="F57" s="9" t="s">
        <v>110</v>
      </c>
      <c r="G57" s="47" t="str">
        <f t="shared" si="1"/>
        <v>Breno</v>
      </c>
      <c r="H57" s="53" t="s">
        <v>88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60</v>
      </c>
      <c r="N57" s="60">
        <v>0.012</v>
      </c>
      <c r="O57" s="9" t="s">
        <v>24</v>
      </c>
      <c r="P57" s="61">
        <v>0.0</v>
      </c>
      <c r="Q57" s="15" t="s">
        <v>300</v>
      </c>
      <c r="R57" s="52"/>
      <c r="S57" s="52"/>
      <c r="T57" s="25" t="s">
        <v>89</v>
      </c>
      <c r="U57" s="25" t="s">
        <v>301</v>
      </c>
      <c r="V57" s="9" t="s">
        <v>29</v>
      </c>
      <c r="W57" s="53" t="str">
        <f t="shared" si="3"/>
        <v>Ativo</v>
      </c>
      <c r="X57" s="24"/>
      <c r="Y57" s="54" t="s">
        <v>91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613612.1</v>
      </c>
    </row>
    <row r="58" ht="15.75" customHeight="1">
      <c r="A58" s="44" t="s">
        <v>36</v>
      </c>
      <c r="B58" s="63" t="s">
        <v>302</v>
      </c>
      <c r="C58" s="46" t="s">
        <v>303</v>
      </c>
      <c r="D58" s="47" t="s">
        <v>18</v>
      </c>
      <c r="E58" s="24" t="s">
        <v>145</v>
      </c>
      <c r="F58" s="47" t="s">
        <v>146</v>
      </c>
      <c r="G58" s="47" t="str">
        <f t="shared" si="1"/>
        <v>Bruno</v>
      </c>
      <c r="H58" s="48" t="s">
        <v>88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45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304</v>
      </c>
      <c r="T58" s="24" t="s">
        <v>89</v>
      </c>
      <c r="U58" s="25" t="s">
        <v>305</v>
      </c>
      <c r="V58" s="9" t="s">
        <v>121</v>
      </c>
      <c r="W58" s="53" t="str">
        <f t="shared" si="3"/>
        <v>Ativo</v>
      </c>
      <c r="X58" s="24"/>
      <c r="Y58" s="54" t="s">
        <v>95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6260765</v>
      </c>
    </row>
    <row r="59" ht="15.75" customHeight="1">
      <c r="A59" s="44" t="s">
        <v>36</v>
      </c>
      <c r="B59" s="45" t="s">
        <v>306</v>
      </c>
      <c r="C59" s="46" t="s">
        <v>307</v>
      </c>
      <c r="D59" s="47" t="s">
        <v>18</v>
      </c>
      <c r="E59" s="24" t="s">
        <v>29</v>
      </c>
      <c r="F59" s="47" t="s">
        <v>137</v>
      </c>
      <c r="G59" s="47" t="str">
        <f t="shared" si="1"/>
        <v>Breno</v>
      </c>
      <c r="H59" s="48" t="s">
        <v>88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60</v>
      </c>
      <c r="N59" s="50">
        <v>0.012</v>
      </c>
      <c r="O59" s="47" t="s">
        <v>24</v>
      </c>
      <c r="P59" s="51">
        <v>0.0</v>
      </c>
      <c r="Q59" s="62" t="s">
        <v>308</v>
      </c>
      <c r="R59" s="52"/>
      <c r="S59" s="52"/>
      <c r="T59" s="24" t="s">
        <v>89</v>
      </c>
      <c r="U59" s="25" t="s">
        <v>309</v>
      </c>
      <c r="V59" s="9" t="s">
        <v>29</v>
      </c>
      <c r="W59" s="53" t="str">
        <f t="shared" si="3"/>
        <v>Ativo</v>
      </c>
      <c r="X59" s="24"/>
      <c r="Y59" s="54" t="s">
        <v>95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728160.2</v>
      </c>
    </row>
    <row r="60" ht="15.75" customHeight="1">
      <c r="A60" s="44" t="s">
        <v>36</v>
      </c>
      <c r="B60" s="45" t="s">
        <v>310</v>
      </c>
      <c r="C60" s="46" t="s">
        <v>311</v>
      </c>
      <c r="D60" s="47" t="s">
        <v>18</v>
      </c>
      <c r="E60" s="24" t="s">
        <v>145</v>
      </c>
      <c r="F60" s="47" t="s">
        <v>171</v>
      </c>
      <c r="G60" s="47" t="str">
        <f t="shared" si="1"/>
        <v>Bruno</v>
      </c>
      <c r="H60" s="48" t="s">
        <v>88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111</v>
      </c>
      <c r="N60" s="50">
        <v>0.015</v>
      </c>
      <c r="O60" s="47" t="s">
        <v>46</v>
      </c>
      <c r="P60" s="51">
        <v>0.1</v>
      </c>
      <c r="Q60" s="52"/>
      <c r="R60" s="52"/>
      <c r="S60" s="52"/>
      <c r="T60" s="24" t="s">
        <v>89</v>
      </c>
      <c r="U60" s="25" t="s">
        <v>312</v>
      </c>
      <c r="V60" s="9" t="s">
        <v>149</v>
      </c>
      <c r="W60" s="53" t="str">
        <f t="shared" si="3"/>
        <v>Ativo</v>
      </c>
      <c r="X60" s="24"/>
      <c r="Y60" s="54" t="s">
        <v>91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1979497</v>
      </c>
    </row>
    <row r="61" ht="15.75" customHeight="1">
      <c r="A61" s="44" t="s">
        <v>36</v>
      </c>
      <c r="B61" s="103" t="s">
        <v>313</v>
      </c>
      <c r="C61" s="104" t="s">
        <v>314</v>
      </c>
      <c r="D61" s="9" t="s">
        <v>86</v>
      </c>
      <c r="E61" s="25" t="s">
        <v>29</v>
      </c>
      <c r="F61" s="9" t="s">
        <v>315</v>
      </c>
      <c r="G61" s="47" t="str">
        <f t="shared" si="1"/>
        <v>Augusto</v>
      </c>
      <c r="H61" s="53" t="s">
        <v>88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45</v>
      </c>
      <c r="N61" s="60">
        <v>0.014</v>
      </c>
      <c r="O61" s="9" t="s">
        <v>46</v>
      </c>
      <c r="P61" s="61">
        <v>0.1</v>
      </c>
      <c r="Q61" s="27" t="s">
        <v>316</v>
      </c>
      <c r="R61" s="52"/>
      <c r="S61" s="52"/>
      <c r="T61" s="25" t="s">
        <v>89</v>
      </c>
      <c r="U61" s="23" t="s">
        <v>317</v>
      </c>
      <c r="V61" s="9" t="s">
        <v>29</v>
      </c>
      <c r="W61" s="53" t="str">
        <f t="shared" si="3"/>
        <v>Ativo</v>
      </c>
      <c r="X61" s="25" t="s">
        <v>318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/>
    </row>
    <row r="62" ht="15.75" customHeight="1">
      <c r="A62" s="44" t="s">
        <v>36</v>
      </c>
      <c r="B62" s="45" t="s">
        <v>319</v>
      </c>
      <c r="C62" s="46" t="s">
        <v>320</v>
      </c>
      <c r="D62" s="47" t="s">
        <v>18</v>
      </c>
      <c r="E62" s="24" t="s">
        <v>145</v>
      </c>
      <c r="F62" s="47" t="s">
        <v>146</v>
      </c>
      <c r="G62" s="47" t="str">
        <f t="shared" si="1"/>
        <v>Breno</v>
      </c>
      <c r="H62" s="48" t="s">
        <v>88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162</v>
      </c>
      <c r="N62" s="50">
        <v>0.0065</v>
      </c>
      <c r="O62" s="47" t="s">
        <v>163</v>
      </c>
      <c r="P62" s="51">
        <v>0.2</v>
      </c>
      <c r="Q62" s="52"/>
      <c r="R62" s="52"/>
      <c r="S62" s="52"/>
      <c r="T62" s="24" t="s">
        <v>89</v>
      </c>
      <c r="U62" s="25" t="s">
        <v>321</v>
      </c>
      <c r="V62" s="9" t="s">
        <v>149</v>
      </c>
      <c r="W62" s="53" t="str">
        <f t="shared" si="3"/>
        <v>Ativo</v>
      </c>
      <c r="X62" s="24"/>
      <c r="Y62" s="54" t="s">
        <v>91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784910.5</v>
      </c>
    </row>
    <row r="63" ht="15.75" customHeight="1">
      <c r="A63" s="44" t="s">
        <v>36</v>
      </c>
      <c r="B63" s="63" t="s">
        <v>319</v>
      </c>
      <c r="C63" s="46" t="s">
        <v>322</v>
      </c>
      <c r="D63" s="47" t="s">
        <v>18</v>
      </c>
      <c r="E63" s="24" t="s">
        <v>145</v>
      </c>
      <c r="F63" s="47" t="s">
        <v>146</v>
      </c>
      <c r="G63" s="47" t="str">
        <f t="shared" si="1"/>
        <v>Bruno</v>
      </c>
      <c r="H63" s="48" t="s">
        <v>88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60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323</v>
      </c>
      <c r="T63" s="24" t="s">
        <v>89</v>
      </c>
      <c r="U63" s="25" t="s">
        <v>321</v>
      </c>
      <c r="V63" s="9" t="s">
        <v>149</v>
      </c>
      <c r="W63" s="53" t="str">
        <f t="shared" si="3"/>
        <v>Ativo</v>
      </c>
      <c r="X63" s="24"/>
      <c r="Y63" s="54" t="s">
        <v>91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8152026</v>
      </c>
    </row>
    <row r="64" ht="15.75" customHeight="1">
      <c r="A64" s="44" t="s">
        <v>36</v>
      </c>
      <c r="B64" s="45" t="s">
        <v>319</v>
      </c>
      <c r="C64" s="46" t="s">
        <v>324</v>
      </c>
      <c r="D64" s="47" t="s">
        <v>18</v>
      </c>
      <c r="E64" s="24" t="s">
        <v>145</v>
      </c>
      <c r="F64" s="47" t="s">
        <v>146</v>
      </c>
      <c r="G64" s="47" t="str">
        <f t="shared" si="1"/>
        <v>Augusto</v>
      </c>
      <c r="H64" s="48" t="s">
        <v>116</v>
      </c>
      <c r="I64" s="53" t="s">
        <v>117</v>
      </c>
      <c r="J64" s="47" t="str">
        <f t="shared" si="2"/>
        <v>Sim</v>
      </c>
      <c r="K64" s="49">
        <v>45163.0</v>
      </c>
      <c r="L64" s="24"/>
      <c r="M64" s="24" t="s">
        <v>162</v>
      </c>
      <c r="N64" s="50">
        <v>0.0</v>
      </c>
      <c r="O64" s="47" t="s">
        <v>24</v>
      </c>
      <c r="P64" s="51">
        <v>0.0</v>
      </c>
      <c r="Q64" s="105" t="s">
        <v>325</v>
      </c>
      <c r="R64" s="106"/>
      <c r="S64" s="62" t="s">
        <v>326</v>
      </c>
      <c r="T64" s="24" t="s">
        <v>89</v>
      </c>
      <c r="U64" s="25" t="s">
        <v>321</v>
      </c>
      <c r="V64" s="9" t="s">
        <v>149</v>
      </c>
      <c r="W64" s="53" t="str">
        <f t="shared" si="3"/>
        <v>Ativo</v>
      </c>
      <c r="X64" s="24"/>
      <c r="Y64" s="54" t="s">
        <v>91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18886.13</v>
      </c>
    </row>
    <row r="65" ht="15.75" customHeight="1">
      <c r="A65" s="44" t="s">
        <v>36</v>
      </c>
      <c r="B65" s="45" t="s">
        <v>327</v>
      </c>
      <c r="C65" s="46" t="s">
        <v>328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88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60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329</v>
      </c>
      <c r="U65" s="25" t="s">
        <v>330</v>
      </c>
      <c r="V65" s="9" t="s">
        <v>19</v>
      </c>
      <c r="W65" s="53" t="str">
        <f t="shared" si="3"/>
        <v>Ativo</v>
      </c>
      <c r="X65" s="24"/>
      <c r="Y65" s="54" t="s">
        <v>95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252018.5</v>
      </c>
    </row>
    <row r="66" ht="15.75" customHeight="1">
      <c r="A66" s="44" t="s">
        <v>36</v>
      </c>
      <c r="B66" s="45" t="s">
        <v>331</v>
      </c>
      <c r="C66" s="46" t="s">
        <v>332</v>
      </c>
      <c r="D66" s="47" t="s">
        <v>18</v>
      </c>
      <c r="E66" s="24" t="s">
        <v>29</v>
      </c>
      <c r="F66" s="47" t="s">
        <v>333</v>
      </c>
      <c r="G66" s="47" t="str">
        <f t="shared" si="1"/>
        <v>Bruno</v>
      </c>
      <c r="H66" s="48" t="s">
        <v>116</v>
      </c>
      <c r="I66" s="53" t="s">
        <v>117</v>
      </c>
      <c r="J66" s="47" t="str">
        <f t="shared" si="2"/>
        <v>Sim</v>
      </c>
      <c r="K66" s="49">
        <v>44988.0</v>
      </c>
      <c r="L66" s="24"/>
      <c r="M66" s="24" t="s">
        <v>118</v>
      </c>
      <c r="N66" s="50">
        <v>0.0</v>
      </c>
      <c r="O66" s="47" t="s">
        <v>24</v>
      </c>
      <c r="P66" s="51">
        <v>0.0</v>
      </c>
      <c r="Q66" s="52" t="s">
        <v>334</v>
      </c>
      <c r="R66" s="52"/>
      <c r="S66" s="52"/>
      <c r="T66" s="24" t="s">
        <v>329</v>
      </c>
      <c r="U66" s="25" t="s">
        <v>335</v>
      </c>
      <c r="V66" s="9" t="s">
        <v>180</v>
      </c>
      <c r="W66" s="53" t="str">
        <f t="shared" si="3"/>
        <v>Ativo</v>
      </c>
      <c r="X66" s="24"/>
      <c r="Y66" s="54" t="s">
        <v>95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2311219</v>
      </c>
    </row>
    <row r="67" ht="15.75" customHeight="1">
      <c r="A67" s="44" t="s">
        <v>36</v>
      </c>
      <c r="B67" s="45" t="s">
        <v>336</v>
      </c>
      <c r="C67" s="46" t="s">
        <v>337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88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111</v>
      </c>
      <c r="N67" s="50">
        <v>0.015</v>
      </c>
      <c r="O67" s="47" t="s">
        <v>46</v>
      </c>
      <c r="P67" s="51">
        <v>0.1</v>
      </c>
      <c r="Q67" s="52"/>
      <c r="R67" s="52"/>
      <c r="S67" s="52"/>
      <c r="T67" s="24" t="s">
        <v>89</v>
      </c>
      <c r="U67" s="25" t="s">
        <v>338</v>
      </c>
      <c r="V67" s="9" t="s">
        <v>19</v>
      </c>
      <c r="W67" s="53" t="str">
        <f t="shared" si="3"/>
        <v>Ativo</v>
      </c>
      <c r="X67" s="24"/>
      <c r="Y67" s="54" t="s">
        <v>95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120094.3</v>
      </c>
    </row>
    <row r="68" ht="15.75" customHeight="1">
      <c r="A68" s="44" t="s">
        <v>36</v>
      </c>
      <c r="B68" s="45" t="s">
        <v>339</v>
      </c>
      <c r="C68" s="46" t="s">
        <v>340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88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60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89</v>
      </c>
      <c r="U68" s="25" t="s">
        <v>341</v>
      </c>
      <c r="V68" s="9" t="s">
        <v>19</v>
      </c>
      <c r="W68" s="53" t="str">
        <f t="shared" si="3"/>
        <v>Ativo</v>
      </c>
      <c r="X68" s="24"/>
      <c r="Y68" s="54" t="s">
        <v>95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290196</v>
      </c>
    </row>
    <row r="69" ht="15.75" customHeight="1">
      <c r="A69" s="44" t="s">
        <v>36</v>
      </c>
      <c r="B69" s="45" t="s">
        <v>342</v>
      </c>
      <c r="C69" s="69" t="s">
        <v>343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88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60</v>
      </c>
      <c r="N69" s="50">
        <v>0.012</v>
      </c>
      <c r="O69" s="47" t="s">
        <v>24</v>
      </c>
      <c r="P69" s="51">
        <v>0.0</v>
      </c>
      <c r="Q69" s="107" t="s">
        <v>344</v>
      </c>
      <c r="R69" s="52"/>
      <c r="S69" s="52"/>
      <c r="T69" s="24" t="s">
        <v>89</v>
      </c>
      <c r="U69" s="25" t="s">
        <v>345</v>
      </c>
      <c r="V69" s="9" t="s">
        <v>19</v>
      </c>
      <c r="W69" s="53" t="str">
        <f t="shared" si="3"/>
        <v>Ativo</v>
      </c>
      <c r="X69" s="24"/>
      <c r="Y69" s="54" t="s">
        <v>95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75625.66</v>
      </c>
    </row>
    <row r="70" ht="15.75" customHeight="1">
      <c r="A70" s="44" t="s">
        <v>36</v>
      </c>
      <c r="B70" s="68" t="s">
        <v>346</v>
      </c>
      <c r="C70" s="69" t="s">
        <v>347</v>
      </c>
      <c r="D70" s="47" t="s">
        <v>18</v>
      </c>
      <c r="E70" s="24" t="s">
        <v>19</v>
      </c>
      <c r="F70" s="108" t="s">
        <v>348</v>
      </c>
      <c r="G70" s="47" t="str">
        <f t="shared" si="1"/>
        <v>#N/A</v>
      </c>
      <c r="H70" s="48" t="s">
        <v>88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54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329</v>
      </c>
      <c r="U70" s="25" t="s">
        <v>349</v>
      </c>
      <c r="V70" s="9" t="s">
        <v>19</v>
      </c>
      <c r="W70" s="53" t="str">
        <f t="shared" si="3"/>
        <v>Ativo</v>
      </c>
      <c r="X70" s="24"/>
      <c r="Y70" s="54" t="s">
        <v>95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350</v>
      </c>
      <c r="C71" s="46" t="s">
        <v>351</v>
      </c>
      <c r="D71" s="47" t="s">
        <v>18</v>
      </c>
      <c r="E71" s="24" t="s">
        <v>145</v>
      </c>
      <c r="F71" s="47" t="s">
        <v>146</v>
      </c>
      <c r="G71" s="47" t="str">
        <f t="shared" si="1"/>
        <v>#N/A</v>
      </c>
      <c r="H71" s="53" t="s">
        <v>157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162</v>
      </c>
      <c r="N71" s="50">
        <v>0.025</v>
      </c>
      <c r="O71" s="47" t="s">
        <v>163</v>
      </c>
      <c r="P71" s="51">
        <v>0.2</v>
      </c>
      <c r="Q71" s="65"/>
      <c r="R71" s="52"/>
      <c r="S71" s="62" t="s">
        <v>352</v>
      </c>
      <c r="T71" s="24" t="s">
        <v>89</v>
      </c>
      <c r="U71" s="25" t="s">
        <v>353</v>
      </c>
      <c r="V71" s="9" t="s">
        <v>149</v>
      </c>
      <c r="W71" s="53" t="str">
        <f t="shared" si="3"/>
        <v>Encerrado</v>
      </c>
      <c r="X71" s="24"/>
      <c r="Y71" s="54" t="s">
        <v>91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350</v>
      </c>
      <c r="C72" s="46" t="s">
        <v>354</v>
      </c>
      <c r="D72" s="47" t="s">
        <v>18</v>
      </c>
      <c r="E72" s="24" t="s">
        <v>145</v>
      </c>
      <c r="F72" s="47" t="s">
        <v>146</v>
      </c>
      <c r="G72" s="47" t="str">
        <f t="shared" si="1"/>
        <v>#N/A</v>
      </c>
      <c r="H72" s="53" t="s">
        <v>157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60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352</v>
      </c>
      <c r="T72" s="24" t="s">
        <v>89</v>
      </c>
      <c r="U72" s="25" t="s">
        <v>353</v>
      </c>
      <c r="V72" s="9" t="s">
        <v>149</v>
      </c>
      <c r="W72" s="53" t="str">
        <f t="shared" si="3"/>
        <v>Encerrado</v>
      </c>
      <c r="X72" s="24"/>
      <c r="Y72" s="54" t="s">
        <v>91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350</v>
      </c>
      <c r="C73" s="69" t="s">
        <v>355</v>
      </c>
      <c r="D73" s="47" t="s">
        <v>18</v>
      </c>
      <c r="E73" s="24" t="s">
        <v>145</v>
      </c>
      <c r="F73" s="47" t="s">
        <v>146</v>
      </c>
      <c r="G73" s="47" t="str">
        <f t="shared" si="1"/>
        <v>#N/A</v>
      </c>
      <c r="H73" s="53" t="s">
        <v>157</v>
      </c>
      <c r="I73" s="53" t="s">
        <v>117</v>
      </c>
      <c r="J73" s="47" t="str">
        <f t="shared" si="2"/>
        <v>Não</v>
      </c>
      <c r="K73" s="49">
        <v>45197.0</v>
      </c>
      <c r="L73" s="110">
        <v>45383.0</v>
      </c>
      <c r="M73" s="24" t="s">
        <v>118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89</v>
      </c>
      <c r="U73" s="25" t="s">
        <v>353</v>
      </c>
      <c r="V73" s="9" t="s">
        <v>149</v>
      </c>
      <c r="W73" s="53" t="str">
        <f t="shared" si="3"/>
        <v>Encerrado</v>
      </c>
      <c r="X73" s="24"/>
      <c r="Y73" s="54" t="s">
        <v>91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356</v>
      </c>
      <c r="C74" s="112" t="s">
        <v>357</v>
      </c>
      <c r="D74" s="9" t="s">
        <v>18</v>
      </c>
      <c r="E74" s="25" t="s">
        <v>29</v>
      </c>
      <c r="F74" s="9" t="s">
        <v>110</v>
      </c>
      <c r="G74" s="47" t="str">
        <f t="shared" si="1"/>
        <v>Augusto</v>
      </c>
      <c r="H74" s="53" t="s">
        <v>88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99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89</v>
      </c>
      <c r="U74" s="5" t="s">
        <v>358</v>
      </c>
      <c r="V74" s="9" t="s">
        <v>29</v>
      </c>
      <c r="W74" s="53" t="str">
        <f t="shared" si="3"/>
        <v>Ativo</v>
      </c>
      <c r="X74" s="24"/>
      <c r="Y74" s="54" t="s">
        <v>95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12108.85</v>
      </c>
    </row>
    <row r="75" ht="15.75" customHeight="1">
      <c r="A75" s="6" t="s">
        <v>36</v>
      </c>
      <c r="B75" s="113" t="s">
        <v>359</v>
      </c>
      <c r="C75" s="67" t="s">
        <v>360</v>
      </c>
      <c r="D75" s="9" t="s">
        <v>86</v>
      </c>
      <c r="E75" s="25" t="s">
        <v>29</v>
      </c>
      <c r="F75" s="9" t="s">
        <v>87</v>
      </c>
      <c r="G75" s="47" t="str">
        <f t="shared" si="1"/>
        <v>#N/A</v>
      </c>
      <c r="H75" s="53" t="s">
        <v>116</v>
      </c>
      <c r="I75" s="53" t="s">
        <v>117</v>
      </c>
      <c r="J75" s="47" t="str">
        <f t="shared" si="2"/>
        <v>Não</v>
      </c>
      <c r="K75" s="59">
        <v>45414.0</v>
      </c>
      <c r="L75" s="24"/>
      <c r="M75" s="25" t="s">
        <v>118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89</v>
      </c>
      <c r="U75" s="23" t="s">
        <v>361</v>
      </c>
      <c r="V75" s="9" t="s">
        <v>180</v>
      </c>
      <c r="W75" s="53" t="str">
        <f t="shared" si="3"/>
        <v>Ativo</v>
      </c>
      <c r="X75" s="25" t="s">
        <v>48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362</v>
      </c>
      <c r="C76" s="58" t="s">
        <v>363</v>
      </c>
      <c r="D76" s="9" t="s">
        <v>18</v>
      </c>
      <c r="E76" s="25" t="s">
        <v>145</v>
      </c>
      <c r="F76" s="47" t="s">
        <v>146</v>
      </c>
      <c r="G76" s="47" t="str">
        <f t="shared" si="1"/>
        <v>Augusto</v>
      </c>
      <c r="H76" s="53" t="s">
        <v>88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99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89</v>
      </c>
      <c r="U76" s="25" t="s">
        <v>364</v>
      </c>
      <c r="V76" s="9" t="s">
        <v>149</v>
      </c>
      <c r="W76" s="53" t="str">
        <f t="shared" si="3"/>
        <v>Ativo</v>
      </c>
      <c r="X76" s="24"/>
      <c r="Y76" s="54" t="s">
        <v>91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7256.97</v>
      </c>
    </row>
    <row r="77" ht="15.75" customHeight="1">
      <c r="A77" s="44" t="s">
        <v>36</v>
      </c>
      <c r="B77" s="81" t="s">
        <v>365</v>
      </c>
      <c r="C77" s="97" t="s">
        <v>366</v>
      </c>
      <c r="D77" s="47" t="s">
        <v>18</v>
      </c>
      <c r="E77" s="24" t="s">
        <v>145</v>
      </c>
      <c r="F77" s="47" t="s">
        <v>171</v>
      </c>
      <c r="G77" s="47" t="str">
        <f t="shared" si="1"/>
        <v>Augusto</v>
      </c>
      <c r="H77" s="48" t="s">
        <v>88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45</v>
      </c>
      <c r="N77" s="50">
        <v>0.012</v>
      </c>
      <c r="O77" s="47" t="s">
        <v>46</v>
      </c>
      <c r="P77" s="51">
        <v>0.1</v>
      </c>
      <c r="Q77" s="65"/>
      <c r="R77" s="52"/>
      <c r="S77" s="62" t="s">
        <v>367</v>
      </c>
      <c r="T77" s="24" t="s">
        <v>89</v>
      </c>
      <c r="U77" s="25" t="s">
        <v>368</v>
      </c>
      <c r="V77" s="9" t="s">
        <v>149</v>
      </c>
      <c r="W77" s="53" t="str">
        <f t="shared" si="3"/>
        <v>Ativo</v>
      </c>
      <c r="X77" s="24"/>
      <c r="Y77" s="54" t="s">
        <v>91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229084.7</v>
      </c>
    </row>
    <row r="78" ht="15.75" customHeight="1">
      <c r="A78" s="44" t="s">
        <v>36</v>
      </c>
      <c r="B78" s="45" t="s">
        <v>369</v>
      </c>
      <c r="C78" s="46" t="s">
        <v>370</v>
      </c>
      <c r="D78" s="47" t="s">
        <v>86</v>
      </c>
      <c r="E78" s="24" t="s">
        <v>29</v>
      </c>
      <c r="F78" s="47" t="s">
        <v>371</v>
      </c>
      <c r="G78" s="47" t="str">
        <f t="shared" si="1"/>
        <v>Bruno</v>
      </c>
      <c r="H78" s="48" t="s">
        <v>88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60</v>
      </c>
      <c r="N78" s="50">
        <v>0.007</v>
      </c>
      <c r="O78" s="47" t="s">
        <v>24</v>
      </c>
      <c r="P78" s="51">
        <v>0.0</v>
      </c>
      <c r="Q78" s="62" t="s">
        <v>372</v>
      </c>
      <c r="R78" s="52"/>
      <c r="S78" s="52"/>
      <c r="T78" s="24" t="s">
        <v>89</v>
      </c>
      <c r="U78" s="25" t="s">
        <v>373</v>
      </c>
      <c r="V78" s="9" t="s">
        <v>29</v>
      </c>
      <c r="W78" s="53" t="str">
        <f t="shared" si="3"/>
        <v>Ativo</v>
      </c>
      <c r="X78" s="24"/>
      <c r="Y78" s="54" t="s">
        <v>91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3815731</v>
      </c>
    </row>
    <row r="79" ht="15.75" customHeight="1">
      <c r="A79" s="44" t="s">
        <v>36</v>
      </c>
      <c r="B79" s="45" t="s">
        <v>374</v>
      </c>
      <c r="C79" s="46" t="s">
        <v>375</v>
      </c>
      <c r="D79" s="47" t="s">
        <v>18</v>
      </c>
      <c r="E79" s="24" t="s">
        <v>29</v>
      </c>
      <c r="F79" s="47" t="s">
        <v>58</v>
      </c>
      <c r="G79" s="47" t="str">
        <f t="shared" si="1"/>
        <v>Breno</v>
      </c>
      <c r="H79" s="48" t="s">
        <v>88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162</v>
      </c>
      <c r="N79" s="50">
        <v>0.025</v>
      </c>
      <c r="O79" s="47" t="s">
        <v>163</v>
      </c>
      <c r="P79" s="51">
        <v>0.2</v>
      </c>
      <c r="Q79" s="52"/>
      <c r="R79" s="52"/>
      <c r="S79" s="52"/>
      <c r="T79" s="24" t="s">
        <v>89</v>
      </c>
      <c r="U79" s="25" t="s">
        <v>376</v>
      </c>
      <c r="V79" s="9" t="s">
        <v>29</v>
      </c>
      <c r="W79" s="53" t="str">
        <f t="shared" si="3"/>
        <v>Ativo</v>
      </c>
      <c r="X79" s="24"/>
      <c r="Y79" s="54" t="s">
        <v>95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456670.8</v>
      </c>
    </row>
    <row r="80" ht="15.75" customHeight="1">
      <c r="A80" s="44" t="s">
        <v>36</v>
      </c>
      <c r="B80" s="45" t="s">
        <v>374</v>
      </c>
      <c r="C80" s="46" t="s">
        <v>377</v>
      </c>
      <c r="D80" s="47" t="s">
        <v>18</v>
      </c>
      <c r="E80" s="24" t="s">
        <v>29</v>
      </c>
      <c r="F80" s="47" t="s">
        <v>58</v>
      </c>
      <c r="G80" s="47" t="str">
        <f t="shared" si="1"/>
        <v>Augusto</v>
      </c>
      <c r="H80" s="48" t="s">
        <v>88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378</v>
      </c>
      <c r="N80" s="50">
        <v>0.02</v>
      </c>
      <c r="O80" s="47" t="s">
        <v>163</v>
      </c>
      <c r="P80" s="51">
        <v>0.2</v>
      </c>
      <c r="Q80" s="52"/>
      <c r="R80" s="52"/>
      <c r="S80" s="52"/>
      <c r="T80" s="24" t="s">
        <v>89</v>
      </c>
      <c r="U80" s="25" t="s">
        <v>376</v>
      </c>
      <c r="V80" s="9" t="s">
        <v>29</v>
      </c>
      <c r="W80" s="53" t="str">
        <f t="shared" si="3"/>
        <v>Ativo</v>
      </c>
      <c r="X80" s="24"/>
      <c r="Y80" s="54" t="s">
        <v>95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46683.04</v>
      </c>
    </row>
    <row r="81" ht="15.75" customHeight="1">
      <c r="A81" s="44" t="s">
        <v>36</v>
      </c>
      <c r="B81" s="45" t="s">
        <v>374</v>
      </c>
      <c r="C81" s="46" t="s">
        <v>379</v>
      </c>
      <c r="D81" s="47" t="s">
        <v>18</v>
      </c>
      <c r="E81" s="24" t="s">
        <v>29</v>
      </c>
      <c r="F81" s="47" t="s">
        <v>58</v>
      </c>
      <c r="G81" s="47" t="str">
        <f t="shared" si="1"/>
        <v>Augusto</v>
      </c>
      <c r="H81" s="48" t="s">
        <v>88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380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89</v>
      </c>
      <c r="U81" s="25" t="s">
        <v>376</v>
      </c>
      <c r="V81" s="9" t="s">
        <v>29</v>
      </c>
      <c r="W81" s="53" t="str">
        <f t="shared" si="3"/>
        <v>Ativo</v>
      </c>
      <c r="X81" s="24"/>
      <c r="Y81" s="54" t="s">
        <v>95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289536.3</v>
      </c>
    </row>
    <row r="82" ht="15.75" customHeight="1">
      <c r="A82" s="44" t="s">
        <v>36</v>
      </c>
      <c r="B82" s="45" t="s">
        <v>374</v>
      </c>
      <c r="C82" s="46" t="s">
        <v>381</v>
      </c>
      <c r="D82" s="47" t="s">
        <v>18</v>
      </c>
      <c r="E82" s="24" t="s">
        <v>29</v>
      </c>
      <c r="F82" s="47" t="s">
        <v>58</v>
      </c>
      <c r="G82" s="47" t="str">
        <f t="shared" si="1"/>
        <v>Augusto</v>
      </c>
      <c r="H82" s="48" t="s">
        <v>88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60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89</v>
      </c>
      <c r="U82" s="25" t="s">
        <v>376</v>
      </c>
      <c r="V82" s="9" t="s">
        <v>29</v>
      </c>
      <c r="W82" s="53" t="str">
        <f t="shared" si="3"/>
        <v>Ativo</v>
      </c>
      <c r="X82" s="24"/>
      <c r="Y82" s="54" t="s">
        <v>95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196789.8</v>
      </c>
    </row>
    <row r="83" ht="15.75" customHeight="1">
      <c r="A83" s="44" t="s">
        <v>36</v>
      </c>
      <c r="B83" s="45" t="s">
        <v>374</v>
      </c>
      <c r="C83" s="46" t="s">
        <v>382</v>
      </c>
      <c r="D83" s="47" t="s">
        <v>18</v>
      </c>
      <c r="E83" s="24" t="s">
        <v>29</v>
      </c>
      <c r="F83" s="47" t="s">
        <v>58</v>
      </c>
      <c r="G83" s="47" t="str">
        <f t="shared" si="1"/>
        <v>#N/A</v>
      </c>
      <c r="H83" s="48" t="s">
        <v>116</v>
      </c>
      <c r="I83" s="48" t="s">
        <v>161</v>
      </c>
      <c r="J83" s="47" t="str">
        <f t="shared" si="2"/>
        <v>Não</v>
      </c>
      <c r="K83" s="49">
        <v>45166.0</v>
      </c>
      <c r="L83" s="64"/>
      <c r="M83" s="24" t="s">
        <v>166</v>
      </c>
      <c r="N83" s="50">
        <v>0.008</v>
      </c>
      <c r="O83" s="47" t="s">
        <v>167</v>
      </c>
      <c r="P83" s="51">
        <v>0.1</v>
      </c>
      <c r="Q83" s="75"/>
      <c r="R83" s="75"/>
      <c r="S83" s="62" t="s">
        <v>383</v>
      </c>
      <c r="T83" s="24" t="s">
        <v>89</v>
      </c>
      <c r="U83" s="25" t="s">
        <v>376</v>
      </c>
      <c r="V83" s="9" t="s">
        <v>29</v>
      </c>
      <c r="W83" s="53" t="str">
        <f t="shared" si="3"/>
        <v>Inativo</v>
      </c>
      <c r="X83" s="24"/>
      <c r="Y83" s="54" t="s">
        <v>95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56</v>
      </c>
      <c r="C84" s="21" t="s">
        <v>57</v>
      </c>
      <c r="D84" s="9" t="s">
        <v>18</v>
      </c>
      <c r="E84" s="25" t="s">
        <v>29</v>
      </c>
      <c r="F84" s="9" t="s">
        <v>58</v>
      </c>
      <c r="G84" s="47" t="str">
        <f t="shared" si="1"/>
        <v>Bruno</v>
      </c>
      <c r="H84" s="53" t="s">
        <v>116</v>
      </c>
      <c r="I84" s="53" t="s">
        <v>384</v>
      </c>
      <c r="J84" s="47" t="str">
        <f t="shared" si="2"/>
        <v>Sim</v>
      </c>
      <c r="K84" s="59">
        <v>45350.0</v>
      </c>
      <c r="L84" s="24"/>
      <c r="M84" s="25" t="s">
        <v>111</v>
      </c>
      <c r="N84" s="60">
        <v>0.015</v>
      </c>
      <c r="O84" s="9" t="s">
        <v>46</v>
      </c>
      <c r="P84" s="61">
        <v>0.1</v>
      </c>
      <c r="Q84" s="62" t="s">
        <v>385</v>
      </c>
      <c r="R84" s="52"/>
      <c r="S84" s="52"/>
      <c r="T84" s="25" t="s">
        <v>89</v>
      </c>
      <c r="U84" s="23" t="s">
        <v>386</v>
      </c>
      <c r="V84" s="9" t="s">
        <v>180</v>
      </c>
      <c r="W84" s="53" t="str">
        <f t="shared" si="3"/>
        <v>Ativo</v>
      </c>
      <c r="X84" s="24"/>
      <c r="Y84" s="54" t="s">
        <v>95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1002771</v>
      </c>
    </row>
    <row r="85" ht="15.75" customHeight="1">
      <c r="A85" s="6" t="s">
        <v>36</v>
      </c>
      <c r="B85" s="113" t="s">
        <v>387</v>
      </c>
      <c r="C85" s="67" t="s">
        <v>388</v>
      </c>
      <c r="D85" s="9" t="s">
        <v>18</v>
      </c>
      <c r="E85" s="25" t="s">
        <v>29</v>
      </c>
      <c r="F85" s="9" t="s">
        <v>110</v>
      </c>
      <c r="G85" s="47" t="str">
        <f t="shared" si="1"/>
        <v>Augusto</v>
      </c>
      <c r="H85" s="53" t="s">
        <v>88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111</v>
      </c>
      <c r="N85" s="60">
        <v>0.015</v>
      </c>
      <c r="O85" s="9" t="s">
        <v>46</v>
      </c>
      <c r="P85" s="61">
        <v>0.1</v>
      </c>
      <c r="Q85" s="62"/>
      <c r="R85" s="52"/>
      <c r="S85" s="52"/>
      <c r="T85" s="25" t="s">
        <v>89</v>
      </c>
      <c r="U85" s="5" t="s">
        <v>389</v>
      </c>
      <c r="V85" s="9" t="s">
        <v>29</v>
      </c>
      <c r="W85" s="53" t="str">
        <f t="shared" si="3"/>
        <v>Ativo</v>
      </c>
      <c r="X85" s="25" t="s">
        <v>48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213481.8</v>
      </c>
    </row>
    <row r="86" ht="15.75" customHeight="1">
      <c r="A86" s="44" t="s">
        <v>36</v>
      </c>
      <c r="B86" s="63" t="s">
        <v>390</v>
      </c>
      <c r="C86" s="46" t="s">
        <v>391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88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111</v>
      </c>
      <c r="N86" s="50">
        <v>0.015</v>
      </c>
      <c r="O86" s="47" t="s">
        <v>46</v>
      </c>
      <c r="P86" s="51">
        <v>0.1</v>
      </c>
      <c r="Q86" s="52"/>
      <c r="R86" s="52"/>
      <c r="S86" s="52"/>
      <c r="T86" s="24" t="s">
        <v>329</v>
      </c>
      <c r="U86" s="25" t="s">
        <v>392</v>
      </c>
      <c r="V86" s="9" t="s">
        <v>19</v>
      </c>
      <c r="W86" s="53" t="str">
        <f t="shared" si="3"/>
        <v>Ativo</v>
      </c>
      <c r="X86" s="24"/>
      <c r="Y86" s="54" t="s">
        <v>95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627067.9</v>
      </c>
    </row>
    <row r="87" ht="15.75" customHeight="1">
      <c r="A87" s="44" t="s">
        <v>36</v>
      </c>
      <c r="B87" s="114" t="s">
        <v>393</v>
      </c>
      <c r="C87" s="58" t="s">
        <v>394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116</v>
      </c>
      <c r="I87" s="53" t="s">
        <v>117</v>
      </c>
      <c r="J87" s="47" t="str">
        <f t="shared" si="2"/>
        <v>Não</v>
      </c>
      <c r="K87" s="115">
        <v>45415.0</v>
      </c>
      <c r="L87" s="24"/>
      <c r="M87" s="25" t="s">
        <v>118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329</v>
      </c>
      <c r="U87" s="25" t="s">
        <v>395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12092.51</v>
      </c>
    </row>
    <row r="88" ht="15.75" customHeight="1">
      <c r="A88" s="44" t="s">
        <v>36</v>
      </c>
      <c r="B88" s="63" t="s">
        <v>396</v>
      </c>
      <c r="C88" s="46" t="s">
        <v>397</v>
      </c>
      <c r="D88" s="9" t="s">
        <v>18</v>
      </c>
      <c r="E88" s="24" t="s">
        <v>29</v>
      </c>
      <c r="F88" s="25" t="s">
        <v>110</v>
      </c>
      <c r="G88" s="47" t="str">
        <f t="shared" si="1"/>
        <v>Bruno</v>
      </c>
      <c r="H88" s="48" t="s">
        <v>88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243</v>
      </c>
      <c r="N88" s="50">
        <v>0.02</v>
      </c>
      <c r="O88" s="47" t="s">
        <v>46</v>
      </c>
      <c r="P88" s="51">
        <v>0.2</v>
      </c>
      <c r="Q88" s="52"/>
      <c r="R88" s="52"/>
      <c r="S88" s="52"/>
      <c r="T88" s="24" t="s">
        <v>329</v>
      </c>
      <c r="U88" s="25" t="s">
        <v>398</v>
      </c>
      <c r="V88" s="9" t="s">
        <v>29</v>
      </c>
      <c r="W88" s="53" t="str">
        <f t="shared" si="3"/>
        <v>Ativo</v>
      </c>
      <c r="X88" s="24"/>
      <c r="Y88" s="54" t="s">
        <v>91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4287023</v>
      </c>
    </row>
    <row r="89" ht="15.75" customHeight="1">
      <c r="A89" s="44" t="s">
        <v>36</v>
      </c>
      <c r="B89" s="45" t="s">
        <v>399</v>
      </c>
      <c r="C89" s="46" t="s">
        <v>400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88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60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329</v>
      </c>
      <c r="U89" s="25" t="s">
        <v>401</v>
      </c>
      <c r="V89" s="9" t="s">
        <v>19</v>
      </c>
      <c r="W89" s="53" t="str">
        <f t="shared" si="3"/>
        <v>Ativo</v>
      </c>
      <c r="X89" s="24"/>
      <c r="Y89" s="54" t="s">
        <v>95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2859104</v>
      </c>
    </row>
    <row r="90" ht="15.75" customHeight="1">
      <c r="A90" s="44" t="s">
        <v>36</v>
      </c>
      <c r="B90" s="20" t="s">
        <v>402</v>
      </c>
      <c r="C90" s="21" t="s">
        <v>403</v>
      </c>
      <c r="D90" s="9" t="s">
        <v>18</v>
      </c>
      <c r="E90" s="25" t="s">
        <v>29</v>
      </c>
      <c r="F90" s="25" t="s">
        <v>404</v>
      </c>
      <c r="G90" s="47" t="str">
        <f t="shared" si="1"/>
        <v>Augusto</v>
      </c>
      <c r="H90" s="53" t="s">
        <v>116</v>
      </c>
      <c r="I90" s="53" t="s">
        <v>117</v>
      </c>
      <c r="J90" s="47" t="str">
        <f t="shared" si="2"/>
        <v>Não</v>
      </c>
      <c r="K90" s="59">
        <v>45377.0</v>
      </c>
      <c r="L90" s="24"/>
      <c r="M90" s="25" t="s">
        <v>118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89</v>
      </c>
      <c r="U90" s="23" t="s">
        <v>405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5281.46</v>
      </c>
    </row>
    <row r="91" ht="15.75" customHeight="1">
      <c r="A91" s="44" t="s">
        <v>36</v>
      </c>
      <c r="B91" s="114" t="s">
        <v>406</v>
      </c>
      <c r="C91" s="46" t="s">
        <v>407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116</v>
      </c>
      <c r="I91" s="53" t="s">
        <v>161</v>
      </c>
      <c r="J91" s="47" t="str">
        <f t="shared" si="2"/>
        <v>Não</v>
      </c>
      <c r="K91" s="49">
        <v>44950.0</v>
      </c>
      <c r="L91" s="24"/>
      <c r="M91" s="24" t="s">
        <v>60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89</v>
      </c>
      <c r="U91" s="25" t="s">
        <v>408</v>
      </c>
      <c r="V91" s="9" t="s">
        <v>19</v>
      </c>
      <c r="W91" s="53" t="str">
        <f t="shared" si="3"/>
        <v>Ativo</v>
      </c>
      <c r="X91" s="24"/>
      <c r="Y91" s="54" t="s">
        <v>95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409</v>
      </c>
      <c r="C92" s="46" t="s">
        <v>410</v>
      </c>
      <c r="D92" s="47" t="s">
        <v>18</v>
      </c>
      <c r="E92" s="24" t="s">
        <v>145</v>
      </c>
      <c r="F92" s="24" t="s">
        <v>146</v>
      </c>
      <c r="G92" s="47" t="str">
        <f t="shared" si="1"/>
        <v>Augusto</v>
      </c>
      <c r="H92" s="48" t="s">
        <v>88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111</v>
      </c>
      <c r="N92" s="50">
        <v>0.015</v>
      </c>
      <c r="O92" s="47" t="s">
        <v>46</v>
      </c>
      <c r="P92" s="51">
        <v>0.1</v>
      </c>
      <c r="Q92" s="52"/>
      <c r="R92" s="52"/>
      <c r="S92" s="52"/>
      <c r="T92" s="24" t="s">
        <v>89</v>
      </c>
      <c r="U92" s="25" t="s">
        <v>411</v>
      </c>
      <c r="V92" s="9" t="s">
        <v>412</v>
      </c>
      <c r="W92" s="53" t="str">
        <f t="shared" si="3"/>
        <v>Ativo</v>
      </c>
      <c r="X92" s="24"/>
      <c r="Y92" s="54" t="s">
        <v>91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221368.8</v>
      </c>
    </row>
    <row r="93" ht="15.75" customHeight="1">
      <c r="A93" s="6" t="s">
        <v>36</v>
      </c>
      <c r="B93" s="57" t="s">
        <v>413</v>
      </c>
      <c r="C93" s="58" t="s">
        <v>414</v>
      </c>
      <c r="D93" s="9" t="s">
        <v>18</v>
      </c>
      <c r="E93" s="25" t="s">
        <v>29</v>
      </c>
      <c r="F93" s="25" t="s">
        <v>98</v>
      </c>
      <c r="G93" s="47" t="str">
        <f t="shared" si="1"/>
        <v>Augusto</v>
      </c>
      <c r="H93" s="53" t="s">
        <v>116</v>
      </c>
      <c r="I93" s="53" t="s">
        <v>117</v>
      </c>
      <c r="J93" s="47" t="str">
        <f t="shared" si="2"/>
        <v>Não</v>
      </c>
      <c r="K93" s="59">
        <v>45281.0</v>
      </c>
      <c r="L93" s="64"/>
      <c r="M93" s="25" t="s">
        <v>118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89</v>
      </c>
      <c r="U93" s="25" t="s">
        <v>415</v>
      </c>
      <c r="V93" s="9" t="s">
        <v>29</v>
      </c>
      <c r="W93" s="53" t="str">
        <f t="shared" si="3"/>
        <v>Ativo</v>
      </c>
      <c r="X93" s="24"/>
      <c r="Y93" s="54" t="s">
        <v>95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2326.26</v>
      </c>
    </row>
    <row r="94" ht="15.75" customHeight="1">
      <c r="A94" s="44" t="s">
        <v>36</v>
      </c>
      <c r="B94" s="63" t="s">
        <v>416</v>
      </c>
      <c r="C94" s="73" t="s">
        <v>417</v>
      </c>
      <c r="D94" s="47" t="s">
        <v>18</v>
      </c>
      <c r="E94" s="24" t="s">
        <v>145</v>
      </c>
      <c r="F94" s="92" t="s">
        <v>146</v>
      </c>
      <c r="G94" s="47" t="str">
        <f t="shared" si="1"/>
        <v>Augusto</v>
      </c>
      <c r="H94" s="48" t="s">
        <v>88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243</v>
      </c>
      <c r="N94" s="50">
        <v>0.02</v>
      </c>
      <c r="O94" s="47" t="s">
        <v>46</v>
      </c>
      <c r="P94" s="51">
        <v>0.2</v>
      </c>
      <c r="Q94" s="52"/>
      <c r="R94" s="52"/>
      <c r="S94" s="52"/>
      <c r="T94" s="24" t="s">
        <v>89</v>
      </c>
      <c r="U94" s="25" t="s">
        <v>418</v>
      </c>
      <c r="V94" s="9" t="s">
        <v>149</v>
      </c>
      <c r="W94" s="53" t="str">
        <f t="shared" si="3"/>
        <v>Ativo</v>
      </c>
      <c r="X94" s="24"/>
      <c r="Y94" s="54" t="s">
        <v>91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222286.3</v>
      </c>
    </row>
    <row r="95" ht="15.75" customHeight="1">
      <c r="A95" s="44" t="s">
        <v>36</v>
      </c>
      <c r="B95" s="63" t="s">
        <v>419</v>
      </c>
      <c r="C95" s="46" t="s">
        <v>420</v>
      </c>
      <c r="D95" s="47" t="s">
        <v>18</v>
      </c>
      <c r="E95" s="24" t="s">
        <v>145</v>
      </c>
      <c r="F95" s="47" t="s">
        <v>171</v>
      </c>
      <c r="G95" s="47" t="str">
        <f t="shared" si="1"/>
        <v>Breno</v>
      </c>
      <c r="H95" s="48" t="s">
        <v>88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111</v>
      </c>
      <c r="N95" s="50">
        <v>0.015</v>
      </c>
      <c r="O95" s="47" t="s">
        <v>46</v>
      </c>
      <c r="P95" s="51">
        <v>0.1</v>
      </c>
      <c r="Q95" s="52"/>
      <c r="R95" s="52"/>
      <c r="S95" s="52"/>
      <c r="T95" s="24" t="s">
        <v>89</v>
      </c>
      <c r="U95" s="25" t="s">
        <v>421</v>
      </c>
      <c r="V95" s="9" t="s">
        <v>149</v>
      </c>
      <c r="W95" s="53" t="str">
        <f t="shared" si="3"/>
        <v>Ativo</v>
      </c>
      <c r="X95" s="24"/>
      <c r="Y95" s="54" t="s">
        <v>91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622438.9</v>
      </c>
    </row>
    <row r="96" ht="15.75" customHeight="1">
      <c r="A96" s="44" t="s">
        <v>36</v>
      </c>
      <c r="B96" s="63" t="s">
        <v>422</v>
      </c>
      <c r="C96" s="46" t="s">
        <v>423</v>
      </c>
      <c r="D96" s="47" t="s">
        <v>18</v>
      </c>
      <c r="E96" s="24" t="s">
        <v>145</v>
      </c>
      <c r="F96" s="47" t="s">
        <v>146</v>
      </c>
      <c r="G96" s="47" t="str">
        <f t="shared" si="1"/>
        <v>Bruno</v>
      </c>
      <c r="H96" s="48" t="s">
        <v>88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111</v>
      </c>
      <c r="N96" s="50">
        <v>0.015</v>
      </c>
      <c r="O96" s="47" t="s">
        <v>46</v>
      </c>
      <c r="P96" s="51">
        <v>0.1</v>
      </c>
      <c r="Q96" s="52"/>
      <c r="R96" s="52"/>
      <c r="S96" s="62" t="s">
        <v>424</v>
      </c>
      <c r="T96" s="24" t="s">
        <v>89</v>
      </c>
      <c r="U96" s="25" t="s">
        <v>425</v>
      </c>
      <c r="V96" s="9" t="s">
        <v>149</v>
      </c>
      <c r="W96" s="53" t="str">
        <f t="shared" si="3"/>
        <v>Ativo</v>
      </c>
      <c r="X96" s="24"/>
      <c r="Y96" s="54" t="s">
        <v>91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2549102</v>
      </c>
    </row>
    <row r="97" ht="15.75" customHeight="1">
      <c r="A97" s="44" t="s">
        <v>36</v>
      </c>
      <c r="B97" s="96" t="s">
        <v>422</v>
      </c>
      <c r="C97" s="73" t="s">
        <v>426</v>
      </c>
      <c r="D97" s="47" t="s">
        <v>18</v>
      </c>
      <c r="E97" s="24" t="s">
        <v>145</v>
      </c>
      <c r="F97" s="47" t="s">
        <v>146</v>
      </c>
      <c r="G97" s="47" t="str">
        <f t="shared" si="1"/>
        <v>Breno</v>
      </c>
      <c r="H97" s="53" t="s">
        <v>116</v>
      </c>
      <c r="I97" s="53" t="s">
        <v>427</v>
      </c>
      <c r="J97" s="47" t="str">
        <f t="shared" si="2"/>
        <v>Não</v>
      </c>
      <c r="K97" s="49">
        <v>45238.0</v>
      </c>
      <c r="L97" s="24"/>
      <c r="M97" s="24" t="s">
        <v>162</v>
      </c>
      <c r="N97" s="116">
        <v>0.025</v>
      </c>
      <c r="O97" s="94" t="s">
        <v>163</v>
      </c>
      <c r="P97" s="117">
        <v>0.2</v>
      </c>
      <c r="Q97" s="52"/>
      <c r="R97" s="52"/>
      <c r="S97" s="62" t="s">
        <v>428</v>
      </c>
      <c r="T97" s="24" t="s">
        <v>89</v>
      </c>
      <c r="U97" s="25" t="s">
        <v>425</v>
      </c>
      <c r="V97" s="9" t="s">
        <v>149</v>
      </c>
      <c r="W97" s="53" t="str">
        <f t="shared" si="3"/>
        <v>Ativo</v>
      </c>
      <c r="X97" s="24"/>
      <c r="Y97" s="54" t="s">
        <v>91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637861.4</v>
      </c>
    </row>
    <row r="98" ht="15.75" customHeight="1">
      <c r="A98" s="44" t="s">
        <v>36</v>
      </c>
      <c r="B98" s="45" t="s">
        <v>429</v>
      </c>
      <c r="C98" s="46" t="s">
        <v>430</v>
      </c>
      <c r="D98" s="47" t="s">
        <v>18</v>
      </c>
      <c r="E98" s="24" t="s">
        <v>145</v>
      </c>
      <c r="F98" s="47" t="s">
        <v>146</v>
      </c>
      <c r="G98" s="47" t="str">
        <f t="shared" si="1"/>
        <v>Augusto</v>
      </c>
      <c r="H98" s="48" t="s">
        <v>88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162</v>
      </c>
      <c r="N98" s="50">
        <v>0.025</v>
      </c>
      <c r="O98" s="47" t="s">
        <v>163</v>
      </c>
      <c r="P98" s="51">
        <v>0.2</v>
      </c>
      <c r="Q98" s="52"/>
      <c r="R98" s="52"/>
      <c r="S98" s="52"/>
      <c r="T98" s="24" t="s">
        <v>89</v>
      </c>
      <c r="U98" s="25" t="s">
        <v>431</v>
      </c>
      <c r="V98" s="9" t="s">
        <v>149</v>
      </c>
      <c r="W98" s="53" t="str">
        <f t="shared" si="3"/>
        <v>Ativo</v>
      </c>
      <c r="X98" s="24"/>
      <c r="Y98" s="54" t="s">
        <v>91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98945.96</v>
      </c>
    </row>
    <row r="99" ht="15.75" customHeight="1">
      <c r="A99" s="44" t="s">
        <v>36</v>
      </c>
      <c r="B99" s="45" t="s">
        <v>429</v>
      </c>
      <c r="C99" s="46" t="s">
        <v>432</v>
      </c>
      <c r="D99" s="47" t="s">
        <v>18</v>
      </c>
      <c r="E99" s="24" t="s">
        <v>145</v>
      </c>
      <c r="F99" s="47" t="s">
        <v>146</v>
      </c>
      <c r="G99" s="47" t="str">
        <f t="shared" si="1"/>
        <v>Breno</v>
      </c>
      <c r="H99" s="48" t="s">
        <v>88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60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89</v>
      </c>
      <c r="U99" s="25" t="s">
        <v>431</v>
      </c>
      <c r="V99" s="9" t="s">
        <v>149</v>
      </c>
      <c r="W99" s="53" t="str">
        <f t="shared" si="3"/>
        <v>Ativo</v>
      </c>
      <c r="X99" s="24"/>
      <c r="Y99" s="54" t="s">
        <v>91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550179.6</v>
      </c>
    </row>
    <row r="100" ht="15.75" customHeight="1">
      <c r="A100" s="44" t="s">
        <v>36</v>
      </c>
      <c r="B100" s="57" t="s">
        <v>433</v>
      </c>
      <c r="C100" s="46" t="s">
        <v>434</v>
      </c>
      <c r="D100" s="47" t="s">
        <v>18</v>
      </c>
      <c r="E100" s="24" t="s">
        <v>145</v>
      </c>
      <c r="F100" s="47" t="s">
        <v>171</v>
      </c>
      <c r="G100" s="47" t="str">
        <f t="shared" si="1"/>
        <v>Augusto</v>
      </c>
      <c r="H100" s="48" t="s">
        <v>88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45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89</v>
      </c>
      <c r="U100" s="25" t="s">
        <v>435</v>
      </c>
      <c r="V100" s="9" t="s">
        <v>149</v>
      </c>
      <c r="W100" s="53" t="str">
        <f t="shared" si="3"/>
        <v>Ativo</v>
      </c>
      <c r="X100" s="24"/>
      <c r="Y100" s="54" t="s">
        <v>91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268889.1</v>
      </c>
    </row>
    <row r="101" ht="15.75" customHeight="1">
      <c r="A101" s="44" t="s">
        <v>36</v>
      </c>
      <c r="B101" s="45" t="s">
        <v>436</v>
      </c>
      <c r="C101" s="46" t="s">
        <v>437</v>
      </c>
      <c r="D101" s="47" t="s">
        <v>18</v>
      </c>
      <c r="E101" s="24" t="s">
        <v>145</v>
      </c>
      <c r="F101" s="47" t="s">
        <v>171</v>
      </c>
      <c r="G101" s="47" t="str">
        <f t="shared" si="1"/>
        <v>Augusto</v>
      </c>
      <c r="H101" s="48" t="s">
        <v>88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45</v>
      </c>
      <c r="N101" s="50">
        <v>0.012</v>
      </c>
      <c r="O101" s="47" t="s">
        <v>46</v>
      </c>
      <c r="P101" s="51">
        <v>0.1</v>
      </c>
      <c r="Q101" s="65"/>
      <c r="R101" s="52"/>
      <c r="S101" s="62" t="s">
        <v>438</v>
      </c>
      <c r="T101" s="24" t="s">
        <v>89</v>
      </c>
      <c r="U101" s="25" t="s">
        <v>439</v>
      </c>
      <c r="V101" s="9" t="s">
        <v>149</v>
      </c>
      <c r="W101" s="53" t="str">
        <f t="shared" si="3"/>
        <v>Ativo</v>
      </c>
      <c r="X101" s="24"/>
      <c r="Y101" s="54" t="s">
        <v>91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230950</v>
      </c>
    </row>
    <row r="102" ht="15.75" customHeight="1">
      <c r="A102" s="44" t="s">
        <v>36</v>
      </c>
      <c r="B102" s="45" t="s">
        <v>440</v>
      </c>
      <c r="C102" s="69" t="s">
        <v>441</v>
      </c>
      <c r="D102" s="47" t="s">
        <v>18</v>
      </c>
      <c r="E102" s="24" t="s">
        <v>29</v>
      </c>
      <c r="F102" s="47" t="s">
        <v>58</v>
      </c>
      <c r="G102" s="47" t="str">
        <f t="shared" si="1"/>
        <v>Breno</v>
      </c>
      <c r="H102" s="48" t="s">
        <v>88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45</v>
      </c>
      <c r="N102" s="50">
        <v>0.012</v>
      </c>
      <c r="O102" s="47" t="s">
        <v>46</v>
      </c>
      <c r="P102" s="51">
        <v>0.1</v>
      </c>
      <c r="Q102" s="52"/>
      <c r="R102" s="52"/>
      <c r="S102" s="52"/>
      <c r="T102" s="24" t="s">
        <v>89</v>
      </c>
      <c r="U102" s="25" t="s">
        <v>442</v>
      </c>
      <c r="V102" s="9" t="s">
        <v>29</v>
      </c>
      <c r="W102" s="53" t="str">
        <f t="shared" si="3"/>
        <v>Ativo</v>
      </c>
      <c r="X102" s="24"/>
      <c r="Y102" s="54" t="s">
        <v>95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428486.9</v>
      </c>
    </row>
    <row r="103" ht="15.75" customHeight="1">
      <c r="A103" s="44" t="s">
        <v>36</v>
      </c>
      <c r="B103" s="45" t="s">
        <v>443</v>
      </c>
      <c r="C103" s="46" t="s">
        <v>444</v>
      </c>
      <c r="D103" s="47" t="s">
        <v>18</v>
      </c>
      <c r="E103" s="24" t="s">
        <v>29</v>
      </c>
      <c r="F103" s="47" t="s">
        <v>110</v>
      </c>
      <c r="G103" s="47" t="str">
        <f t="shared" si="1"/>
        <v>#N/A</v>
      </c>
      <c r="H103" s="53" t="s">
        <v>116</v>
      </c>
      <c r="I103" s="53" t="s">
        <v>161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89</v>
      </c>
      <c r="U103" s="25" t="s">
        <v>445</v>
      </c>
      <c r="V103" s="9" t="s">
        <v>29</v>
      </c>
      <c r="W103" s="53" t="str">
        <f t="shared" si="3"/>
        <v>Ativo</v>
      </c>
      <c r="X103" s="24"/>
      <c r="Y103" s="54" t="s">
        <v>95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446</v>
      </c>
      <c r="C104" s="46" t="s">
        <v>447</v>
      </c>
      <c r="D104" s="47" t="s">
        <v>18</v>
      </c>
      <c r="E104" s="24" t="s">
        <v>29</v>
      </c>
      <c r="F104" s="47" t="s">
        <v>58</v>
      </c>
      <c r="G104" s="47" t="str">
        <f t="shared" si="1"/>
        <v>#N/A</v>
      </c>
      <c r="H104" s="53" t="s">
        <v>116</v>
      </c>
      <c r="I104" s="53" t="s">
        <v>161</v>
      </c>
      <c r="J104" s="47" t="str">
        <f t="shared" si="2"/>
        <v>Não</v>
      </c>
      <c r="K104" s="49">
        <v>44999.0</v>
      </c>
      <c r="L104" s="24"/>
      <c r="M104" s="24" t="s">
        <v>60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89</v>
      </c>
      <c r="U104" s="25" t="s">
        <v>448</v>
      </c>
      <c r="V104" s="9" t="s">
        <v>29</v>
      </c>
      <c r="W104" s="53" t="str">
        <f t="shared" si="3"/>
        <v>Ativo</v>
      </c>
      <c r="X104" s="24"/>
      <c r="Y104" s="54" t="s">
        <v>95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449</v>
      </c>
      <c r="C105" s="46" t="s">
        <v>450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88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60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89</v>
      </c>
      <c r="U105" s="25" t="s">
        <v>451</v>
      </c>
      <c r="V105" s="9" t="s">
        <v>19</v>
      </c>
      <c r="W105" s="53" t="str">
        <f t="shared" si="3"/>
        <v>Ativo</v>
      </c>
      <c r="X105" s="24"/>
      <c r="Y105" s="54" t="s">
        <v>95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106966.3</v>
      </c>
    </row>
    <row r="106" ht="15.75" customHeight="1">
      <c r="A106" s="44" t="s">
        <v>36</v>
      </c>
      <c r="B106" s="45" t="s">
        <v>452</v>
      </c>
      <c r="C106" s="46" t="s">
        <v>453</v>
      </c>
      <c r="D106" s="47" t="s">
        <v>86</v>
      </c>
      <c r="E106" s="24" t="s">
        <v>29</v>
      </c>
      <c r="F106" s="47" t="s">
        <v>87</v>
      </c>
      <c r="G106" s="47" t="str">
        <f t="shared" si="1"/>
        <v>Breno</v>
      </c>
      <c r="H106" s="48" t="s">
        <v>88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89</v>
      </c>
      <c r="U106" s="25" t="s">
        <v>454</v>
      </c>
      <c r="V106" s="9" t="s">
        <v>455</v>
      </c>
      <c r="W106" s="53" t="str">
        <f t="shared" si="3"/>
        <v>Ativo</v>
      </c>
      <c r="X106" s="24"/>
      <c r="Y106" s="54" t="s">
        <v>91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552903.9</v>
      </c>
    </row>
    <row r="107" ht="15.75" customHeight="1">
      <c r="A107" s="44" t="s">
        <v>36</v>
      </c>
      <c r="B107" s="66" t="s">
        <v>456</v>
      </c>
      <c r="C107" s="67" t="s">
        <v>457</v>
      </c>
      <c r="D107" s="9" t="s">
        <v>18</v>
      </c>
      <c r="E107" s="25" t="s">
        <v>29</v>
      </c>
      <c r="F107" s="9" t="s">
        <v>110</v>
      </c>
      <c r="G107" s="47" t="str">
        <f t="shared" si="1"/>
        <v>#N/A</v>
      </c>
      <c r="H107" s="53" t="s">
        <v>116</v>
      </c>
      <c r="I107" s="53" t="s">
        <v>117</v>
      </c>
      <c r="J107" s="47" t="str">
        <f t="shared" si="2"/>
        <v>Não</v>
      </c>
      <c r="K107" s="59">
        <v>45405.0</v>
      </c>
      <c r="L107" s="64"/>
      <c r="M107" s="25" t="s">
        <v>118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89</v>
      </c>
      <c r="U107" s="23" t="s">
        <v>458</v>
      </c>
      <c r="V107" s="9" t="s">
        <v>121</v>
      </c>
      <c r="W107" s="53" t="str">
        <f t="shared" si="3"/>
        <v>Ativo</v>
      </c>
      <c r="X107" s="25" t="s">
        <v>48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459</v>
      </c>
      <c r="C108" s="46" t="s">
        <v>460</v>
      </c>
      <c r="D108" s="47" t="s">
        <v>18</v>
      </c>
      <c r="E108" s="24" t="s">
        <v>19</v>
      </c>
      <c r="F108" s="47" t="s">
        <v>230</v>
      </c>
      <c r="G108" s="47" t="str">
        <f t="shared" si="1"/>
        <v>Augusto</v>
      </c>
      <c r="H108" s="48" t="s">
        <v>88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45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89</v>
      </c>
      <c r="U108" s="25" t="s">
        <v>461</v>
      </c>
      <c r="V108" s="9" t="s">
        <v>19</v>
      </c>
      <c r="W108" s="53" t="str">
        <f t="shared" si="3"/>
        <v>Ativo</v>
      </c>
      <c r="X108" s="24"/>
      <c r="Y108" s="54" t="s">
        <v>95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370078.1</v>
      </c>
    </row>
    <row r="109" ht="15.75" customHeight="1">
      <c r="A109" s="44" t="s">
        <v>36</v>
      </c>
      <c r="B109" s="45" t="s">
        <v>462</v>
      </c>
      <c r="C109" s="46" t="s">
        <v>463</v>
      </c>
      <c r="D109" s="47" t="s">
        <v>86</v>
      </c>
      <c r="E109" s="24" t="s">
        <v>29</v>
      </c>
      <c r="F109" s="47" t="s">
        <v>87</v>
      </c>
      <c r="G109" s="47" t="str">
        <f t="shared" si="1"/>
        <v>Breno</v>
      </c>
      <c r="H109" s="48" t="s">
        <v>88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45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89</v>
      </c>
      <c r="U109" s="25" t="s">
        <v>464</v>
      </c>
      <c r="V109" s="9" t="s">
        <v>465</v>
      </c>
      <c r="W109" s="53" t="str">
        <f t="shared" si="3"/>
        <v>Ativo</v>
      </c>
      <c r="X109" s="24"/>
      <c r="Y109" s="54" t="s">
        <v>95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647289.5</v>
      </c>
    </row>
    <row r="110" ht="15.75" customHeight="1">
      <c r="A110" s="44" t="s">
        <v>36</v>
      </c>
      <c r="B110" s="45" t="s">
        <v>466</v>
      </c>
      <c r="C110" s="46" t="s">
        <v>467</v>
      </c>
      <c r="D110" s="47" t="s">
        <v>86</v>
      </c>
      <c r="E110" s="24" t="s">
        <v>29</v>
      </c>
      <c r="F110" s="47" t="s">
        <v>87</v>
      </c>
      <c r="G110" s="47" t="str">
        <f t="shared" si="1"/>
        <v>Augusto</v>
      </c>
      <c r="H110" s="48" t="s">
        <v>88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60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89</v>
      </c>
      <c r="U110" s="25" t="s">
        <v>468</v>
      </c>
      <c r="V110" s="9" t="s">
        <v>180</v>
      </c>
      <c r="W110" s="53" t="str">
        <f t="shared" si="3"/>
        <v>Ativo</v>
      </c>
      <c r="X110" s="24"/>
      <c r="Y110" s="54" t="s">
        <v>91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112958.1</v>
      </c>
    </row>
    <row r="111" ht="15.75" customHeight="1">
      <c r="A111" s="44" t="s">
        <v>36</v>
      </c>
      <c r="B111" s="63" t="s">
        <v>469</v>
      </c>
      <c r="C111" s="46" t="s">
        <v>470</v>
      </c>
      <c r="D111" s="47" t="s">
        <v>18</v>
      </c>
      <c r="E111" s="24" t="s">
        <v>145</v>
      </c>
      <c r="F111" s="47" t="s">
        <v>171</v>
      </c>
      <c r="G111" s="47" t="str">
        <f t="shared" si="1"/>
        <v>Augusto</v>
      </c>
      <c r="H111" s="48" t="s">
        <v>88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60</v>
      </c>
      <c r="N111" s="50">
        <v>0.012</v>
      </c>
      <c r="O111" s="47" t="s">
        <v>24</v>
      </c>
      <c r="P111" s="51">
        <v>0.0</v>
      </c>
      <c r="Q111" s="62" t="s">
        <v>471</v>
      </c>
      <c r="R111" s="52"/>
      <c r="S111" s="52"/>
      <c r="T111" s="24" t="s">
        <v>89</v>
      </c>
      <c r="U111" s="25" t="s">
        <v>472</v>
      </c>
      <c r="V111" s="9" t="s">
        <v>149</v>
      </c>
      <c r="W111" s="53" t="str">
        <f t="shared" si="3"/>
        <v>Ativo</v>
      </c>
      <c r="X111" s="24"/>
      <c r="Y111" s="54" t="s">
        <v>91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179468.1</v>
      </c>
    </row>
    <row r="112" ht="15.75" customHeight="1">
      <c r="A112" s="44" t="s">
        <v>36</v>
      </c>
      <c r="B112" s="63" t="s">
        <v>473</v>
      </c>
      <c r="C112" s="46" t="s">
        <v>474</v>
      </c>
      <c r="D112" s="47" t="s">
        <v>18</v>
      </c>
      <c r="E112" s="24" t="s">
        <v>29</v>
      </c>
      <c r="F112" s="47" t="s">
        <v>58</v>
      </c>
      <c r="G112" s="47" t="str">
        <f t="shared" si="1"/>
        <v>Augusto</v>
      </c>
      <c r="H112" s="48" t="s">
        <v>88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111</v>
      </c>
      <c r="N112" s="50">
        <v>0.015</v>
      </c>
      <c r="O112" s="47" t="s">
        <v>46</v>
      </c>
      <c r="P112" s="51">
        <v>0.1</v>
      </c>
      <c r="Q112" s="52"/>
      <c r="R112" s="52"/>
      <c r="S112" s="52"/>
      <c r="T112" s="24" t="s">
        <v>89</v>
      </c>
      <c r="U112" s="25" t="s">
        <v>475</v>
      </c>
      <c r="V112" s="9" t="s">
        <v>29</v>
      </c>
      <c r="W112" s="53" t="str">
        <f t="shared" si="3"/>
        <v>Ativo</v>
      </c>
      <c r="X112" s="24"/>
      <c r="Y112" s="54" t="s">
        <v>95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231135.6</v>
      </c>
    </row>
    <row r="113" ht="15.75" customHeight="1">
      <c r="A113" s="44" t="s">
        <v>36</v>
      </c>
      <c r="B113" s="45" t="s">
        <v>476</v>
      </c>
      <c r="C113" s="46" t="s">
        <v>477</v>
      </c>
      <c r="D113" s="47" t="s">
        <v>18</v>
      </c>
      <c r="E113" s="24" t="s">
        <v>145</v>
      </c>
      <c r="F113" s="47" t="s">
        <v>478</v>
      </c>
      <c r="G113" s="47" t="str">
        <f t="shared" si="1"/>
        <v>Bruno</v>
      </c>
      <c r="H113" s="48" t="s">
        <v>88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60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89</v>
      </c>
      <c r="U113" s="25" t="s">
        <v>479</v>
      </c>
      <c r="V113" s="9" t="s">
        <v>180</v>
      </c>
      <c r="W113" s="53" t="str">
        <f t="shared" si="3"/>
        <v>Ativo</v>
      </c>
      <c r="X113" s="24"/>
      <c r="Y113" s="54" t="s">
        <v>91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1856858</v>
      </c>
    </row>
    <row r="114" ht="15.75" customHeight="1">
      <c r="A114" s="44" t="s">
        <v>36</v>
      </c>
      <c r="B114" s="66" t="s">
        <v>480</v>
      </c>
      <c r="C114" s="67" t="s">
        <v>481</v>
      </c>
      <c r="D114" s="9" t="s">
        <v>18</v>
      </c>
      <c r="E114" s="25" t="s">
        <v>29</v>
      </c>
      <c r="F114" s="9" t="s">
        <v>110</v>
      </c>
      <c r="G114" s="47" t="str">
        <f t="shared" si="1"/>
        <v>Augusto</v>
      </c>
      <c r="H114" s="53" t="s">
        <v>88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60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89</v>
      </c>
      <c r="U114" s="23" t="s">
        <v>482</v>
      </c>
      <c r="V114" s="9" t="s">
        <v>29</v>
      </c>
      <c r="W114" s="53" t="str">
        <f t="shared" si="3"/>
        <v>Ativo</v>
      </c>
      <c r="X114" s="25" t="s">
        <v>48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/>
    </row>
    <row r="115" ht="18.75" customHeight="1">
      <c r="A115" s="44" t="s">
        <v>36</v>
      </c>
      <c r="B115" s="45" t="s">
        <v>483</v>
      </c>
      <c r="C115" s="46" t="s">
        <v>484</v>
      </c>
      <c r="D115" s="47" t="s">
        <v>18</v>
      </c>
      <c r="E115" s="24" t="s">
        <v>29</v>
      </c>
      <c r="F115" s="47" t="s">
        <v>58</v>
      </c>
      <c r="G115" s="47" t="str">
        <f t="shared" si="1"/>
        <v>Augusto</v>
      </c>
      <c r="H115" s="48" t="s">
        <v>88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99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89</v>
      </c>
      <c r="U115" s="25" t="s">
        <v>485</v>
      </c>
      <c r="V115" s="9" t="s">
        <v>180</v>
      </c>
      <c r="W115" s="53" t="str">
        <f t="shared" si="3"/>
        <v>Ativo</v>
      </c>
      <c r="X115" s="24"/>
      <c r="Y115" s="54" t="s">
        <v>91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46834.79</v>
      </c>
    </row>
    <row r="116" ht="18.75" customHeight="1">
      <c r="A116" s="44" t="s">
        <v>36</v>
      </c>
      <c r="B116" s="66" t="s">
        <v>486</v>
      </c>
      <c r="C116" s="67" t="s">
        <v>487</v>
      </c>
      <c r="D116" s="9" t="s">
        <v>86</v>
      </c>
      <c r="E116" s="25" t="s">
        <v>29</v>
      </c>
      <c r="F116" s="9" t="s">
        <v>87</v>
      </c>
      <c r="G116" s="47" t="str">
        <f t="shared" si="1"/>
        <v>Augusto</v>
      </c>
      <c r="H116" s="53" t="s">
        <v>116</v>
      </c>
      <c r="I116" s="53" t="s">
        <v>117</v>
      </c>
      <c r="J116" s="47" t="str">
        <f t="shared" si="2"/>
        <v>Não</v>
      </c>
      <c r="K116" s="59">
        <v>45412.0</v>
      </c>
      <c r="L116" s="64"/>
      <c r="M116" s="25" t="s">
        <v>118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89</v>
      </c>
      <c r="U116" s="23" t="s">
        <v>488</v>
      </c>
      <c r="V116" s="9" t="s">
        <v>180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727.09</v>
      </c>
    </row>
    <row r="117">
      <c r="A117" s="44" t="s">
        <v>36</v>
      </c>
      <c r="B117" s="63" t="s">
        <v>489</v>
      </c>
      <c r="C117" s="46" t="s">
        <v>490</v>
      </c>
      <c r="D117" s="47" t="s">
        <v>18</v>
      </c>
      <c r="E117" s="24" t="s">
        <v>19</v>
      </c>
      <c r="F117" s="47" t="s">
        <v>230</v>
      </c>
      <c r="G117" s="47" t="str">
        <f t="shared" si="1"/>
        <v>Augusto</v>
      </c>
      <c r="H117" s="48" t="s">
        <v>88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45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89</v>
      </c>
      <c r="U117" s="25" t="s">
        <v>491</v>
      </c>
      <c r="V117" s="9" t="s">
        <v>29</v>
      </c>
      <c r="W117" s="53" t="str">
        <f t="shared" si="3"/>
        <v>Ativo</v>
      </c>
      <c r="X117" s="24"/>
      <c r="Y117" s="54" t="s">
        <v>95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266820.6</v>
      </c>
    </row>
    <row r="118" ht="15.75" customHeight="1">
      <c r="A118" s="44" t="s">
        <v>36</v>
      </c>
      <c r="B118" s="45" t="s">
        <v>492</v>
      </c>
      <c r="C118" s="46" t="s">
        <v>493</v>
      </c>
      <c r="D118" s="47" t="s">
        <v>18</v>
      </c>
      <c r="E118" s="24" t="s">
        <v>29</v>
      </c>
      <c r="F118" s="9" t="s">
        <v>44</v>
      </c>
      <c r="G118" s="47" t="str">
        <f t="shared" si="1"/>
        <v>Augusto</v>
      </c>
      <c r="H118" s="48" t="s">
        <v>88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60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494</v>
      </c>
      <c r="T118" s="24" t="s">
        <v>89</v>
      </c>
      <c r="U118" s="25" t="s">
        <v>495</v>
      </c>
      <c r="V118" s="9" t="s">
        <v>29</v>
      </c>
      <c r="W118" s="53" t="str">
        <f t="shared" si="3"/>
        <v>Ativo</v>
      </c>
      <c r="X118" s="24"/>
      <c r="Y118" s="54" t="s">
        <v>95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131544.8</v>
      </c>
    </row>
    <row r="119" ht="15.75" customHeight="1">
      <c r="A119" s="44" t="s">
        <v>36</v>
      </c>
      <c r="B119" s="45" t="s">
        <v>496</v>
      </c>
      <c r="C119" s="46" t="s">
        <v>497</v>
      </c>
      <c r="D119" s="47" t="s">
        <v>18</v>
      </c>
      <c r="E119" s="24" t="s">
        <v>145</v>
      </c>
      <c r="F119" s="47" t="s">
        <v>146</v>
      </c>
      <c r="G119" s="47" t="str">
        <f t="shared" si="1"/>
        <v>Augusto</v>
      </c>
      <c r="H119" s="48" t="s">
        <v>88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111</v>
      </c>
      <c r="N119" s="50">
        <v>0.015</v>
      </c>
      <c r="O119" s="47" t="s">
        <v>46</v>
      </c>
      <c r="P119" s="51">
        <v>0.1</v>
      </c>
      <c r="Q119" s="52"/>
      <c r="R119" s="52"/>
      <c r="S119" s="62" t="s">
        <v>498</v>
      </c>
      <c r="T119" s="24" t="s">
        <v>89</v>
      </c>
      <c r="U119" s="25" t="s">
        <v>499</v>
      </c>
      <c r="V119" s="9" t="s">
        <v>149</v>
      </c>
      <c r="W119" s="53" t="str">
        <f t="shared" si="3"/>
        <v>Ativo</v>
      </c>
      <c r="X119" s="24"/>
      <c r="Y119" s="54" t="s">
        <v>91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362168.5</v>
      </c>
    </row>
    <row r="120" ht="15.75" customHeight="1">
      <c r="A120" s="44" t="s">
        <v>36</v>
      </c>
      <c r="B120" s="45" t="s">
        <v>500</v>
      </c>
      <c r="C120" s="46" t="s">
        <v>501</v>
      </c>
      <c r="D120" s="47" t="s">
        <v>18</v>
      </c>
      <c r="E120" s="24" t="s">
        <v>145</v>
      </c>
      <c r="F120" s="47" t="s">
        <v>146</v>
      </c>
      <c r="G120" s="47" t="str">
        <f t="shared" si="1"/>
        <v>Augusto</v>
      </c>
      <c r="H120" s="48" t="s">
        <v>88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60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89</v>
      </c>
      <c r="U120" s="25" t="s">
        <v>502</v>
      </c>
      <c r="V120" s="9" t="s">
        <v>149</v>
      </c>
      <c r="W120" s="53" t="str">
        <f t="shared" si="3"/>
        <v>Ativo</v>
      </c>
      <c r="X120" s="24"/>
      <c r="Y120" s="54" t="s">
        <v>91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310368.9</v>
      </c>
    </row>
    <row r="121" ht="15.75" customHeight="1">
      <c r="A121" s="44" t="s">
        <v>36</v>
      </c>
      <c r="B121" s="45" t="s">
        <v>500</v>
      </c>
      <c r="C121" s="46" t="s">
        <v>503</v>
      </c>
      <c r="D121" s="47" t="s">
        <v>18</v>
      </c>
      <c r="E121" s="24" t="s">
        <v>145</v>
      </c>
      <c r="F121" s="47" t="s">
        <v>146</v>
      </c>
      <c r="G121" s="47" t="str">
        <f t="shared" si="1"/>
        <v>Augusto</v>
      </c>
      <c r="H121" s="48" t="s">
        <v>88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162</v>
      </c>
      <c r="N121" s="50">
        <v>0.025</v>
      </c>
      <c r="O121" s="47" t="s">
        <v>163</v>
      </c>
      <c r="P121" s="51">
        <v>0.2</v>
      </c>
      <c r="Q121" s="52"/>
      <c r="R121" s="52"/>
      <c r="S121" s="52"/>
      <c r="T121" s="24" t="s">
        <v>89</v>
      </c>
      <c r="U121" s="25" t="s">
        <v>502</v>
      </c>
      <c r="V121" s="9" t="s">
        <v>149</v>
      </c>
      <c r="W121" s="53" t="str">
        <f t="shared" si="3"/>
        <v>Ativo</v>
      </c>
      <c r="X121" s="24"/>
      <c r="Y121" s="54" t="s">
        <v>91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101914.2</v>
      </c>
    </row>
    <row r="122" ht="15.75" customHeight="1">
      <c r="A122" s="44" t="s">
        <v>36</v>
      </c>
      <c r="B122" s="45" t="s">
        <v>504</v>
      </c>
      <c r="C122" s="46" t="s">
        <v>505</v>
      </c>
      <c r="D122" s="47" t="s">
        <v>18</v>
      </c>
      <c r="E122" s="24" t="s">
        <v>29</v>
      </c>
      <c r="F122" s="47" t="s">
        <v>110</v>
      </c>
      <c r="G122" s="47" t="str">
        <f t="shared" si="1"/>
        <v>#N/A</v>
      </c>
      <c r="H122" s="53" t="s">
        <v>116</v>
      </c>
      <c r="I122" s="53" t="s">
        <v>161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89</v>
      </c>
      <c r="U122" s="25" t="s">
        <v>506</v>
      </c>
      <c r="V122" s="9" t="s">
        <v>29</v>
      </c>
      <c r="W122" s="53" t="str">
        <f t="shared" si="3"/>
        <v>Ativo</v>
      </c>
      <c r="X122" s="24"/>
      <c r="Y122" s="54" t="s">
        <v>95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507</v>
      </c>
      <c r="C123" s="69" t="s">
        <v>508</v>
      </c>
      <c r="D123" s="47" t="s">
        <v>86</v>
      </c>
      <c r="E123" s="24" t="s">
        <v>29</v>
      </c>
      <c r="F123" s="47" t="s">
        <v>87</v>
      </c>
      <c r="G123" s="47" t="str">
        <f t="shared" si="1"/>
        <v>Augusto</v>
      </c>
      <c r="H123" s="48" t="s">
        <v>88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45</v>
      </c>
      <c r="N123" s="50">
        <v>0.012</v>
      </c>
      <c r="O123" s="47" t="s">
        <v>46</v>
      </c>
      <c r="P123" s="51">
        <v>0.1</v>
      </c>
      <c r="Q123" s="75"/>
      <c r="R123" s="75"/>
      <c r="S123" s="52"/>
      <c r="T123" s="24" t="s">
        <v>89</v>
      </c>
      <c r="U123" s="25" t="s">
        <v>509</v>
      </c>
      <c r="V123" s="9" t="s">
        <v>29</v>
      </c>
      <c r="W123" s="53" t="str">
        <f t="shared" si="3"/>
        <v>Ativo</v>
      </c>
      <c r="X123" s="24"/>
      <c r="Y123" s="54" t="s">
        <v>95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120661</v>
      </c>
    </row>
    <row r="124" ht="15.75" customHeight="1">
      <c r="A124" s="44" t="s">
        <v>36</v>
      </c>
      <c r="B124" s="45" t="s">
        <v>510</v>
      </c>
      <c r="C124" s="58" t="s">
        <v>511</v>
      </c>
      <c r="D124" s="47" t="s">
        <v>18</v>
      </c>
      <c r="E124" s="24" t="s">
        <v>180</v>
      </c>
      <c r="F124" s="47" t="s">
        <v>512</v>
      </c>
      <c r="G124" s="47" t="str">
        <f t="shared" si="1"/>
        <v>Augusto</v>
      </c>
      <c r="H124" s="48" t="s">
        <v>88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111</v>
      </c>
      <c r="N124" s="50">
        <v>0.015</v>
      </c>
      <c r="O124" s="47" t="s">
        <v>46</v>
      </c>
      <c r="P124" s="51">
        <v>0.1</v>
      </c>
      <c r="Q124" s="52"/>
      <c r="R124" s="52"/>
      <c r="S124" s="52"/>
      <c r="T124" s="24" t="s">
        <v>89</v>
      </c>
      <c r="U124" s="25" t="s">
        <v>513</v>
      </c>
      <c r="V124" s="9" t="s">
        <v>180</v>
      </c>
      <c r="W124" s="53" t="str">
        <f t="shared" si="3"/>
        <v>Ativo</v>
      </c>
      <c r="X124" s="24"/>
      <c r="Y124" s="54" t="s">
        <v>95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141352.2</v>
      </c>
    </row>
    <row r="125" ht="15.75" customHeight="1">
      <c r="A125" s="44" t="s">
        <v>36</v>
      </c>
      <c r="B125" s="45" t="s">
        <v>514</v>
      </c>
      <c r="C125" s="46" t="s">
        <v>515</v>
      </c>
      <c r="D125" s="47" t="s">
        <v>18</v>
      </c>
      <c r="E125" s="24" t="s">
        <v>19</v>
      </c>
      <c r="F125" s="47" t="s">
        <v>201</v>
      </c>
      <c r="G125" s="47" t="str">
        <f t="shared" si="1"/>
        <v>Augusto</v>
      </c>
      <c r="H125" s="48" t="s">
        <v>88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60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89</v>
      </c>
      <c r="U125" s="25" t="s">
        <v>516</v>
      </c>
      <c r="V125" s="9" t="s">
        <v>455</v>
      </c>
      <c r="W125" s="53" t="str">
        <f t="shared" si="3"/>
        <v>Ativo</v>
      </c>
      <c r="X125" s="24"/>
      <c r="Y125" s="54" t="s">
        <v>95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12794.73</v>
      </c>
    </row>
    <row r="126" ht="15.75" customHeight="1">
      <c r="A126" s="44" t="s">
        <v>36</v>
      </c>
      <c r="B126" s="45" t="s">
        <v>517</v>
      </c>
      <c r="C126" s="46" t="s">
        <v>518</v>
      </c>
      <c r="D126" s="47" t="s">
        <v>18</v>
      </c>
      <c r="E126" s="24" t="s">
        <v>145</v>
      </c>
      <c r="F126" s="47" t="s">
        <v>171</v>
      </c>
      <c r="G126" s="47" t="str">
        <f t="shared" si="1"/>
        <v>#N/A</v>
      </c>
      <c r="H126" s="48" t="s">
        <v>157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45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89</v>
      </c>
      <c r="U126" s="25" t="s">
        <v>519</v>
      </c>
      <c r="V126" s="9" t="s">
        <v>149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520</v>
      </c>
      <c r="C127" s="46" t="s">
        <v>521</v>
      </c>
      <c r="D127" s="47" t="s">
        <v>18</v>
      </c>
      <c r="E127" s="24" t="s">
        <v>145</v>
      </c>
      <c r="F127" s="47" t="s">
        <v>171</v>
      </c>
      <c r="G127" s="47" t="str">
        <f t="shared" si="1"/>
        <v>Augusto</v>
      </c>
      <c r="H127" s="48" t="s">
        <v>88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111</v>
      </c>
      <c r="N127" s="50">
        <v>0.015</v>
      </c>
      <c r="O127" s="47" t="s">
        <v>46</v>
      </c>
      <c r="P127" s="51">
        <v>0.1</v>
      </c>
      <c r="Q127" s="65"/>
      <c r="R127" s="52"/>
      <c r="S127" s="62" t="s">
        <v>522</v>
      </c>
      <c r="T127" s="24" t="s">
        <v>89</v>
      </c>
      <c r="U127" s="25" t="s">
        <v>519</v>
      </c>
      <c r="V127" s="9" t="s">
        <v>149</v>
      </c>
      <c r="W127" s="53" t="str">
        <f t="shared" si="3"/>
        <v>Ativo</v>
      </c>
      <c r="X127" s="24"/>
      <c r="Y127" s="54" t="s">
        <v>91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234294.4</v>
      </c>
    </row>
    <row r="128" ht="15.75" customHeight="1">
      <c r="A128" s="44" t="s">
        <v>36</v>
      </c>
      <c r="B128" s="45" t="s">
        <v>523</v>
      </c>
      <c r="C128" s="46" t="s">
        <v>524</v>
      </c>
      <c r="D128" s="47" t="s">
        <v>18</v>
      </c>
      <c r="E128" s="24" t="s">
        <v>145</v>
      </c>
      <c r="F128" s="47" t="s">
        <v>146</v>
      </c>
      <c r="G128" s="47" t="str">
        <f t="shared" si="1"/>
        <v>Augusto</v>
      </c>
      <c r="H128" s="48" t="s">
        <v>88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111</v>
      </c>
      <c r="N128" s="50">
        <v>0.015</v>
      </c>
      <c r="O128" s="47" t="s">
        <v>46</v>
      </c>
      <c r="P128" s="51">
        <v>0.1</v>
      </c>
      <c r="Q128" s="75"/>
      <c r="R128" s="75"/>
      <c r="S128" s="75"/>
      <c r="T128" s="24" t="s">
        <v>89</v>
      </c>
      <c r="U128" s="25" t="s">
        <v>525</v>
      </c>
      <c r="V128" s="9" t="s">
        <v>149</v>
      </c>
      <c r="W128" s="53" t="str">
        <f t="shared" si="3"/>
        <v>Ativo</v>
      </c>
      <c r="X128" s="24"/>
      <c r="Y128" s="54" t="s">
        <v>91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348437.3</v>
      </c>
    </row>
    <row r="129" ht="15.75" customHeight="1">
      <c r="A129" s="44" t="s">
        <v>36</v>
      </c>
      <c r="B129" s="114" t="s">
        <v>526</v>
      </c>
      <c r="C129" s="46" t="s">
        <v>527</v>
      </c>
      <c r="D129" s="47" t="s">
        <v>18</v>
      </c>
      <c r="E129" s="24" t="s">
        <v>145</v>
      </c>
      <c r="F129" s="47" t="s">
        <v>146</v>
      </c>
      <c r="G129" s="47" t="str">
        <f t="shared" si="1"/>
        <v>#N/A</v>
      </c>
      <c r="H129" s="48" t="s">
        <v>157</v>
      </c>
      <c r="I129" s="48" t="s">
        <v>161</v>
      </c>
      <c r="J129" s="47" t="str">
        <f t="shared" si="2"/>
        <v>Não</v>
      </c>
      <c r="K129" s="49">
        <v>45034.0</v>
      </c>
      <c r="L129" s="120">
        <v>45274.0</v>
      </c>
      <c r="M129" s="24" t="s">
        <v>60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89</v>
      </c>
      <c r="U129" s="25" t="s">
        <v>525</v>
      </c>
      <c r="V129" s="9" t="s">
        <v>149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528</v>
      </c>
      <c r="C130" s="46" t="s">
        <v>529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88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60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530</v>
      </c>
      <c r="T130" s="24" t="s">
        <v>89</v>
      </c>
      <c r="U130" s="25" t="s">
        <v>531</v>
      </c>
      <c r="V130" s="9" t="s">
        <v>19</v>
      </c>
      <c r="W130" s="53" t="str">
        <f t="shared" si="3"/>
        <v>Ativo</v>
      </c>
      <c r="X130" s="24"/>
      <c r="Y130" s="54" t="s">
        <v>95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115722.6</v>
      </c>
    </row>
    <row r="131" ht="15.75" customHeight="1">
      <c r="A131" s="44" t="s">
        <v>36</v>
      </c>
      <c r="B131" s="45" t="s">
        <v>532</v>
      </c>
      <c r="C131" s="46" t="s">
        <v>533</v>
      </c>
      <c r="D131" s="47" t="s">
        <v>18</v>
      </c>
      <c r="E131" s="24" t="s">
        <v>19</v>
      </c>
      <c r="F131" s="47" t="s">
        <v>230</v>
      </c>
      <c r="G131" s="47" t="str">
        <f t="shared" si="1"/>
        <v>Augusto</v>
      </c>
      <c r="H131" s="53" t="s">
        <v>116</v>
      </c>
      <c r="I131" s="53" t="s">
        <v>130</v>
      </c>
      <c r="J131" s="47" t="str">
        <f t="shared" si="2"/>
        <v>Não</v>
      </c>
      <c r="K131" s="49">
        <v>45100.0</v>
      </c>
      <c r="L131" s="64"/>
      <c r="M131" s="24" t="s">
        <v>60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329</v>
      </c>
      <c r="U131" s="25" t="s">
        <v>534</v>
      </c>
      <c r="V131" s="9" t="s">
        <v>29</v>
      </c>
      <c r="W131" s="53" t="str">
        <f t="shared" si="3"/>
        <v>Ativo</v>
      </c>
      <c r="X131" s="24"/>
      <c r="Y131" s="54" t="s">
        <v>95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14405.73</v>
      </c>
    </row>
    <row r="132" ht="15.75" customHeight="1">
      <c r="A132" s="44" t="s">
        <v>36</v>
      </c>
      <c r="B132" s="45" t="s">
        <v>532</v>
      </c>
      <c r="C132" s="46" t="s">
        <v>535</v>
      </c>
      <c r="D132" s="47" t="s">
        <v>18</v>
      </c>
      <c r="E132" s="24" t="s">
        <v>19</v>
      </c>
      <c r="F132" s="47" t="s">
        <v>230</v>
      </c>
      <c r="G132" s="47" t="str">
        <f t="shared" si="1"/>
        <v>#N/A</v>
      </c>
      <c r="H132" s="53" t="s">
        <v>116</v>
      </c>
      <c r="I132" s="48" t="s">
        <v>161</v>
      </c>
      <c r="J132" s="47" t="str">
        <f t="shared" si="2"/>
        <v>Não</v>
      </c>
      <c r="K132" s="49">
        <v>45166.0</v>
      </c>
      <c r="L132" s="64"/>
      <c r="M132" s="24" t="s">
        <v>60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329</v>
      </c>
      <c r="U132" s="25" t="s">
        <v>534</v>
      </c>
      <c r="V132" s="9" t="s">
        <v>29</v>
      </c>
      <c r="W132" s="53" t="str">
        <f t="shared" si="3"/>
        <v>Ativo</v>
      </c>
      <c r="X132" s="24"/>
      <c r="Y132" s="54" t="s">
        <v>95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536</v>
      </c>
      <c r="C133" s="46" t="s">
        <v>537</v>
      </c>
      <c r="D133" s="47" t="s">
        <v>18</v>
      </c>
      <c r="E133" s="24" t="s">
        <v>145</v>
      </c>
      <c r="F133" s="47" t="s">
        <v>171</v>
      </c>
      <c r="G133" s="47" t="str">
        <f t="shared" si="1"/>
        <v>Breno</v>
      </c>
      <c r="H133" s="53" t="s">
        <v>88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45</v>
      </c>
      <c r="N133" s="50">
        <v>0.012</v>
      </c>
      <c r="O133" s="9" t="s">
        <v>46</v>
      </c>
      <c r="P133" s="51">
        <v>0.1</v>
      </c>
      <c r="Q133" s="44"/>
      <c r="R133" s="75"/>
      <c r="S133" s="76" t="s">
        <v>538</v>
      </c>
      <c r="T133" s="24" t="s">
        <v>89</v>
      </c>
      <c r="U133" s="25" t="s">
        <v>539</v>
      </c>
      <c r="V133" s="9" t="s">
        <v>149</v>
      </c>
      <c r="W133" s="53" t="str">
        <f t="shared" si="3"/>
        <v>Ativo</v>
      </c>
      <c r="X133" s="24"/>
      <c r="Y133" s="54" t="s">
        <v>91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547400.3</v>
      </c>
    </row>
    <row r="134" ht="15.75" customHeight="1">
      <c r="A134" s="44" t="s">
        <v>36</v>
      </c>
      <c r="B134" s="45" t="s">
        <v>540</v>
      </c>
      <c r="C134" s="46" t="s">
        <v>541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157</v>
      </c>
      <c r="I134" s="48" t="s">
        <v>161</v>
      </c>
      <c r="J134" s="47" t="str">
        <f t="shared" si="2"/>
        <v>Não</v>
      </c>
      <c r="K134" s="49">
        <v>44951.0</v>
      </c>
      <c r="L134" s="110">
        <v>45308.0</v>
      </c>
      <c r="M134" s="24" t="s">
        <v>111</v>
      </c>
      <c r="N134" s="50">
        <v>0.015</v>
      </c>
      <c r="O134" s="47" t="s">
        <v>46</v>
      </c>
      <c r="P134" s="51">
        <v>0.1</v>
      </c>
      <c r="Q134" s="52"/>
      <c r="R134" s="52"/>
      <c r="S134" s="62" t="s">
        <v>542</v>
      </c>
      <c r="T134" s="24" t="s">
        <v>89</v>
      </c>
      <c r="U134" s="25" t="s">
        <v>543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544</v>
      </c>
      <c r="C135" s="46" t="s">
        <v>545</v>
      </c>
      <c r="D135" s="47" t="s">
        <v>18</v>
      </c>
      <c r="E135" s="24" t="s">
        <v>19</v>
      </c>
      <c r="F135" s="47" t="s">
        <v>230</v>
      </c>
      <c r="G135" s="47" t="str">
        <f t="shared" si="1"/>
        <v>Augusto</v>
      </c>
      <c r="H135" s="48" t="s">
        <v>88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243</v>
      </c>
      <c r="N135" s="50">
        <v>0.02</v>
      </c>
      <c r="O135" s="47" t="s">
        <v>46</v>
      </c>
      <c r="P135" s="51">
        <v>0.2</v>
      </c>
      <c r="Q135" s="52"/>
      <c r="R135" s="52"/>
      <c r="S135" s="52"/>
      <c r="T135" s="24" t="s">
        <v>89</v>
      </c>
      <c r="U135" s="25" t="s">
        <v>546</v>
      </c>
      <c r="V135" s="9" t="s">
        <v>121</v>
      </c>
      <c r="W135" s="53" t="str">
        <f t="shared" si="3"/>
        <v>Ativo</v>
      </c>
      <c r="X135" s="24"/>
      <c r="Y135" s="54" t="s">
        <v>95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221887.6</v>
      </c>
    </row>
    <row r="136" ht="15.75" customHeight="1">
      <c r="A136" s="44" t="s">
        <v>36</v>
      </c>
      <c r="B136" s="45" t="s">
        <v>547</v>
      </c>
      <c r="C136" s="46" t="s">
        <v>548</v>
      </c>
      <c r="D136" s="47" t="s">
        <v>86</v>
      </c>
      <c r="E136" s="24" t="s">
        <v>29</v>
      </c>
      <c r="F136" s="47" t="s">
        <v>371</v>
      </c>
      <c r="G136" s="47" t="str">
        <f t="shared" si="1"/>
        <v>Breno</v>
      </c>
      <c r="H136" s="48" t="s">
        <v>88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89</v>
      </c>
      <c r="U136" s="25" t="s">
        <v>549</v>
      </c>
      <c r="V136" s="9" t="s">
        <v>29</v>
      </c>
      <c r="W136" s="53" t="str">
        <f t="shared" si="3"/>
        <v>Ativo</v>
      </c>
      <c r="X136" s="24"/>
      <c r="Y136" s="54" t="s">
        <v>91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436327.3</v>
      </c>
    </row>
    <row r="137" ht="15.75" customHeight="1">
      <c r="A137" s="44" t="s">
        <v>36</v>
      </c>
      <c r="B137" s="45" t="s">
        <v>550</v>
      </c>
      <c r="C137" s="46" t="s">
        <v>551</v>
      </c>
      <c r="D137" s="47" t="s">
        <v>86</v>
      </c>
      <c r="E137" s="24" t="s">
        <v>29</v>
      </c>
      <c r="F137" s="47" t="s">
        <v>87</v>
      </c>
      <c r="G137" s="47" t="str">
        <f t="shared" si="1"/>
        <v>Bruno</v>
      </c>
      <c r="H137" s="48" t="s">
        <v>88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552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89</v>
      </c>
      <c r="U137" s="25" t="s">
        <v>553</v>
      </c>
      <c r="V137" s="9" t="s">
        <v>29</v>
      </c>
      <c r="W137" s="53" t="str">
        <f t="shared" si="3"/>
        <v>Ativo</v>
      </c>
      <c r="X137" s="24"/>
      <c r="Y137" s="54" t="s">
        <v>91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1695432</v>
      </c>
    </row>
    <row r="138" ht="15.75" customHeight="1">
      <c r="A138" s="44" t="s">
        <v>36</v>
      </c>
      <c r="B138" s="123" t="s">
        <v>15</v>
      </c>
      <c r="C138" s="73" t="s">
        <v>554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88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166</v>
      </c>
      <c r="N138" s="50">
        <v>0.008</v>
      </c>
      <c r="O138" s="47" t="s">
        <v>167</v>
      </c>
      <c r="P138" s="51">
        <v>0.1</v>
      </c>
      <c r="Q138" s="52"/>
      <c r="R138" s="52"/>
      <c r="S138" s="52"/>
      <c r="T138" s="24" t="s">
        <v>89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91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103047.7</v>
      </c>
    </row>
    <row r="139" ht="15.75" customHeight="1">
      <c r="A139" s="44" t="s">
        <v>36</v>
      </c>
      <c r="B139" s="45" t="s">
        <v>555</v>
      </c>
      <c r="C139" s="77" t="s">
        <v>556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88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60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89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91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1007209</v>
      </c>
    </row>
    <row r="140" ht="15.75" customHeight="1">
      <c r="A140" s="44" t="s">
        <v>36</v>
      </c>
      <c r="B140" s="45" t="s">
        <v>557</v>
      </c>
      <c r="C140" s="46" t="s">
        <v>558</v>
      </c>
      <c r="D140" s="47" t="s">
        <v>18</v>
      </c>
      <c r="E140" s="24" t="s">
        <v>29</v>
      </c>
      <c r="F140" s="47" t="s">
        <v>58</v>
      </c>
      <c r="G140" s="47" t="str">
        <f t="shared" si="1"/>
        <v>Augusto</v>
      </c>
      <c r="H140" s="53" t="s">
        <v>88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99</v>
      </c>
      <c r="N140" s="60">
        <v>0.0</v>
      </c>
      <c r="O140" s="9" t="s">
        <v>24</v>
      </c>
      <c r="P140" s="61">
        <v>0.0</v>
      </c>
      <c r="Q140" s="62" t="s">
        <v>559</v>
      </c>
      <c r="R140" s="52"/>
      <c r="S140" s="62" t="s">
        <v>560</v>
      </c>
      <c r="T140" s="24" t="s">
        <v>89</v>
      </c>
      <c r="U140" s="25" t="s">
        <v>561</v>
      </c>
      <c r="V140" s="9" t="s">
        <v>29</v>
      </c>
      <c r="W140" s="53" t="str">
        <f t="shared" si="3"/>
        <v>Ativo</v>
      </c>
      <c r="X140" s="24"/>
      <c r="Y140" s="54" t="s">
        <v>95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43100.06</v>
      </c>
    </row>
    <row r="141" ht="15.75" customHeight="1">
      <c r="A141" s="44" t="s">
        <v>36</v>
      </c>
      <c r="B141" s="63" t="s">
        <v>562</v>
      </c>
      <c r="C141" s="82" t="s">
        <v>563</v>
      </c>
      <c r="D141" s="47" t="s">
        <v>18</v>
      </c>
      <c r="E141" s="24" t="s">
        <v>19</v>
      </c>
      <c r="F141" s="47" t="s">
        <v>564</v>
      </c>
      <c r="G141" s="47" t="str">
        <f t="shared" si="1"/>
        <v>#N/A</v>
      </c>
      <c r="H141" s="53" t="s">
        <v>116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60</v>
      </c>
      <c r="N141" s="50">
        <v>0.012</v>
      </c>
      <c r="O141" s="47" t="s">
        <v>24</v>
      </c>
      <c r="P141" s="51">
        <v>0.0</v>
      </c>
      <c r="Q141" s="62" t="s">
        <v>211</v>
      </c>
      <c r="R141" s="52" t="s">
        <v>565</v>
      </c>
      <c r="S141" s="52"/>
      <c r="T141" s="24" t="s">
        <v>89</v>
      </c>
      <c r="U141" s="25" t="s">
        <v>566</v>
      </c>
      <c r="V141" s="9" t="s">
        <v>29</v>
      </c>
      <c r="W141" s="53" t="str">
        <f t="shared" si="3"/>
        <v>Ativo</v>
      </c>
      <c r="X141" s="24"/>
      <c r="Y141" s="54" t="s">
        <v>95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567</v>
      </c>
      <c r="C142" s="46" t="s">
        <v>568</v>
      </c>
      <c r="D142" s="47" t="s">
        <v>18</v>
      </c>
      <c r="E142" s="24" t="s">
        <v>29</v>
      </c>
      <c r="F142" s="9" t="s">
        <v>569</v>
      </c>
      <c r="G142" s="47" t="str">
        <f t="shared" si="1"/>
        <v>Bruno</v>
      </c>
      <c r="H142" s="53" t="s">
        <v>88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60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570</v>
      </c>
      <c r="T142" s="24" t="s">
        <v>89</v>
      </c>
      <c r="U142" s="25" t="s">
        <v>571</v>
      </c>
      <c r="V142" s="9" t="s">
        <v>19</v>
      </c>
      <c r="W142" s="53" t="str">
        <f t="shared" si="3"/>
        <v>Ativo</v>
      </c>
      <c r="X142" s="24"/>
      <c r="Y142" s="54" t="s">
        <v>95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1077453</v>
      </c>
    </row>
    <row r="143" ht="15.75" customHeight="1">
      <c r="A143" s="44" t="s">
        <v>36</v>
      </c>
      <c r="B143" s="66" t="s">
        <v>572</v>
      </c>
      <c r="C143" s="67" t="s">
        <v>573</v>
      </c>
      <c r="D143" s="47" t="s">
        <v>18</v>
      </c>
      <c r="E143" s="24" t="s">
        <v>29</v>
      </c>
      <c r="F143" s="9" t="s">
        <v>152</v>
      </c>
      <c r="G143" s="47" t="str">
        <f t="shared" si="1"/>
        <v>Breno</v>
      </c>
      <c r="H143" s="53" t="s">
        <v>88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60</v>
      </c>
      <c r="N143" s="60">
        <v>0.012</v>
      </c>
      <c r="O143" s="9" t="s">
        <v>24</v>
      </c>
      <c r="P143" s="61">
        <v>0.0</v>
      </c>
      <c r="Q143" s="62" t="s">
        <v>574</v>
      </c>
      <c r="R143" s="52"/>
      <c r="S143" s="125"/>
      <c r="T143" s="25" t="s">
        <v>89</v>
      </c>
      <c r="U143" s="25" t="s">
        <v>575</v>
      </c>
      <c r="V143" s="9" t="s">
        <v>180</v>
      </c>
      <c r="W143" s="53" t="str">
        <f t="shared" si="3"/>
        <v>Ativo</v>
      </c>
      <c r="X143" s="25" t="s">
        <v>318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931805.5</v>
      </c>
    </row>
    <row r="144" ht="15.75" customHeight="1">
      <c r="A144" s="44" t="s">
        <v>36</v>
      </c>
      <c r="B144" s="57" t="s">
        <v>576</v>
      </c>
      <c r="C144" s="46" t="s">
        <v>577</v>
      </c>
      <c r="D144" s="47" t="s">
        <v>18</v>
      </c>
      <c r="E144" s="24" t="s">
        <v>145</v>
      </c>
      <c r="F144" s="47" t="s">
        <v>146</v>
      </c>
      <c r="G144" s="47" t="str">
        <f t="shared" si="1"/>
        <v>Augusto</v>
      </c>
      <c r="H144" s="48" t="s">
        <v>88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162</v>
      </c>
      <c r="N144" s="60">
        <v>0.025</v>
      </c>
      <c r="O144" s="9" t="s">
        <v>163</v>
      </c>
      <c r="P144" s="61">
        <v>0.2</v>
      </c>
      <c r="Q144" s="65"/>
      <c r="R144" s="52"/>
      <c r="S144" s="62" t="s">
        <v>578</v>
      </c>
      <c r="T144" s="24" t="s">
        <v>89</v>
      </c>
      <c r="U144" s="25" t="s">
        <v>579</v>
      </c>
      <c r="V144" s="9" t="s">
        <v>149</v>
      </c>
      <c r="W144" s="53" t="str">
        <f t="shared" si="3"/>
        <v>Ativo</v>
      </c>
      <c r="X144" s="24"/>
      <c r="Y144" s="54" t="s">
        <v>91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100596.9</v>
      </c>
    </row>
    <row r="145" ht="15.75" customHeight="1">
      <c r="A145" s="44" t="s">
        <v>36</v>
      </c>
      <c r="B145" s="57" t="s">
        <v>576</v>
      </c>
      <c r="C145" s="46" t="s">
        <v>580</v>
      </c>
      <c r="D145" s="47" t="s">
        <v>18</v>
      </c>
      <c r="E145" s="24" t="s">
        <v>145</v>
      </c>
      <c r="F145" s="47" t="s">
        <v>146</v>
      </c>
      <c r="G145" s="47" t="str">
        <f t="shared" si="1"/>
        <v>Augusto</v>
      </c>
      <c r="H145" s="48" t="s">
        <v>88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60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581</v>
      </c>
      <c r="T145" s="24" t="s">
        <v>89</v>
      </c>
      <c r="U145" s="25" t="s">
        <v>579</v>
      </c>
      <c r="V145" s="9" t="s">
        <v>149</v>
      </c>
      <c r="W145" s="53" t="str">
        <f t="shared" si="3"/>
        <v>Ativo</v>
      </c>
      <c r="X145" s="24"/>
      <c r="Y145" s="54" t="s">
        <v>91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257976.7</v>
      </c>
    </row>
    <row r="146" ht="15.75" customHeight="1">
      <c r="A146" s="44" t="s">
        <v>36</v>
      </c>
      <c r="B146" s="63" t="s">
        <v>582</v>
      </c>
      <c r="C146" s="46" t="s">
        <v>583</v>
      </c>
      <c r="D146" s="47" t="s">
        <v>18</v>
      </c>
      <c r="E146" s="24" t="s">
        <v>145</v>
      </c>
      <c r="F146" s="47" t="s">
        <v>146</v>
      </c>
      <c r="G146" s="47" t="str">
        <f t="shared" si="1"/>
        <v>#N/A</v>
      </c>
      <c r="H146" s="48" t="s">
        <v>157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166</v>
      </c>
      <c r="N146" s="50">
        <v>0.008</v>
      </c>
      <c r="O146" s="47" t="s">
        <v>167</v>
      </c>
      <c r="P146" s="51">
        <v>0.1</v>
      </c>
      <c r="Q146" s="52"/>
      <c r="R146" s="52"/>
      <c r="S146" s="52"/>
      <c r="T146" s="24" t="s">
        <v>89</v>
      </c>
      <c r="U146" s="25" t="s">
        <v>584</v>
      </c>
      <c r="V146" s="9" t="s">
        <v>149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582</v>
      </c>
      <c r="C147" s="46" t="s">
        <v>585</v>
      </c>
      <c r="D147" s="47" t="s">
        <v>18</v>
      </c>
      <c r="E147" s="24" t="s">
        <v>145</v>
      </c>
      <c r="F147" s="47" t="s">
        <v>146</v>
      </c>
      <c r="G147" s="47" t="str">
        <f t="shared" si="1"/>
        <v>#N/A</v>
      </c>
      <c r="H147" s="48" t="s">
        <v>157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60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89</v>
      </c>
      <c r="U147" s="25" t="s">
        <v>584</v>
      </c>
      <c r="V147" s="9" t="s">
        <v>149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57" t="s">
        <v>586</v>
      </c>
      <c r="C148" s="46" t="s">
        <v>587</v>
      </c>
      <c r="D148" s="24" t="s">
        <v>18</v>
      </c>
      <c r="E148" s="24" t="s">
        <v>145</v>
      </c>
      <c r="F148" s="24" t="s">
        <v>146</v>
      </c>
      <c r="G148" s="47" t="str">
        <f t="shared" si="1"/>
        <v>Breno</v>
      </c>
      <c r="H148" s="126" t="s">
        <v>88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45</v>
      </c>
      <c r="N148" s="50">
        <v>0.012</v>
      </c>
      <c r="O148" s="47" t="s">
        <v>46</v>
      </c>
      <c r="P148" s="51">
        <v>0.1</v>
      </c>
      <c r="Q148" s="44"/>
      <c r="R148" s="47"/>
      <c r="S148" s="62" t="s">
        <v>588</v>
      </c>
      <c r="T148" s="24" t="s">
        <v>89</v>
      </c>
      <c r="U148" s="25" t="s">
        <v>584</v>
      </c>
      <c r="V148" s="9" t="s">
        <v>149</v>
      </c>
      <c r="W148" s="53" t="str">
        <f t="shared" si="3"/>
        <v>Ativo</v>
      </c>
      <c r="X148" s="56"/>
      <c r="Y148" s="55" t="s">
        <v>91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408767</v>
      </c>
    </row>
    <row r="149" ht="15.75" customHeight="1">
      <c r="A149" s="44" t="s">
        <v>36</v>
      </c>
      <c r="B149" s="45" t="s">
        <v>589</v>
      </c>
      <c r="C149" s="46" t="s">
        <v>590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88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54</v>
      </c>
      <c r="N149" s="50">
        <v>0.008</v>
      </c>
      <c r="O149" s="47" t="s">
        <v>24</v>
      </c>
      <c r="P149" s="51">
        <v>0.0</v>
      </c>
      <c r="Q149" s="62" t="s">
        <v>591</v>
      </c>
      <c r="R149" s="128"/>
      <c r="S149" s="62" t="s">
        <v>592</v>
      </c>
      <c r="T149" s="24" t="s">
        <v>329</v>
      </c>
      <c r="U149" s="25" t="s">
        <v>593</v>
      </c>
      <c r="V149" s="9" t="s">
        <v>19</v>
      </c>
      <c r="W149" s="53" t="str">
        <f t="shared" si="3"/>
        <v>Ativo</v>
      </c>
      <c r="X149" s="24"/>
      <c r="Y149" s="54" t="s">
        <v>95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540824.2</v>
      </c>
    </row>
    <row r="150" ht="15.75" customHeight="1">
      <c r="A150" s="44" t="s">
        <v>36</v>
      </c>
      <c r="B150" s="45" t="s">
        <v>594</v>
      </c>
      <c r="C150" s="46" t="s">
        <v>595</v>
      </c>
      <c r="D150" s="47" t="s">
        <v>86</v>
      </c>
      <c r="E150" s="24" t="s">
        <v>29</v>
      </c>
      <c r="F150" s="47" t="s">
        <v>87</v>
      </c>
      <c r="G150" s="47" t="str">
        <f t="shared" si="1"/>
        <v>Bruno</v>
      </c>
      <c r="H150" s="48" t="s">
        <v>88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111</v>
      </c>
      <c r="N150" s="50">
        <v>0.01</v>
      </c>
      <c r="O150" s="47" t="s">
        <v>46</v>
      </c>
      <c r="P150" s="51">
        <v>0.1</v>
      </c>
      <c r="Q150" s="62" t="s">
        <v>596</v>
      </c>
      <c r="R150" s="52"/>
      <c r="S150" s="52"/>
      <c r="T150" s="24" t="s">
        <v>89</v>
      </c>
      <c r="U150" s="25" t="s">
        <v>597</v>
      </c>
      <c r="V150" s="9" t="s">
        <v>29</v>
      </c>
      <c r="W150" s="53" t="str">
        <f t="shared" si="3"/>
        <v>Ativo</v>
      </c>
      <c r="X150" s="24"/>
      <c r="Y150" s="54" t="s">
        <v>91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1072643</v>
      </c>
    </row>
    <row r="151" ht="15.75" customHeight="1">
      <c r="A151" s="44" t="s">
        <v>36</v>
      </c>
      <c r="B151" s="66" t="s">
        <v>598</v>
      </c>
      <c r="C151" s="67" t="s">
        <v>599</v>
      </c>
      <c r="D151" s="9" t="s">
        <v>18</v>
      </c>
      <c r="E151" s="25" t="s">
        <v>29</v>
      </c>
      <c r="F151" s="9" t="s">
        <v>152</v>
      </c>
      <c r="G151" s="47" t="str">
        <f t="shared" si="1"/>
        <v>Augusto</v>
      </c>
      <c r="H151" s="53" t="s">
        <v>88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45</v>
      </c>
      <c r="N151" s="60">
        <v>0.012</v>
      </c>
      <c r="O151" s="9" t="s">
        <v>46</v>
      </c>
      <c r="P151" s="61">
        <v>0.1</v>
      </c>
      <c r="Q151" s="62"/>
      <c r="R151" s="52"/>
      <c r="S151" s="52"/>
      <c r="T151" s="25" t="s">
        <v>89</v>
      </c>
      <c r="U151" s="25" t="s">
        <v>600</v>
      </c>
      <c r="V151" s="9" t="s">
        <v>29</v>
      </c>
      <c r="W151" s="53" t="str">
        <f t="shared" si="3"/>
        <v>Ativo</v>
      </c>
      <c r="X151" s="25" t="s">
        <v>48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238275.4</v>
      </c>
    </row>
    <row r="152" ht="15.75" customHeight="1">
      <c r="A152" s="44" t="s">
        <v>36</v>
      </c>
      <c r="B152" s="129" t="s">
        <v>601</v>
      </c>
      <c r="C152" s="130" t="s">
        <v>602</v>
      </c>
      <c r="D152" s="47" t="s">
        <v>86</v>
      </c>
      <c r="E152" s="24" t="s">
        <v>29</v>
      </c>
      <c r="F152" s="47" t="s">
        <v>371</v>
      </c>
      <c r="G152" s="47" t="str">
        <f t="shared" si="1"/>
        <v>Breno</v>
      </c>
      <c r="H152" s="48" t="s">
        <v>88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60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89</v>
      </c>
      <c r="U152" s="25" t="s">
        <v>603</v>
      </c>
      <c r="V152" s="9" t="s">
        <v>29</v>
      </c>
      <c r="W152" s="53" t="str">
        <f t="shared" si="3"/>
        <v>Ativo</v>
      </c>
      <c r="X152" s="24"/>
      <c r="Y152" s="54" t="s">
        <v>91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855581</v>
      </c>
    </row>
    <row r="153" ht="15.75" customHeight="1">
      <c r="A153" s="44" t="s">
        <v>36</v>
      </c>
      <c r="B153" s="45" t="s">
        <v>604</v>
      </c>
      <c r="C153" s="46" t="s">
        <v>605</v>
      </c>
      <c r="D153" s="47" t="s">
        <v>18</v>
      </c>
      <c r="E153" s="24" t="s">
        <v>29</v>
      </c>
      <c r="F153" s="47" t="s">
        <v>137</v>
      </c>
      <c r="G153" s="47" t="str">
        <f t="shared" si="1"/>
        <v>Augusto</v>
      </c>
      <c r="H153" s="48" t="s">
        <v>88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60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89</v>
      </c>
      <c r="U153" s="25" t="s">
        <v>606</v>
      </c>
      <c r="V153" s="9" t="s">
        <v>29</v>
      </c>
      <c r="W153" s="53" t="str">
        <f t="shared" si="3"/>
        <v>Ativo</v>
      </c>
      <c r="X153" s="24"/>
      <c r="Y153" s="54" t="s">
        <v>95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299539.6</v>
      </c>
    </row>
    <row r="154" ht="15.75" customHeight="1">
      <c r="A154" s="44" t="s">
        <v>36</v>
      </c>
      <c r="B154" s="63" t="s">
        <v>607</v>
      </c>
      <c r="C154" s="46" t="s">
        <v>608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116</v>
      </c>
      <c r="I154" s="53" t="s">
        <v>609</v>
      </c>
      <c r="J154" s="47" t="str">
        <f t="shared" si="2"/>
        <v>Não</v>
      </c>
      <c r="K154" s="49">
        <v>45029.0</v>
      </c>
      <c r="L154" s="24"/>
      <c r="M154" s="24" t="s">
        <v>60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89</v>
      </c>
      <c r="U154" s="25" t="s">
        <v>610</v>
      </c>
      <c r="V154" s="9" t="s">
        <v>19</v>
      </c>
      <c r="W154" s="53" t="str">
        <f t="shared" si="3"/>
        <v>Ativo</v>
      </c>
      <c r="X154" s="24"/>
      <c r="Y154" s="54" t="s">
        <v>95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9920.78</v>
      </c>
    </row>
    <row r="155" ht="15.75" customHeight="1">
      <c r="A155" s="44" t="s">
        <v>36</v>
      </c>
      <c r="B155" s="57" t="s">
        <v>611</v>
      </c>
      <c r="C155" s="46" t="s">
        <v>612</v>
      </c>
      <c r="D155" s="47" t="s">
        <v>86</v>
      </c>
      <c r="E155" s="24" t="s">
        <v>29</v>
      </c>
      <c r="F155" s="47" t="s">
        <v>613</v>
      </c>
      <c r="G155" s="47" t="str">
        <f t="shared" si="1"/>
        <v>Augusto</v>
      </c>
      <c r="H155" s="48" t="s">
        <v>88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60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89</v>
      </c>
      <c r="U155" s="25" t="s">
        <v>614</v>
      </c>
      <c r="V155" s="9" t="s">
        <v>29</v>
      </c>
      <c r="W155" s="53" t="str">
        <f t="shared" si="3"/>
        <v>Ativo</v>
      </c>
      <c r="X155" s="24"/>
      <c r="Y155" s="54" t="s">
        <v>95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96639.88</v>
      </c>
    </row>
    <row r="156" ht="15.75" customHeight="1">
      <c r="A156" s="44" t="s">
        <v>36</v>
      </c>
      <c r="B156" s="45" t="s">
        <v>615</v>
      </c>
      <c r="C156" s="46" t="s">
        <v>616</v>
      </c>
      <c r="D156" s="47" t="s">
        <v>86</v>
      </c>
      <c r="E156" s="24" t="s">
        <v>29</v>
      </c>
      <c r="F156" s="47" t="s">
        <v>615</v>
      </c>
      <c r="G156" s="47" t="str">
        <f t="shared" si="1"/>
        <v>Augusto</v>
      </c>
      <c r="H156" s="48" t="s">
        <v>88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243</v>
      </c>
      <c r="N156" s="50">
        <v>0.02</v>
      </c>
      <c r="O156" s="47" t="s">
        <v>46</v>
      </c>
      <c r="P156" s="51">
        <v>0.2</v>
      </c>
      <c r="Q156" s="52"/>
      <c r="R156" s="52"/>
      <c r="S156" s="52"/>
      <c r="T156" s="24" t="s">
        <v>89</v>
      </c>
      <c r="U156" s="25" t="s">
        <v>617</v>
      </c>
      <c r="V156" s="9" t="s">
        <v>29</v>
      </c>
      <c r="W156" s="53" t="str">
        <f t="shared" si="3"/>
        <v>Ativo</v>
      </c>
      <c r="X156" s="24"/>
      <c r="Y156" s="54" t="s">
        <v>91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1123.24</v>
      </c>
    </row>
    <row r="157" ht="15.75" customHeight="1">
      <c r="A157" s="44" t="s">
        <v>36</v>
      </c>
      <c r="B157" s="45" t="s">
        <v>618</v>
      </c>
      <c r="C157" s="46" t="s">
        <v>619</v>
      </c>
      <c r="D157" s="47" t="s">
        <v>18</v>
      </c>
      <c r="E157" s="24" t="s">
        <v>29</v>
      </c>
      <c r="F157" s="47" t="s">
        <v>58</v>
      </c>
      <c r="G157" s="47" t="str">
        <f t="shared" si="1"/>
        <v>Augusto</v>
      </c>
      <c r="H157" s="48" t="s">
        <v>88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111</v>
      </c>
      <c r="N157" s="50">
        <v>0.015</v>
      </c>
      <c r="O157" s="47" t="s">
        <v>46</v>
      </c>
      <c r="P157" s="51">
        <v>0.1</v>
      </c>
      <c r="Q157" s="62"/>
      <c r="R157" s="52"/>
      <c r="S157" s="52"/>
      <c r="T157" s="24" t="s">
        <v>89</v>
      </c>
      <c r="U157" s="25" t="s">
        <v>620</v>
      </c>
      <c r="V157" s="9" t="s">
        <v>29</v>
      </c>
      <c r="W157" s="53" t="str">
        <f t="shared" si="3"/>
        <v>Ativo</v>
      </c>
      <c r="X157" s="24"/>
      <c r="Y157" s="54" t="s">
        <v>95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171880.4</v>
      </c>
    </row>
    <row r="158" ht="15.75" customHeight="1">
      <c r="A158" s="44" t="s">
        <v>36</v>
      </c>
      <c r="B158" s="45" t="s">
        <v>621</v>
      </c>
      <c r="C158" s="46" t="s">
        <v>622</v>
      </c>
      <c r="D158" s="47" t="s">
        <v>18</v>
      </c>
      <c r="E158" s="24" t="s">
        <v>29</v>
      </c>
      <c r="F158" s="47" t="s">
        <v>110</v>
      </c>
      <c r="G158" s="47" t="str">
        <f t="shared" si="1"/>
        <v>Augusto</v>
      </c>
      <c r="H158" s="48" t="s">
        <v>88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60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89</v>
      </c>
      <c r="U158" s="25" t="s">
        <v>623</v>
      </c>
      <c r="V158" s="9" t="s">
        <v>29</v>
      </c>
      <c r="W158" s="53" t="str">
        <f t="shared" si="3"/>
        <v>Ativo</v>
      </c>
      <c r="X158" s="24"/>
      <c r="Y158" s="54" t="s">
        <v>95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297504.4</v>
      </c>
    </row>
    <row r="159" ht="15.75" customHeight="1">
      <c r="A159" s="44" t="s">
        <v>36</v>
      </c>
      <c r="B159" s="45" t="s">
        <v>624</v>
      </c>
      <c r="C159" s="46" t="s">
        <v>625</v>
      </c>
      <c r="D159" s="47" t="s">
        <v>86</v>
      </c>
      <c r="E159" s="24" t="s">
        <v>29</v>
      </c>
      <c r="F159" s="47" t="s">
        <v>626</v>
      </c>
      <c r="G159" s="47" t="str">
        <f t="shared" si="1"/>
        <v>Breno</v>
      </c>
      <c r="H159" s="48" t="s">
        <v>88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60</v>
      </c>
      <c r="N159" s="50">
        <v>0.007</v>
      </c>
      <c r="O159" s="47" t="s">
        <v>24</v>
      </c>
      <c r="P159" s="51">
        <v>0.0</v>
      </c>
      <c r="Q159" s="62" t="s">
        <v>627</v>
      </c>
      <c r="R159" s="52"/>
      <c r="S159" s="52"/>
      <c r="T159" s="24" t="s">
        <v>89</v>
      </c>
      <c r="U159" s="25" t="s">
        <v>628</v>
      </c>
      <c r="V159" s="9" t="s">
        <v>29</v>
      </c>
      <c r="W159" s="53" t="str">
        <f t="shared" si="3"/>
        <v>Ativo</v>
      </c>
      <c r="X159" s="24"/>
      <c r="Y159" s="54" t="s">
        <v>95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825861.8</v>
      </c>
    </row>
    <row r="160" ht="15.75" customHeight="1">
      <c r="A160" s="44" t="s">
        <v>36</v>
      </c>
      <c r="B160" s="45" t="s">
        <v>624</v>
      </c>
      <c r="C160" s="46" t="s">
        <v>629</v>
      </c>
      <c r="D160" s="47" t="s">
        <v>86</v>
      </c>
      <c r="E160" s="24" t="s">
        <v>29</v>
      </c>
      <c r="F160" s="47" t="s">
        <v>626</v>
      </c>
      <c r="G160" s="47" t="str">
        <f t="shared" si="1"/>
        <v>Bruno</v>
      </c>
      <c r="H160" s="48" t="s">
        <v>88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60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630</v>
      </c>
      <c r="T160" s="24" t="s">
        <v>89</v>
      </c>
      <c r="U160" s="25" t="s">
        <v>628</v>
      </c>
      <c r="V160" s="9" t="s">
        <v>29</v>
      </c>
      <c r="W160" s="53" t="str">
        <f t="shared" si="3"/>
        <v>Ativo</v>
      </c>
      <c r="X160" s="24"/>
      <c r="Y160" s="54" t="s">
        <v>95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4010518</v>
      </c>
    </row>
    <row r="161" ht="15.75" customHeight="1">
      <c r="A161" s="44" t="s">
        <v>36</v>
      </c>
      <c r="B161" s="45" t="s">
        <v>631</v>
      </c>
      <c r="C161" s="46" t="s">
        <v>632</v>
      </c>
      <c r="D161" s="47" t="s">
        <v>18</v>
      </c>
      <c r="E161" s="24" t="s">
        <v>29</v>
      </c>
      <c r="F161" s="9" t="s">
        <v>633</v>
      </c>
      <c r="G161" s="47" t="str">
        <f t="shared" si="1"/>
        <v>Augusto</v>
      </c>
      <c r="H161" s="53" t="s">
        <v>88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60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89</v>
      </c>
      <c r="U161" s="25" t="s">
        <v>634</v>
      </c>
      <c r="V161" s="9" t="s">
        <v>635</v>
      </c>
      <c r="W161" s="53" t="str">
        <f t="shared" si="3"/>
        <v>Ativo</v>
      </c>
      <c r="X161" s="24"/>
      <c r="Y161" s="54" t="s">
        <v>95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42144.16</v>
      </c>
    </row>
    <row r="162" ht="15.75" customHeight="1">
      <c r="A162" s="44" t="s">
        <v>36</v>
      </c>
      <c r="B162" s="45" t="s">
        <v>636</v>
      </c>
      <c r="C162" s="46" t="s">
        <v>637</v>
      </c>
      <c r="D162" s="47" t="s">
        <v>18</v>
      </c>
      <c r="E162" s="24" t="s">
        <v>29</v>
      </c>
      <c r="F162" s="47" t="s">
        <v>137</v>
      </c>
      <c r="G162" s="47" t="str">
        <f t="shared" si="1"/>
        <v>#N/A</v>
      </c>
      <c r="H162" s="53" t="s">
        <v>116</v>
      </c>
      <c r="I162" s="48" t="s">
        <v>161</v>
      </c>
      <c r="J162" s="47" t="str">
        <f t="shared" si="2"/>
        <v>Não</v>
      </c>
      <c r="K162" s="49">
        <v>44888.0</v>
      </c>
      <c r="L162" s="24"/>
      <c r="M162" s="24" t="s">
        <v>60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89</v>
      </c>
      <c r="U162" s="25" t="s">
        <v>638</v>
      </c>
      <c r="V162" s="9" t="s">
        <v>29</v>
      </c>
      <c r="W162" s="53" t="str">
        <f t="shared" si="3"/>
        <v>Inativo</v>
      </c>
      <c r="X162" s="24"/>
      <c r="Y162" s="54" t="s">
        <v>95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36</v>
      </c>
      <c r="B163" s="45" t="s">
        <v>639</v>
      </c>
      <c r="C163" s="46" t="s">
        <v>640</v>
      </c>
      <c r="D163" s="47" t="s">
        <v>18</v>
      </c>
      <c r="E163" s="24" t="s">
        <v>29</v>
      </c>
      <c r="F163" s="47" t="s">
        <v>137</v>
      </c>
      <c r="G163" s="47" t="str">
        <f t="shared" si="1"/>
        <v>Augusto</v>
      </c>
      <c r="H163" s="53" t="s">
        <v>116</v>
      </c>
      <c r="I163" s="53" t="s">
        <v>161</v>
      </c>
      <c r="J163" s="47" t="str">
        <f t="shared" si="2"/>
        <v>Não</v>
      </c>
      <c r="K163" s="49">
        <v>44928.0</v>
      </c>
      <c r="L163" s="24"/>
      <c r="M163" s="24" t="s">
        <v>60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89</v>
      </c>
      <c r="U163" s="25" t="s">
        <v>638</v>
      </c>
      <c r="V163" s="9" t="s">
        <v>29</v>
      </c>
      <c r="W163" s="53" t="str">
        <f t="shared" si="3"/>
        <v>Ativo</v>
      </c>
      <c r="X163" s="24"/>
      <c r="Y163" s="54" t="s">
        <v>95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211.64</v>
      </c>
    </row>
    <row r="164" ht="15.75" customHeight="1">
      <c r="A164" s="44" t="s">
        <v>36</v>
      </c>
      <c r="B164" s="45" t="s">
        <v>641</v>
      </c>
      <c r="C164" s="46" t="s">
        <v>642</v>
      </c>
      <c r="D164" s="47" t="s">
        <v>18</v>
      </c>
      <c r="E164" s="24" t="s">
        <v>145</v>
      </c>
      <c r="F164" s="47" t="s">
        <v>146</v>
      </c>
      <c r="G164" s="47" t="str">
        <f t="shared" si="1"/>
        <v>Augusto</v>
      </c>
      <c r="H164" s="48" t="s">
        <v>88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60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89</v>
      </c>
      <c r="U164" s="25" t="s">
        <v>643</v>
      </c>
      <c r="V164" s="9" t="s">
        <v>149</v>
      </c>
      <c r="W164" s="53" t="str">
        <f t="shared" si="3"/>
        <v>Ativo</v>
      </c>
      <c r="X164" s="24"/>
      <c r="Y164" s="54" t="s">
        <v>95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62053.68</v>
      </c>
    </row>
    <row r="165" ht="15.75" customHeight="1">
      <c r="A165" s="44" t="s">
        <v>36</v>
      </c>
      <c r="B165" s="63" t="s">
        <v>644</v>
      </c>
      <c r="C165" s="46" t="s">
        <v>645</v>
      </c>
      <c r="D165" s="47" t="s">
        <v>18</v>
      </c>
      <c r="E165" s="24" t="s">
        <v>29</v>
      </c>
      <c r="F165" s="47" t="s">
        <v>633</v>
      </c>
      <c r="G165" s="47" t="str">
        <f t="shared" si="1"/>
        <v>Augusto</v>
      </c>
      <c r="H165" s="53" t="s">
        <v>88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111</v>
      </c>
      <c r="N165" s="50">
        <v>0.015</v>
      </c>
      <c r="O165" s="47" t="s">
        <v>46</v>
      </c>
      <c r="P165" s="51">
        <v>0.1</v>
      </c>
      <c r="Q165" s="52"/>
      <c r="R165" s="52"/>
      <c r="S165" s="52"/>
      <c r="T165" s="24" t="s">
        <v>89</v>
      </c>
      <c r="U165" s="25" t="s">
        <v>646</v>
      </c>
      <c r="V165" s="9" t="s">
        <v>29</v>
      </c>
      <c r="W165" s="53" t="str">
        <f t="shared" si="3"/>
        <v>Ativo</v>
      </c>
      <c r="X165" s="24"/>
      <c r="Y165" s="54" t="s">
        <v>95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28320.53</v>
      </c>
    </row>
    <row r="166" ht="15.75" customHeight="1">
      <c r="A166" s="44" t="s">
        <v>36</v>
      </c>
      <c r="B166" s="96" t="s">
        <v>647</v>
      </c>
      <c r="C166" s="73" t="s">
        <v>648</v>
      </c>
      <c r="D166" s="47" t="s">
        <v>18</v>
      </c>
      <c r="E166" s="24" t="s">
        <v>145</v>
      </c>
      <c r="F166" s="47" t="s">
        <v>171</v>
      </c>
      <c r="G166" s="47" t="str">
        <f t="shared" si="1"/>
        <v>#N/A</v>
      </c>
      <c r="H166" s="53" t="s">
        <v>116</v>
      </c>
      <c r="I166" s="48" t="s">
        <v>161</v>
      </c>
      <c r="J166" s="47" t="str">
        <f t="shared" si="2"/>
        <v>Não</v>
      </c>
      <c r="K166" s="49">
        <v>45233.0</v>
      </c>
      <c r="L166" s="64"/>
      <c r="M166" s="24" t="s">
        <v>45</v>
      </c>
      <c r="N166" s="50">
        <v>0.012</v>
      </c>
      <c r="O166" s="47" t="s">
        <v>46</v>
      </c>
      <c r="P166" s="51">
        <v>0.1</v>
      </c>
      <c r="Q166" s="52"/>
      <c r="R166" s="52"/>
      <c r="S166" s="52"/>
      <c r="T166" s="24" t="s">
        <v>89</v>
      </c>
      <c r="U166" s="25" t="s">
        <v>649</v>
      </c>
      <c r="V166" s="9" t="s">
        <v>149</v>
      </c>
      <c r="W166" s="53" t="str">
        <f t="shared" si="3"/>
        <v>Ativo</v>
      </c>
      <c r="X166" s="24"/>
      <c r="Y166" s="54" t="s">
        <v>91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650</v>
      </c>
      <c r="C167" s="46" t="s">
        <v>651</v>
      </c>
      <c r="D167" s="47" t="s">
        <v>86</v>
      </c>
      <c r="E167" s="24" t="s">
        <v>29</v>
      </c>
      <c r="F167" s="47" t="s">
        <v>87</v>
      </c>
      <c r="G167" s="47" t="str">
        <f t="shared" si="1"/>
        <v>Augusto</v>
      </c>
      <c r="H167" s="48" t="s">
        <v>88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652</v>
      </c>
      <c r="N167" s="50">
        <v>0.014</v>
      </c>
      <c r="O167" s="47" t="s">
        <v>46</v>
      </c>
      <c r="P167" s="51">
        <v>0.2</v>
      </c>
      <c r="Q167" s="62" t="s">
        <v>653</v>
      </c>
      <c r="R167" s="52"/>
      <c r="S167" s="52"/>
      <c r="T167" s="24" t="s">
        <v>89</v>
      </c>
      <c r="U167" s="25" t="s">
        <v>654</v>
      </c>
      <c r="V167" s="9" t="s">
        <v>29</v>
      </c>
      <c r="W167" s="53" t="str">
        <f t="shared" si="3"/>
        <v>Ativo</v>
      </c>
      <c r="X167" s="24"/>
      <c r="Y167" s="54" t="s">
        <v>91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209734.8</v>
      </c>
    </row>
    <row r="168" ht="15.75" customHeight="1">
      <c r="A168" s="44" t="s">
        <v>36</v>
      </c>
      <c r="B168" s="123" t="s">
        <v>655</v>
      </c>
      <c r="C168" s="73" t="s">
        <v>656</v>
      </c>
      <c r="D168" s="47" t="s">
        <v>18</v>
      </c>
      <c r="E168" s="24" t="s">
        <v>19</v>
      </c>
      <c r="F168" s="47" t="s">
        <v>201</v>
      </c>
      <c r="G168" s="47" t="str">
        <f t="shared" si="1"/>
        <v>Augusto</v>
      </c>
      <c r="H168" s="48" t="s">
        <v>88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60</v>
      </c>
      <c r="N168" s="50">
        <v>0.012</v>
      </c>
      <c r="O168" s="47" t="s">
        <v>24</v>
      </c>
      <c r="P168" s="51">
        <v>0.0</v>
      </c>
      <c r="Q168" s="15" t="s">
        <v>657</v>
      </c>
      <c r="R168" s="52"/>
      <c r="S168" s="52"/>
      <c r="T168" s="24" t="s">
        <v>89</v>
      </c>
      <c r="U168" s="25" t="s">
        <v>658</v>
      </c>
      <c r="V168" s="9" t="s">
        <v>19</v>
      </c>
      <c r="W168" s="53" t="str">
        <f t="shared" si="3"/>
        <v>Ativo</v>
      </c>
      <c r="X168" s="24"/>
      <c r="Y168" s="54" t="s">
        <v>95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178169.1</v>
      </c>
    </row>
    <row r="169" ht="15.75" customHeight="1">
      <c r="A169" s="44" t="s">
        <v>36</v>
      </c>
      <c r="B169" s="63" t="s">
        <v>659</v>
      </c>
      <c r="C169" s="46" t="s">
        <v>660</v>
      </c>
      <c r="D169" s="47" t="s">
        <v>86</v>
      </c>
      <c r="E169" s="24" t="s">
        <v>29</v>
      </c>
      <c r="F169" s="47" t="s">
        <v>183</v>
      </c>
      <c r="G169" s="47" t="str">
        <f t="shared" si="1"/>
        <v>Augusto</v>
      </c>
      <c r="H169" s="48" t="s">
        <v>88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60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89</v>
      </c>
      <c r="U169" s="25" t="s">
        <v>661</v>
      </c>
      <c r="V169" s="9" t="s">
        <v>29</v>
      </c>
      <c r="W169" s="53" t="str">
        <f t="shared" si="3"/>
        <v>Ativo</v>
      </c>
      <c r="X169" s="24"/>
      <c r="Y169" s="54" t="s">
        <v>91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358239.8</v>
      </c>
    </row>
    <row r="170" ht="15.75" customHeight="1">
      <c r="A170" s="44" t="s">
        <v>36</v>
      </c>
      <c r="B170" s="45" t="s">
        <v>662</v>
      </c>
      <c r="C170" s="46" t="s">
        <v>663</v>
      </c>
      <c r="D170" s="47" t="s">
        <v>18</v>
      </c>
      <c r="E170" s="24" t="s">
        <v>19</v>
      </c>
      <c r="F170" s="47" t="s">
        <v>201</v>
      </c>
      <c r="G170" s="47" t="str">
        <f t="shared" si="1"/>
        <v>Breno</v>
      </c>
      <c r="H170" s="48" t="s">
        <v>88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60</v>
      </c>
      <c r="N170" s="50">
        <v>0.012</v>
      </c>
      <c r="O170" s="47" t="s">
        <v>24</v>
      </c>
      <c r="P170" s="51">
        <v>0.0</v>
      </c>
      <c r="Q170" s="62" t="s">
        <v>664</v>
      </c>
      <c r="R170" s="52"/>
      <c r="S170" s="52"/>
      <c r="T170" s="24" t="s">
        <v>89</v>
      </c>
      <c r="U170" s="25" t="s">
        <v>665</v>
      </c>
      <c r="V170" s="9" t="s">
        <v>19</v>
      </c>
      <c r="W170" s="53" t="str">
        <f t="shared" si="3"/>
        <v>Ativo</v>
      </c>
      <c r="X170" s="24"/>
      <c r="Y170" s="54" t="s">
        <v>95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975416.6</v>
      </c>
    </row>
    <row r="171" ht="15.75" customHeight="1">
      <c r="A171" s="6" t="s">
        <v>36</v>
      </c>
      <c r="B171" s="57" t="s">
        <v>666</v>
      </c>
      <c r="C171" s="58" t="s">
        <v>667</v>
      </c>
      <c r="D171" s="9" t="s">
        <v>86</v>
      </c>
      <c r="E171" s="25" t="s">
        <v>29</v>
      </c>
      <c r="F171" s="9" t="s">
        <v>87</v>
      </c>
      <c r="G171" s="47" t="str">
        <f t="shared" si="1"/>
        <v>Augusto</v>
      </c>
      <c r="H171" s="53" t="s">
        <v>88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60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89</v>
      </c>
      <c r="U171" s="25" t="s">
        <v>668</v>
      </c>
      <c r="V171" s="9" t="s">
        <v>29</v>
      </c>
      <c r="W171" s="53" t="str">
        <f t="shared" si="3"/>
        <v>Ativo</v>
      </c>
      <c r="X171" s="24"/>
      <c r="Y171" s="54" t="s">
        <v>95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69131.39</v>
      </c>
    </row>
    <row r="172" ht="15.75" customHeight="1">
      <c r="A172" s="44" t="s">
        <v>36</v>
      </c>
      <c r="B172" s="45" t="s">
        <v>669</v>
      </c>
      <c r="C172" s="46" t="s">
        <v>670</v>
      </c>
      <c r="D172" s="47" t="s">
        <v>18</v>
      </c>
      <c r="E172" s="24" t="s">
        <v>145</v>
      </c>
      <c r="F172" s="47" t="s">
        <v>146</v>
      </c>
      <c r="G172" s="47" t="str">
        <f t="shared" si="1"/>
        <v>Augusto</v>
      </c>
      <c r="H172" s="48" t="s">
        <v>88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60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89</v>
      </c>
      <c r="U172" s="25" t="s">
        <v>671</v>
      </c>
      <c r="V172" s="9" t="s">
        <v>149</v>
      </c>
      <c r="W172" s="53" t="str">
        <f t="shared" si="3"/>
        <v>Ativo</v>
      </c>
      <c r="X172" s="24"/>
      <c r="Y172" s="54" t="s">
        <v>91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288516.2</v>
      </c>
    </row>
    <row r="173" ht="15.75" customHeight="1">
      <c r="A173" s="44" t="s">
        <v>36</v>
      </c>
      <c r="B173" s="66" t="s">
        <v>672</v>
      </c>
      <c r="C173" s="67" t="s">
        <v>673</v>
      </c>
      <c r="D173" s="47" t="s">
        <v>18</v>
      </c>
      <c r="E173" s="24" t="s">
        <v>29</v>
      </c>
      <c r="F173" s="47" t="s">
        <v>44</v>
      </c>
      <c r="G173" s="47" t="str">
        <f t="shared" si="1"/>
        <v>Breno</v>
      </c>
      <c r="H173" s="53" t="s">
        <v>88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60</v>
      </c>
      <c r="N173" s="60">
        <v>0.01</v>
      </c>
      <c r="O173" s="9" t="s">
        <v>24</v>
      </c>
      <c r="P173" s="61">
        <v>0.0</v>
      </c>
      <c r="Q173" s="15" t="s">
        <v>674</v>
      </c>
      <c r="R173" s="52"/>
      <c r="S173" s="52"/>
      <c r="T173" s="25" t="s">
        <v>89</v>
      </c>
      <c r="U173" s="5" t="s">
        <v>675</v>
      </c>
      <c r="V173" s="9" t="s">
        <v>29</v>
      </c>
      <c r="W173" s="53" t="str">
        <f t="shared" si="3"/>
        <v>Ativo</v>
      </c>
      <c r="X173" s="25" t="s">
        <v>48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556144</v>
      </c>
    </row>
    <row r="174" ht="15.75" customHeight="1">
      <c r="A174" s="44" t="s">
        <v>36</v>
      </c>
      <c r="B174" s="45" t="s">
        <v>676</v>
      </c>
      <c r="C174" s="46" t="s">
        <v>677</v>
      </c>
      <c r="D174" s="47" t="s">
        <v>18</v>
      </c>
      <c r="E174" s="24" t="s">
        <v>29</v>
      </c>
      <c r="F174" s="47" t="s">
        <v>44</v>
      </c>
      <c r="G174" s="47" t="str">
        <f t="shared" si="1"/>
        <v>Augusto</v>
      </c>
      <c r="H174" s="48" t="s">
        <v>88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60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89</v>
      </c>
      <c r="U174" s="25" t="s">
        <v>50</v>
      </c>
      <c r="V174" s="9" t="s">
        <v>29</v>
      </c>
      <c r="W174" s="53" t="str">
        <f t="shared" si="3"/>
        <v>Ativo</v>
      </c>
      <c r="X174" s="24"/>
      <c r="Y174" s="54" t="s">
        <v>95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100318.6</v>
      </c>
    </row>
    <row r="175" ht="15.75" customHeight="1">
      <c r="A175" s="44" t="s">
        <v>36</v>
      </c>
      <c r="B175" s="45" t="s">
        <v>678</v>
      </c>
      <c r="C175" s="46" t="s">
        <v>679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88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60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89</v>
      </c>
      <c r="U175" s="25" t="s">
        <v>680</v>
      </c>
      <c r="V175" s="9" t="s">
        <v>19</v>
      </c>
      <c r="W175" s="53" t="str">
        <f t="shared" si="3"/>
        <v>Ativo</v>
      </c>
      <c r="X175" s="24"/>
      <c r="Y175" s="54" t="s">
        <v>95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12148.23</v>
      </c>
    </row>
    <row r="176" ht="15.75" customHeight="1">
      <c r="A176" s="44" t="s">
        <v>36</v>
      </c>
      <c r="B176" s="45" t="s">
        <v>681</v>
      </c>
      <c r="C176" s="46" t="s">
        <v>682</v>
      </c>
      <c r="D176" s="47" t="s">
        <v>18</v>
      </c>
      <c r="E176" s="24" t="s">
        <v>145</v>
      </c>
      <c r="F176" s="47" t="s">
        <v>146</v>
      </c>
      <c r="G176" s="47" t="str">
        <f t="shared" si="1"/>
        <v>Breno</v>
      </c>
      <c r="H176" s="48" t="s">
        <v>88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60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89</v>
      </c>
      <c r="U176" s="25" t="s">
        <v>683</v>
      </c>
      <c r="V176" s="9" t="s">
        <v>149</v>
      </c>
      <c r="W176" s="53" t="str">
        <f t="shared" si="3"/>
        <v>Ativo</v>
      </c>
      <c r="X176" s="24"/>
      <c r="Y176" s="54" t="s">
        <v>91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531339.2</v>
      </c>
    </row>
    <row r="177" ht="15.75" customHeight="1">
      <c r="A177" s="44" t="s">
        <v>36</v>
      </c>
      <c r="B177" s="45" t="s">
        <v>681</v>
      </c>
      <c r="C177" s="46" t="s">
        <v>684</v>
      </c>
      <c r="D177" s="47" t="s">
        <v>18</v>
      </c>
      <c r="E177" s="24" t="s">
        <v>145</v>
      </c>
      <c r="F177" s="47" t="s">
        <v>146</v>
      </c>
      <c r="G177" s="47" t="str">
        <f t="shared" si="1"/>
        <v>Augusto</v>
      </c>
      <c r="H177" s="48" t="s">
        <v>88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162</v>
      </c>
      <c r="N177" s="50">
        <v>0.025</v>
      </c>
      <c r="O177" s="47" t="s">
        <v>163</v>
      </c>
      <c r="P177" s="51">
        <v>0.2</v>
      </c>
      <c r="Q177" s="52"/>
      <c r="R177" s="52"/>
      <c r="S177" s="52"/>
      <c r="T177" s="24" t="s">
        <v>89</v>
      </c>
      <c r="U177" s="25" t="s">
        <v>683</v>
      </c>
      <c r="V177" s="9" t="s">
        <v>149</v>
      </c>
      <c r="W177" s="53" t="str">
        <f t="shared" si="3"/>
        <v>Ativo</v>
      </c>
      <c r="X177" s="24"/>
      <c r="Y177" s="54" t="s">
        <v>91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132453.5</v>
      </c>
    </row>
    <row r="178" ht="15.75" customHeight="1">
      <c r="A178" s="44" t="s">
        <v>36</v>
      </c>
      <c r="B178" s="45" t="s">
        <v>685</v>
      </c>
      <c r="C178" s="46" t="s">
        <v>686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116</v>
      </c>
      <c r="I178" s="48" t="s">
        <v>161</v>
      </c>
      <c r="J178" s="47" t="str">
        <f t="shared" si="2"/>
        <v>Não</v>
      </c>
      <c r="K178" s="49">
        <v>44974.0</v>
      </c>
      <c r="L178" s="24"/>
      <c r="M178" s="24" t="s">
        <v>60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89</v>
      </c>
      <c r="U178" s="25" t="s">
        <v>687</v>
      </c>
      <c r="V178" s="9" t="s">
        <v>19</v>
      </c>
      <c r="W178" s="53" t="str">
        <f t="shared" si="3"/>
        <v>Ativo</v>
      </c>
      <c r="X178" s="24"/>
      <c r="Y178" s="54" t="s">
        <v>95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36</v>
      </c>
      <c r="B179" s="45" t="s">
        <v>688</v>
      </c>
      <c r="C179" s="46" t="s">
        <v>689</v>
      </c>
      <c r="D179" s="47" t="s">
        <v>18</v>
      </c>
      <c r="E179" s="24" t="s">
        <v>29</v>
      </c>
      <c r="F179" s="47" t="s">
        <v>98</v>
      </c>
      <c r="G179" s="47" t="str">
        <f t="shared" si="1"/>
        <v>#N/A</v>
      </c>
      <c r="H179" s="48" t="s">
        <v>88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99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329</v>
      </c>
      <c r="U179" s="25" t="s">
        <v>690</v>
      </c>
      <c r="V179" s="9" t="s">
        <v>29</v>
      </c>
      <c r="W179" s="53" t="str">
        <f t="shared" si="3"/>
        <v>Ativo</v>
      </c>
      <c r="X179" s="24"/>
      <c r="Y179" s="54" t="s">
        <v>95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691</v>
      </c>
      <c r="C180" s="46" t="s">
        <v>692</v>
      </c>
      <c r="D180" s="47" t="s">
        <v>18</v>
      </c>
      <c r="E180" s="24" t="s">
        <v>145</v>
      </c>
      <c r="F180" s="47" t="s">
        <v>146</v>
      </c>
      <c r="G180" s="47" t="str">
        <f t="shared" si="1"/>
        <v>Breno</v>
      </c>
      <c r="H180" s="48" t="s">
        <v>88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162</v>
      </c>
      <c r="N180" s="50">
        <v>0.025</v>
      </c>
      <c r="O180" s="47" t="s">
        <v>163</v>
      </c>
      <c r="P180" s="51">
        <v>0.2</v>
      </c>
      <c r="Q180" s="52"/>
      <c r="R180" s="52"/>
      <c r="S180" s="52"/>
      <c r="T180" s="24" t="s">
        <v>89</v>
      </c>
      <c r="U180" s="25" t="s">
        <v>693</v>
      </c>
      <c r="V180" s="9" t="s">
        <v>149</v>
      </c>
      <c r="W180" s="53" t="str">
        <f t="shared" si="3"/>
        <v>Ativo</v>
      </c>
      <c r="X180" s="24"/>
      <c r="Y180" s="54" t="s">
        <v>91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450146.9</v>
      </c>
    </row>
    <row r="181" ht="15.75" customHeight="1">
      <c r="A181" s="44" t="s">
        <v>36</v>
      </c>
      <c r="B181" s="63" t="s">
        <v>691</v>
      </c>
      <c r="C181" s="46" t="s">
        <v>694</v>
      </c>
      <c r="D181" s="47" t="s">
        <v>18</v>
      </c>
      <c r="E181" s="24" t="s">
        <v>145</v>
      </c>
      <c r="F181" s="47" t="s">
        <v>146</v>
      </c>
      <c r="G181" s="47" t="str">
        <f t="shared" si="1"/>
        <v>Bruno</v>
      </c>
      <c r="H181" s="48" t="s">
        <v>88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60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89</v>
      </c>
      <c r="U181" s="25" t="s">
        <v>693</v>
      </c>
      <c r="V181" s="9" t="s">
        <v>149</v>
      </c>
      <c r="W181" s="53" t="str">
        <f t="shared" si="3"/>
        <v>Ativo</v>
      </c>
      <c r="X181" s="24"/>
      <c r="Y181" s="54" t="s">
        <v>91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4174461</v>
      </c>
    </row>
    <row r="182" ht="15.75" customHeight="1">
      <c r="A182" s="6" t="s">
        <v>36</v>
      </c>
      <c r="B182" s="111" t="s">
        <v>695</v>
      </c>
      <c r="C182" s="112" t="s">
        <v>696</v>
      </c>
      <c r="D182" s="9" t="s">
        <v>18</v>
      </c>
      <c r="E182" s="25" t="s">
        <v>145</v>
      </c>
      <c r="F182" s="9" t="s">
        <v>171</v>
      </c>
      <c r="G182" s="47" t="str">
        <f t="shared" si="1"/>
        <v>#N/A</v>
      </c>
      <c r="H182" s="53" t="s">
        <v>116</v>
      </c>
      <c r="I182" s="53" t="s">
        <v>161</v>
      </c>
      <c r="J182" s="47" t="str">
        <f t="shared" si="2"/>
        <v>Não</v>
      </c>
      <c r="K182" s="59">
        <v>45364.0</v>
      </c>
      <c r="L182" s="24"/>
      <c r="M182" s="25" t="s">
        <v>60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89</v>
      </c>
      <c r="U182" s="5" t="s">
        <v>697</v>
      </c>
      <c r="V182" s="9" t="s">
        <v>149</v>
      </c>
      <c r="W182" s="53" t="str">
        <f t="shared" si="3"/>
        <v>Ativo</v>
      </c>
      <c r="X182" s="24"/>
      <c r="Y182" s="54" t="s">
        <v>95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36</v>
      </c>
      <c r="B183" s="45" t="s">
        <v>698</v>
      </c>
      <c r="C183" s="46" t="s">
        <v>699</v>
      </c>
      <c r="D183" s="47" t="s">
        <v>18</v>
      </c>
      <c r="E183" s="24" t="s">
        <v>29</v>
      </c>
      <c r="F183" s="47" t="s">
        <v>110</v>
      </c>
      <c r="G183" s="47" t="str">
        <f t="shared" si="1"/>
        <v>Augusto</v>
      </c>
      <c r="H183" s="48" t="s">
        <v>88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111</v>
      </c>
      <c r="N183" s="50">
        <v>0.012</v>
      </c>
      <c r="O183" s="47" t="s">
        <v>24</v>
      </c>
      <c r="P183" s="51">
        <v>0.0</v>
      </c>
      <c r="Q183" s="132" t="s">
        <v>700</v>
      </c>
      <c r="R183" s="106"/>
      <c r="S183" s="106"/>
      <c r="T183" s="24" t="s">
        <v>89</v>
      </c>
      <c r="U183" s="25" t="s">
        <v>701</v>
      </c>
      <c r="V183" s="9" t="s">
        <v>29</v>
      </c>
      <c r="W183" s="53" t="str">
        <f t="shared" si="3"/>
        <v>Ativo</v>
      </c>
      <c r="X183" s="24"/>
      <c r="Y183" s="54" t="s">
        <v>95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208004.6</v>
      </c>
    </row>
    <row r="184" ht="15.75" customHeight="1">
      <c r="A184" s="44" t="s">
        <v>36</v>
      </c>
      <c r="B184" s="45" t="s">
        <v>702</v>
      </c>
      <c r="C184" s="46" t="s">
        <v>703</v>
      </c>
      <c r="D184" s="47" t="s">
        <v>18</v>
      </c>
      <c r="E184" s="24" t="s">
        <v>145</v>
      </c>
      <c r="F184" s="47" t="s">
        <v>146</v>
      </c>
      <c r="G184" s="47" t="str">
        <f t="shared" si="1"/>
        <v>#N/A</v>
      </c>
      <c r="H184" s="48" t="s">
        <v>157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704</v>
      </c>
      <c r="N184" s="50">
        <v>0.02</v>
      </c>
      <c r="O184" s="47" t="s">
        <v>163</v>
      </c>
      <c r="P184" s="51">
        <v>0.2</v>
      </c>
      <c r="Q184" s="75"/>
      <c r="R184" s="75"/>
      <c r="S184" s="52"/>
      <c r="T184" s="24" t="s">
        <v>89</v>
      </c>
      <c r="U184" s="25" t="s">
        <v>705</v>
      </c>
      <c r="V184" s="9" t="s">
        <v>149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36</v>
      </c>
      <c r="B185" s="63" t="s">
        <v>702</v>
      </c>
      <c r="C185" s="46" t="s">
        <v>706</v>
      </c>
      <c r="D185" s="47" t="s">
        <v>18</v>
      </c>
      <c r="E185" s="24" t="s">
        <v>145</v>
      </c>
      <c r="F185" s="47" t="s">
        <v>146</v>
      </c>
      <c r="G185" s="47" t="str">
        <f t="shared" si="1"/>
        <v>#N/A</v>
      </c>
      <c r="H185" s="48" t="s">
        <v>157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60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89</v>
      </c>
      <c r="U185" s="25" t="s">
        <v>705</v>
      </c>
      <c r="V185" s="9" t="s">
        <v>149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45" t="s">
        <v>707</v>
      </c>
      <c r="C186" s="77" t="s">
        <v>708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116</v>
      </c>
      <c r="I186" s="53" t="s">
        <v>130</v>
      </c>
      <c r="J186" s="47" t="str">
        <f t="shared" si="2"/>
        <v>Não</v>
      </c>
      <c r="K186" s="49">
        <v>45026.0</v>
      </c>
      <c r="L186" s="64"/>
      <c r="M186" s="24" t="s">
        <v>709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89</v>
      </c>
      <c r="U186" s="25" t="s">
        <v>710</v>
      </c>
      <c r="V186" s="9" t="s">
        <v>19</v>
      </c>
      <c r="W186" s="53" t="str">
        <f t="shared" si="3"/>
        <v>Ativo</v>
      </c>
      <c r="X186" s="24"/>
      <c r="Y186" s="54" t="s">
        <v>95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711</v>
      </c>
      <c r="C187" s="46" t="s">
        <v>712</v>
      </c>
      <c r="D187" s="47" t="s">
        <v>86</v>
      </c>
      <c r="E187" s="24" t="s">
        <v>29</v>
      </c>
      <c r="F187" s="47" t="s">
        <v>87</v>
      </c>
      <c r="G187" s="47" t="str">
        <f t="shared" si="1"/>
        <v>Bruno</v>
      </c>
      <c r="H187" s="48" t="s">
        <v>88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713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89</v>
      </c>
      <c r="U187" s="25" t="s">
        <v>714</v>
      </c>
      <c r="V187" s="9" t="s">
        <v>715</v>
      </c>
      <c r="W187" s="53" t="str">
        <f t="shared" si="3"/>
        <v>Ativo</v>
      </c>
      <c r="X187" s="24"/>
      <c r="Y187" s="54" t="s">
        <v>91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4419963</v>
      </c>
    </row>
    <row r="188" ht="15.75" customHeight="1">
      <c r="A188" s="44" t="s">
        <v>36</v>
      </c>
      <c r="B188" s="45" t="s">
        <v>716</v>
      </c>
      <c r="C188" s="133" t="s">
        <v>717</v>
      </c>
      <c r="D188" s="47" t="s">
        <v>18</v>
      </c>
      <c r="E188" s="24" t="s">
        <v>19</v>
      </c>
      <c r="F188" s="47" t="s">
        <v>348</v>
      </c>
      <c r="G188" s="47" t="str">
        <f t="shared" si="1"/>
        <v>Augusto</v>
      </c>
      <c r="H188" s="53" t="s">
        <v>88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54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329</v>
      </c>
      <c r="U188" s="25" t="s">
        <v>718</v>
      </c>
      <c r="V188" s="9" t="s">
        <v>195</v>
      </c>
      <c r="W188" s="53" t="str">
        <f t="shared" si="3"/>
        <v>Ativo</v>
      </c>
      <c r="X188" s="24"/>
      <c r="Y188" s="54" t="s">
        <v>95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50489.84</v>
      </c>
    </row>
    <row r="189" ht="15.75" customHeight="1">
      <c r="A189" s="44" t="s">
        <v>36</v>
      </c>
      <c r="B189" s="45" t="s">
        <v>719</v>
      </c>
      <c r="C189" s="46" t="s">
        <v>720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88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60</v>
      </c>
      <c r="N189" s="50">
        <v>0.012</v>
      </c>
      <c r="O189" s="47" t="s">
        <v>24</v>
      </c>
      <c r="P189" s="51">
        <v>0.0</v>
      </c>
      <c r="Q189" s="52"/>
      <c r="R189" s="62" t="s">
        <v>721</v>
      </c>
      <c r="S189" s="52"/>
      <c r="T189" s="24" t="s">
        <v>329</v>
      </c>
      <c r="U189" s="25" t="s">
        <v>722</v>
      </c>
      <c r="V189" s="9" t="s">
        <v>19</v>
      </c>
      <c r="W189" s="53" t="str">
        <f t="shared" si="3"/>
        <v>Ativo</v>
      </c>
      <c r="X189" s="24"/>
      <c r="Y189" s="54" t="s">
        <v>95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338913.8</v>
      </c>
    </row>
    <row r="190" ht="15.75" customHeight="1">
      <c r="A190" s="44" t="s">
        <v>36</v>
      </c>
      <c r="B190" s="45" t="s">
        <v>723</v>
      </c>
      <c r="C190" s="46" t="s">
        <v>724</v>
      </c>
      <c r="D190" s="47" t="s">
        <v>18</v>
      </c>
      <c r="E190" s="24" t="s">
        <v>19</v>
      </c>
      <c r="F190" s="47" t="s">
        <v>52</v>
      </c>
      <c r="G190" s="47" t="str">
        <f t="shared" si="1"/>
        <v>Breno</v>
      </c>
      <c r="H190" s="48" t="s">
        <v>88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60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89</v>
      </c>
      <c r="U190" s="25" t="s">
        <v>725</v>
      </c>
      <c r="V190" s="9" t="s">
        <v>19</v>
      </c>
      <c r="W190" s="53" t="str">
        <f t="shared" si="3"/>
        <v>Ativo</v>
      </c>
      <c r="X190" s="24"/>
      <c r="Y190" s="54" t="s">
        <v>95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501702.9</v>
      </c>
    </row>
    <row r="191" ht="15.75" customHeight="1">
      <c r="A191" s="44" t="s">
        <v>36</v>
      </c>
      <c r="B191" s="45" t="s">
        <v>726</v>
      </c>
      <c r="C191" s="46" t="s">
        <v>727</v>
      </c>
      <c r="D191" s="47" t="s">
        <v>18</v>
      </c>
      <c r="E191" s="24" t="s">
        <v>29</v>
      </c>
      <c r="F191" s="47" t="s">
        <v>137</v>
      </c>
      <c r="G191" s="47" t="str">
        <f t="shared" si="1"/>
        <v>Breno</v>
      </c>
      <c r="H191" s="48" t="s">
        <v>88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162</v>
      </c>
      <c r="N191" s="50">
        <v>0.025</v>
      </c>
      <c r="O191" s="47" t="s">
        <v>163</v>
      </c>
      <c r="P191" s="51">
        <v>0.2</v>
      </c>
      <c r="Q191" s="52"/>
      <c r="R191" s="52"/>
      <c r="S191" s="52"/>
      <c r="T191" s="24" t="s">
        <v>89</v>
      </c>
      <c r="U191" s="25" t="s">
        <v>728</v>
      </c>
      <c r="V191" s="9" t="s">
        <v>29</v>
      </c>
      <c r="W191" s="53" t="str">
        <f t="shared" si="3"/>
        <v>Ativo</v>
      </c>
      <c r="X191" s="24"/>
      <c r="Y191" s="54" t="s">
        <v>91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611332.4</v>
      </c>
    </row>
    <row r="192" ht="15.75" customHeight="1">
      <c r="A192" s="44" t="s">
        <v>36</v>
      </c>
      <c r="B192" s="45" t="s">
        <v>726</v>
      </c>
      <c r="C192" s="46" t="s">
        <v>729</v>
      </c>
      <c r="D192" s="47" t="s">
        <v>18</v>
      </c>
      <c r="E192" s="24" t="s">
        <v>29</v>
      </c>
      <c r="F192" s="47" t="s">
        <v>137</v>
      </c>
      <c r="G192" s="47" t="str">
        <f t="shared" si="1"/>
        <v>Bruno</v>
      </c>
      <c r="H192" s="48" t="s">
        <v>88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60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89</v>
      </c>
      <c r="U192" s="25" t="s">
        <v>728</v>
      </c>
      <c r="V192" s="9" t="s">
        <v>29</v>
      </c>
      <c r="W192" s="53" t="str">
        <f t="shared" si="3"/>
        <v>Ativo</v>
      </c>
      <c r="X192" s="24"/>
      <c r="Y192" s="54" t="s">
        <v>91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3399053</v>
      </c>
    </row>
    <row r="193" ht="15.75" customHeight="1">
      <c r="A193" s="44" t="s">
        <v>36</v>
      </c>
      <c r="B193" s="45" t="s">
        <v>726</v>
      </c>
      <c r="C193" s="46" t="s">
        <v>730</v>
      </c>
      <c r="D193" s="47" t="s">
        <v>18</v>
      </c>
      <c r="E193" s="24" t="s">
        <v>29</v>
      </c>
      <c r="F193" s="47" t="s">
        <v>137</v>
      </c>
      <c r="G193" s="47" t="str">
        <f t="shared" si="1"/>
        <v>Augusto</v>
      </c>
      <c r="H193" s="48" t="s">
        <v>88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731</v>
      </c>
      <c r="T193" s="24" t="s">
        <v>89</v>
      </c>
      <c r="U193" s="25" t="s">
        <v>728</v>
      </c>
      <c r="V193" s="9" t="s">
        <v>29</v>
      </c>
      <c r="W193" s="53" t="str">
        <f t="shared" si="3"/>
        <v>Ativo</v>
      </c>
      <c r="X193" s="24"/>
      <c r="Y193" s="54" t="s">
        <v>91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159496.2</v>
      </c>
    </row>
    <row r="194" ht="15.75" customHeight="1">
      <c r="A194" s="44" t="s">
        <v>36</v>
      </c>
      <c r="B194" s="45" t="s">
        <v>726</v>
      </c>
      <c r="C194" s="46" t="s">
        <v>732</v>
      </c>
      <c r="D194" s="47" t="s">
        <v>18</v>
      </c>
      <c r="E194" s="24" t="s">
        <v>29</v>
      </c>
      <c r="F194" s="47" t="s">
        <v>137</v>
      </c>
      <c r="G194" s="47" t="str">
        <f t="shared" si="1"/>
        <v>Augusto</v>
      </c>
      <c r="H194" s="48" t="s">
        <v>88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733</v>
      </c>
      <c r="N194" s="50">
        <v>0.01</v>
      </c>
      <c r="O194" s="47" t="s">
        <v>734</v>
      </c>
      <c r="P194" s="51">
        <v>0.2</v>
      </c>
      <c r="Q194" s="52"/>
      <c r="R194" s="52"/>
      <c r="S194" s="52"/>
      <c r="T194" s="24" t="s">
        <v>89</v>
      </c>
      <c r="U194" s="25" t="s">
        <v>728</v>
      </c>
      <c r="V194" s="9" t="s">
        <v>29</v>
      </c>
      <c r="W194" s="53" t="str">
        <f t="shared" si="3"/>
        <v>Ativo</v>
      </c>
      <c r="X194" s="24"/>
      <c r="Y194" s="54" t="s">
        <v>91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1484.17</v>
      </c>
    </row>
    <row r="195" ht="15.75" customHeight="1">
      <c r="A195" s="6" t="s">
        <v>36</v>
      </c>
      <c r="B195" s="57" t="s">
        <v>735</v>
      </c>
      <c r="C195" s="7" t="s">
        <v>736</v>
      </c>
      <c r="D195" s="9" t="s">
        <v>18</v>
      </c>
      <c r="E195" s="25" t="s">
        <v>29</v>
      </c>
      <c r="F195" s="9" t="s">
        <v>87</v>
      </c>
      <c r="G195" s="47" t="str">
        <f t="shared" si="1"/>
        <v>Bruno</v>
      </c>
      <c r="H195" s="53" t="s">
        <v>88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60</v>
      </c>
      <c r="N195" s="12">
        <v>0.012</v>
      </c>
      <c r="O195" s="9" t="s">
        <v>24</v>
      </c>
      <c r="P195" s="61">
        <v>0.0</v>
      </c>
      <c r="Q195" s="15" t="s">
        <v>737</v>
      </c>
      <c r="R195" s="52"/>
      <c r="S195" s="52"/>
      <c r="T195" s="25" t="s">
        <v>89</v>
      </c>
      <c r="U195" s="5" t="s">
        <v>738</v>
      </c>
      <c r="V195" s="9" t="s">
        <v>29</v>
      </c>
      <c r="W195" s="53" t="str">
        <f t="shared" si="3"/>
        <v>Ativo</v>
      </c>
      <c r="X195" s="24"/>
      <c r="Y195" s="54" t="s">
        <v>91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1063157</v>
      </c>
    </row>
    <row r="196" ht="15.75" customHeight="1">
      <c r="A196" s="44" t="s">
        <v>36</v>
      </c>
      <c r="B196" s="45" t="s">
        <v>739</v>
      </c>
      <c r="C196" s="46" t="s">
        <v>740</v>
      </c>
      <c r="D196" s="47" t="s">
        <v>86</v>
      </c>
      <c r="E196" s="24" t="s">
        <v>29</v>
      </c>
      <c r="F196" s="47" t="s">
        <v>741</v>
      </c>
      <c r="G196" s="47" t="str">
        <f t="shared" si="1"/>
        <v>#N/A</v>
      </c>
      <c r="H196" s="48" t="s">
        <v>157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111</v>
      </c>
      <c r="N196" s="50">
        <v>0.016</v>
      </c>
      <c r="O196" s="47" t="s">
        <v>46</v>
      </c>
      <c r="P196" s="51">
        <v>0.1</v>
      </c>
      <c r="Q196" s="75"/>
      <c r="R196" s="75"/>
      <c r="S196" s="52"/>
      <c r="T196" s="24" t="s">
        <v>89</v>
      </c>
      <c r="U196" s="25" t="s">
        <v>742</v>
      </c>
      <c r="V196" s="9" t="s">
        <v>180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36</v>
      </c>
      <c r="B197" s="134" t="s">
        <v>743</v>
      </c>
      <c r="C197" s="69" t="s">
        <v>744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116</v>
      </c>
      <c r="I197" s="48" t="s">
        <v>161</v>
      </c>
      <c r="J197" s="47" t="str">
        <f t="shared" si="2"/>
        <v>Não</v>
      </c>
      <c r="K197" s="49">
        <v>45204.0</v>
      </c>
      <c r="L197" s="74"/>
      <c r="M197" s="24" t="s">
        <v>60</v>
      </c>
      <c r="N197" s="50">
        <v>0.012</v>
      </c>
      <c r="O197" s="47" t="s">
        <v>24</v>
      </c>
      <c r="P197" s="51">
        <v>0.0</v>
      </c>
      <c r="Q197" s="107"/>
      <c r="R197" s="76" t="s">
        <v>223</v>
      </c>
      <c r="S197" s="52"/>
      <c r="T197" s="24" t="s">
        <v>89</v>
      </c>
      <c r="U197" s="25" t="s">
        <v>745</v>
      </c>
      <c r="V197" s="9" t="s">
        <v>19</v>
      </c>
      <c r="W197" s="53" t="str">
        <f t="shared" si="3"/>
        <v>Ativo</v>
      </c>
      <c r="X197" s="24"/>
      <c r="Y197" s="54" t="s">
        <v>95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45" t="s">
        <v>746</v>
      </c>
      <c r="C198" s="46" t="s">
        <v>747</v>
      </c>
      <c r="D198" s="47" t="s">
        <v>18</v>
      </c>
      <c r="E198" s="24" t="s">
        <v>19</v>
      </c>
      <c r="F198" s="47" t="s">
        <v>201</v>
      </c>
      <c r="G198" s="47" t="str">
        <f t="shared" si="1"/>
        <v>Augusto</v>
      </c>
      <c r="H198" s="48" t="s">
        <v>88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60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89</v>
      </c>
      <c r="U198" s="25" t="s">
        <v>748</v>
      </c>
      <c r="V198" s="9" t="s">
        <v>19</v>
      </c>
      <c r="W198" s="53" t="str">
        <f t="shared" si="3"/>
        <v>Ativo</v>
      </c>
      <c r="X198" s="24"/>
      <c r="Y198" s="54" t="s">
        <v>95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29428.98</v>
      </c>
    </row>
    <row r="199" ht="15.75" customHeight="1">
      <c r="A199" s="135" t="s">
        <v>36</v>
      </c>
      <c r="B199" s="68" t="s">
        <v>749</v>
      </c>
      <c r="C199" s="69" t="s">
        <v>750</v>
      </c>
      <c r="D199" s="136" t="s">
        <v>86</v>
      </c>
      <c r="E199" s="137" t="s">
        <v>29</v>
      </c>
      <c r="F199" s="136" t="s">
        <v>87</v>
      </c>
      <c r="G199" s="47" t="str">
        <f t="shared" si="1"/>
        <v>Augusto</v>
      </c>
      <c r="H199" s="138" t="s">
        <v>88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45</v>
      </c>
      <c r="N199" s="140">
        <v>0.01</v>
      </c>
      <c r="O199" s="136" t="s">
        <v>46</v>
      </c>
      <c r="P199" s="141">
        <v>0.1</v>
      </c>
      <c r="Q199" s="142"/>
      <c r="R199" s="142"/>
      <c r="S199" s="142"/>
      <c r="T199" s="137" t="s">
        <v>89</v>
      </c>
      <c r="U199" s="143" t="s">
        <v>751</v>
      </c>
      <c r="V199" s="144" t="s">
        <v>29</v>
      </c>
      <c r="W199" s="53" t="str">
        <f t="shared" si="3"/>
        <v>Ativo</v>
      </c>
      <c r="X199" s="137"/>
      <c r="Y199" s="145" t="s">
        <v>95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86936.84</v>
      </c>
    </row>
    <row r="200" ht="15.75" customHeight="1">
      <c r="A200" s="44" t="s">
        <v>36</v>
      </c>
      <c r="B200" s="45" t="s">
        <v>752</v>
      </c>
      <c r="C200" s="46" t="s">
        <v>753</v>
      </c>
      <c r="D200" s="47" t="s">
        <v>18</v>
      </c>
      <c r="E200" s="24" t="s">
        <v>145</v>
      </c>
      <c r="F200" s="47" t="s">
        <v>146</v>
      </c>
      <c r="G200" s="47" t="str">
        <f t="shared" si="1"/>
        <v>Augusto</v>
      </c>
      <c r="H200" s="48" t="s">
        <v>88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45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754</v>
      </c>
      <c r="T200" s="24" t="s">
        <v>89</v>
      </c>
      <c r="U200" s="25" t="s">
        <v>755</v>
      </c>
      <c r="V200" s="9" t="s">
        <v>149</v>
      </c>
      <c r="W200" s="53" t="str">
        <f t="shared" si="3"/>
        <v>Ativo</v>
      </c>
      <c r="X200" s="24"/>
      <c r="Y200" s="54" t="s">
        <v>91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109621.2</v>
      </c>
    </row>
    <row r="201" ht="15.75" customHeight="1">
      <c r="A201" s="44" t="s">
        <v>36</v>
      </c>
      <c r="B201" s="63" t="s">
        <v>756</v>
      </c>
      <c r="C201" s="46" t="s">
        <v>757</v>
      </c>
      <c r="D201" s="47" t="s">
        <v>18</v>
      </c>
      <c r="E201" s="24" t="s">
        <v>145</v>
      </c>
      <c r="F201" s="47" t="s">
        <v>171</v>
      </c>
      <c r="G201" s="47" t="str">
        <f t="shared" si="1"/>
        <v>Bruno</v>
      </c>
      <c r="H201" s="48" t="s">
        <v>88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243</v>
      </c>
      <c r="N201" s="50">
        <v>0.02</v>
      </c>
      <c r="O201" s="47" t="s">
        <v>46</v>
      </c>
      <c r="P201" s="51">
        <v>0.2</v>
      </c>
      <c r="Q201" s="52"/>
      <c r="R201" s="52"/>
      <c r="S201" s="52"/>
      <c r="T201" s="24" t="s">
        <v>89</v>
      </c>
      <c r="U201" s="25" t="s">
        <v>758</v>
      </c>
      <c r="V201" s="9" t="s">
        <v>149</v>
      </c>
      <c r="W201" s="53" t="str">
        <f t="shared" si="3"/>
        <v>Ativo</v>
      </c>
      <c r="X201" s="24"/>
      <c r="Y201" s="54" t="s">
        <v>91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1003819</v>
      </c>
    </row>
    <row r="202" ht="15.75" customHeight="1">
      <c r="A202" s="6" t="s">
        <v>36</v>
      </c>
      <c r="B202" s="147" t="s">
        <v>759</v>
      </c>
      <c r="C202" s="84" t="s">
        <v>760</v>
      </c>
      <c r="D202" s="9" t="s">
        <v>18</v>
      </c>
      <c r="E202" s="25" t="s">
        <v>29</v>
      </c>
      <c r="F202" s="9" t="s">
        <v>761</v>
      </c>
      <c r="G202" s="47" t="str">
        <f t="shared" si="1"/>
        <v>Augusto</v>
      </c>
      <c r="H202" s="53" t="s">
        <v>88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60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89</v>
      </c>
      <c r="U202" s="25" t="s">
        <v>762</v>
      </c>
      <c r="V202" s="9" t="s">
        <v>29</v>
      </c>
      <c r="W202" s="53" t="str">
        <f t="shared" si="3"/>
        <v>Ativo</v>
      </c>
      <c r="X202" s="24"/>
      <c r="Y202" s="54" t="s">
        <v>95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139924</v>
      </c>
    </row>
    <row r="203" ht="15.75" customHeight="1">
      <c r="A203" s="44" t="s">
        <v>36</v>
      </c>
      <c r="B203" s="6" t="s">
        <v>763</v>
      </c>
      <c r="C203" s="46" t="s">
        <v>764</v>
      </c>
      <c r="D203" s="47" t="s">
        <v>86</v>
      </c>
      <c r="E203" s="24" t="s">
        <v>29</v>
      </c>
      <c r="F203" s="47" t="s">
        <v>87</v>
      </c>
      <c r="G203" s="47" t="str">
        <f t="shared" si="1"/>
        <v>Breno</v>
      </c>
      <c r="H203" s="53" t="s">
        <v>88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111</v>
      </c>
      <c r="N203" s="50">
        <v>0.012</v>
      </c>
      <c r="O203" s="47" t="s">
        <v>46</v>
      </c>
      <c r="P203" s="51">
        <v>0.2</v>
      </c>
      <c r="Q203" s="75"/>
      <c r="R203" s="75"/>
      <c r="S203" s="76" t="s">
        <v>765</v>
      </c>
      <c r="T203" s="24" t="s">
        <v>89</v>
      </c>
      <c r="U203" s="25" t="s">
        <v>766</v>
      </c>
      <c r="V203" s="9" t="s">
        <v>455</v>
      </c>
      <c r="W203" s="53" t="str">
        <f t="shared" si="3"/>
        <v>Ativo</v>
      </c>
      <c r="X203" s="24"/>
      <c r="Y203" s="54" t="s">
        <v>91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846589.1</v>
      </c>
    </row>
    <row r="204" ht="15.75" customHeight="1">
      <c r="A204" s="6" t="s">
        <v>36</v>
      </c>
      <c r="B204" s="6" t="s">
        <v>763</v>
      </c>
      <c r="C204" s="21" t="s">
        <v>767</v>
      </c>
      <c r="D204" s="9" t="s">
        <v>86</v>
      </c>
      <c r="E204" s="25" t="s">
        <v>29</v>
      </c>
      <c r="F204" s="47" t="s">
        <v>87</v>
      </c>
      <c r="G204" s="47" t="str">
        <f t="shared" si="1"/>
        <v>Bruno</v>
      </c>
      <c r="H204" s="53" t="s">
        <v>88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45</v>
      </c>
      <c r="N204" s="60">
        <v>0.014</v>
      </c>
      <c r="O204" s="9" t="s">
        <v>46</v>
      </c>
      <c r="P204" s="61">
        <v>0.1</v>
      </c>
      <c r="Q204" s="75"/>
      <c r="R204" s="75"/>
      <c r="S204" s="76" t="s">
        <v>765</v>
      </c>
      <c r="T204" s="25" t="s">
        <v>89</v>
      </c>
      <c r="U204" s="23" t="s">
        <v>766</v>
      </c>
      <c r="V204" s="9" t="s">
        <v>455</v>
      </c>
      <c r="W204" s="53" t="str">
        <f t="shared" si="3"/>
        <v>Ativo</v>
      </c>
      <c r="X204" s="24"/>
      <c r="Y204" s="54" t="s">
        <v>91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1235117</v>
      </c>
    </row>
    <row r="205" ht="15.75" customHeight="1">
      <c r="A205" s="44" t="s">
        <v>36</v>
      </c>
      <c r="B205" s="45" t="s">
        <v>768</v>
      </c>
      <c r="C205" s="46" t="s">
        <v>769</v>
      </c>
      <c r="D205" s="47" t="s">
        <v>18</v>
      </c>
      <c r="E205" s="24" t="s">
        <v>180</v>
      </c>
      <c r="F205" s="24" t="s">
        <v>512</v>
      </c>
      <c r="G205" s="47" t="str">
        <f t="shared" si="1"/>
        <v>Augusto</v>
      </c>
      <c r="H205" s="48" t="s">
        <v>88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111</v>
      </c>
      <c r="N205" s="50">
        <v>0.015</v>
      </c>
      <c r="O205" s="47" t="s">
        <v>46</v>
      </c>
      <c r="P205" s="51">
        <v>0.1</v>
      </c>
      <c r="Q205" s="52"/>
      <c r="R205" s="52"/>
      <c r="S205" s="52"/>
      <c r="T205" s="24" t="s">
        <v>89</v>
      </c>
      <c r="U205" s="25" t="s">
        <v>770</v>
      </c>
      <c r="V205" s="9" t="s">
        <v>29</v>
      </c>
      <c r="W205" s="53" t="str">
        <f t="shared" si="3"/>
        <v>Ativo</v>
      </c>
      <c r="X205" s="24"/>
      <c r="Y205" s="54" t="s">
        <v>95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67877.72</v>
      </c>
    </row>
    <row r="206" ht="13.5" customHeight="1">
      <c r="A206" s="44" t="s">
        <v>36</v>
      </c>
      <c r="B206" s="45" t="s">
        <v>771</v>
      </c>
      <c r="C206" s="46" t="s">
        <v>772</v>
      </c>
      <c r="D206" s="47" t="s">
        <v>86</v>
      </c>
      <c r="E206" s="24" t="s">
        <v>29</v>
      </c>
      <c r="F206" s="47" t="s">
        <v>773</v>
      </c>
      <c r="G206" s="47" t="str">
        <f t="shared" si="1"/>
        <v>Breno</v>
      </c>
      <c r="H206" s="48" t="s">
        <v>88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60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89</v>
      </c>
      <c r="U206" s="25" t="s">
        <v>774</v>
      </c>
      <c r="V206" s="9" t="s">
        <v>29</v>
      </c>
      <c r="W206" s="53" t="str">
        <f t="shared" si="3"/>
        <v>Ativo</v>
      </c>
      <c r="X206" s="24"/>
      <c r="Y206" s="54" t="s">
        <v>95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705417.2</v>
      </c>
    </row>
    <row r="207" ht="13.5" customHeight="1">
      <c r="A207" s="6" t="s">
        <v>36</v>
      </c>
      <c r="B207" s="57" t="s">
        <v>775</v>
      </c>
      <c r="C207" s="7" t="s">
        <v>776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88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60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329</v>
      </c>
      <c r="U207" s="5" t="s">
        <v>777</v>
      </c>
      <c r="V207" s="9" t="s">
        <v>19</v>
      </c>
      <c r="W207" s="53" t="str">
        <f t="shared" si="3"/>
        <v>Ativo</v>
      </c>
      <c r="X207" s="25"/>
      <c r="Y207" s="54" t="s">
        <v>95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51059.97</v>
      </c>
    </row>
    <row r="208">
      <c r="A208" s="44" t="s">
        <v>36</v>
      </c>
      <c r="B208" s="80" t="s">
        <v>778</v>
      </c>
      <c r="C208" s="148" t="s">
        <v>779</v>
      </c>
      <c r="D208" s="47" t="s">
        <v>18</v>
      </c>
      <c r="E208" s="24" t="s">
        <v>145</v>
      </c>
      <c r="F208" s="92" t="s">
        <v>171</v>
      </c>
      <c r="G208" s="47" t="str">
        <f t="shared" si="1"/>
        <v>#N/A</v>
      </c>
      <c r="H208" s="53" t="s">
        <v>116</v>
      </c>
      <c r="I208" s="48" t="s">
        <v>161</v>
      </c>
      <c r="J208" s="47" t="str">
        <f t="shared" si="2"/>
        <v>Não</v>
      </c>
      <c r="K208" s="49">
        <v>45222.0</v>
      </c>
      <c r="L208" s="24"/>
      <c r="M208" s="24" t="s">
        <v>99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89</v>
      </c>
      <c r="U208" s="25" t="s">
        <v>780</v>
      </c>
      <c r="V208" s="9" t="s">
        <v>149</v>
      </c>
      <c r="W208" s="53" t="str">
        <f t="shared" si="3"/>
        <v>Ativo</v>
      </c>
      <c r="X208" s="24"/>
      <c r="Y208" s="54" t="s">
        <v>91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781</v>
      </c>
      <c r="C209" s="69" t="s">
        <v>782</v>
      </c>
      <c r="D209" s="47" t="s">
        <v>86</v>
      </c>
      <c r="E209" s="24" t="s">
        <v>29</v>
      </c>
      <c r="F209" s="47" t="s">
        <v>371</v>
      </c>
      <c r="G209" s="47" t="str">
        <f t="shared" si="1"/>
        <v>Bruno</v>
      </c>
      <c r="H209" s="48" t="s">
        <v>88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60</v>
      </c>
      <c r="N209" s="50">
        <v>0.0085</v>
      </c>
      <c r="O209" s="47" t="s">
        <v>24</v>
      </c>
      <c r="P209" s="51">
        <v>0.0</v>
      </c>
      <c r="Q209" s="62" t="s">
        <v>783</v>
      </c>
      <c r="R209" s="52"/>
      <c r="S209" s="52"/>
      <c r="T209" s="24" t="s">
        <v>89</v>
      </c>
      <c r="U209" s="25" t="s">
        <v>784</v>
      </c>
      <c r="V209" s="9" t="s">
        <v>180</v>
      </c>
      <c r="W209" s="53" t="str">
        <f t="shared" si="3"/>
        <v>Ativo</v>
      </c>
      <c r="X209" s="24"/>
      <c r="Y209" s="54" t="s">
        <v>91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1658497</v>
      </c>
    </row>
    <row r="210" ht="13.5" customHeight="1">
      <c r="A210" s="44" t="s">
        <v>36</v>
      </c>
      <c r="B210" s="149" t="s">
        <v>785</v>
      </c>
      <c r="C210" s="69" t="s">
        <v>786</v>
      </c>
      <c r="D210" s="47" t="s">
        <v>18</v>
      </c>
      <c r="E210" s="24" t="s">
        <v>29</v>
      </c>
      <c r="F210" s="92" t="s">
        <v>404</v>
      </c>
      <c r="G210" s="47" t="str">
        <f t="shared" si="1"/>
        <v>Augusto</v>
      </c>
      <c r="H210" s="48" t="s">
        <v>88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60</v>
      </c>
      <c r="N210" s="50">
        <v>0.012</v>
      </c>
      <c r="O210" s="47" t="s">
        <v>24</v>
      </c>
      <c r="P210" s="51">
        <v>0.0</v>
      </c>
      <c r="Q210" s="107" t="s">
        <v>787</v>
      </c>
      <c r="R210" s="52"/>
      <c r="S210" s="52"/>
      <c r="T210" s="24" t="s">
        <v>89</v>
      </c>
      <c r="U210" s="25" t="s">
        <v>788</v>
      </c>
      <c r="V210" s="9" t="s">
        <v>29</v>
      </c>
      <c r="W210" s="53" t="str">
        <f t="shared" si="3"/>
        <v>Ativo</v>
      </c>
      <c r="X210" s="24"/>
      <c r="Y210" s="54" t="s">
        <v>95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36289.52</v>
      </c>
    </row>
    <row r="211" ht="13.5" customHeight="1">
      <c r="A211" s="6" t="s">
        <v>36</v>
      </c>
      <c r="B211" s="6" t="s">
        <v>789</v>
      </c>
      <c r="C211" s="21" t="s">
        <v>790</v>
      </c>
      <c r="D211" s="9" t="s">
        <v>18</v>
      </c>
      <c r="E211" s="25" t="s">
        <v>19</v>
      </c>
      <c r="F211" s="9" t="s">
        <v>791</v>
      </c>
      <c r="G211" s="47" t="str">
        <f t="shared" si="1"/>
        <v>Augusto</v>
      </c>
      <c r="H211" s="53" t="s">
        <v>88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60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89</v>
      </c>
      <c r="U211" s="23" t="s">
        <v>792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50714.62</v>
      </c>
    </row>
    <row r="212" ht="15.75" customHeight="1">
      <c r="A212" s="44" t="s">
        <v>36</v>
      </c>
      <c r="B212" s="45" t="s">
        <v>793</v>
      </c>
      <c r="C212" s="46" t="s">
        <v>794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116</v>
      </c>
      <c r="I212" s="53" t="s">
        <v>609</v>
      </c>
      <c r="J212" s="47" t="str">
        <f t="shared" si="2"/>
        <v>Não</v>
      </c>
      <c r="K212" s="49">
        <v>45033.0</v>
      </c>
      <c r="L212" s="24"/>
      <c r="M212" s="24" t="s">
        <v>60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89</v>
      </c>
      <c r="U212" s="25" t="s">
        <v>795</v>
      </c>
      <c r="V212" s="9" t="s">
        <v>796</v>
      </c>
      <c r="W212" s="53" t="str">
        <f t="shared" si="3"/>
        <v>Ativo</v>
      </c>
      <c r="X212" s="24"/>
      <c r="Y212" s="54" t="s">
        <v>95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102866.5</v>
      </c>
    </row>
    <row r="213" ht="15.75" customHeight="1">
      <c r="A213" s="44" t="s">
        <v>36</v>
      </c>
      <c r="B213" s="114" t="s">
        <v>797</v>
      </c>
      <c r="C213" s="46" t="s">
        <v>798</v>
      </c>
      <c r="D213" s="47" t="s">
        <v>18</v>
      </c>
      <c r="E213" s="24" t="s">
        <v>19</v>
      </c>
      <c r="F213" s="47" t="s">
        <v>52</v>
      </c>
      <c r="G213" s="47" t="str">
        <f t="shared" si="1"/>
        <v>Augusto</v>
      </c>
      <c r="H213" s="48" t="s">
        <v>88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60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89</v>
      </c>
      <c r="U213" s="25" t="s">
        <v>799</v>
      </c>
      <c r="V213" s="9" t="s">
        <v>19</v>
      </c>
      <c r="W213" s="53" t="str">
        <f t="shared" si="3"/>
        <v>Ativo</v>
      </c>
      <c r="X213" s="24"/>
      <c r="Y213" s="54" t="s">
        <v>95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232394.6</v>
      </c>
    </row>
    <row r="214" ht="15.75" customHeight="1">
      <c r="A214" s="44" t="s">
        <v>36</v>
      </c>
      <c r="B214" s="96" t="s">
        <v>800</v>
      </c>
      <c r="C214" s="150" t="s">
        <v>801</v>
      </c>
      <c r="D214" s="47" t="s">
        <v>18</v>
      </c>
      <c r="E214" s="24" t="s">
        <v>29</v>
      </c>
      <c r="F214" s="47" t="s">
        <v>58</v>
      </c>
      <c r="G214" s="47" t="str">
        <f t="shared" si="1"/>
        <v>Breno</v>
      </c>
      <c r="H214" s="48" t="s">
        <v>88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60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89</v>
      </c>
      <c r="U214" s="25" t="s">
        <v>802</v>
      </c>
      <c r="V214" s="9" t="s">
        <v>29</v>
      </c>
      <c r="W214" s="53" t="str">
        <f t="shared" si="3"/>
        <v>Ativo</v>
      </c>
      <c r="X214" s="24"/>
      <c r="Y214" s="54" t="s">
        <v>95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750596.4</v>
      </c>
    </row>
    <row r="215" ht="15.75" customHeight="1">
      <c r="A215" s="44" t="s">
        <v>36</v>
      </c>
      <c r="B215" s="63" t="s">
        <v>803</v>
      </c>
      <c r="C215" s="46" t="s">
        <v>804</v>
      </c>
      <c r="D215" s="47" t="s">
        <v>18</v>
      </c>
      <c r="E215" s="24" t="s">
        <v>29</v>
      </c>
      <c r="F215" s="24" t="s">
        <v>137</v>
      </c>
      <c r="G215" s="47" t="str">
        <f t="shared" si="1"/>
        <v>Breno</v>
      </c>
      <c r="H215" s="48" t="s">
        <v>88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60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89</v>
      </c>
      <c r="U215" s="25" t="s">
        <v>805</v>
      </c>
      <c r="V215" s="9" t="s">
        <v>29</v>
      </c>
      <c r="W215" s="53" t="str">
        <f t="shared" si="3"/>
        <v>Ativo</v>
      </c>
      <c r="X215" s="24"/>
      <c r="Y215" s="54" t="s">
        <v>95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561708.2</v>
      </c>
    </row>
    <row r="216" ht="15.75" customHeight="1">
      <c r="A216" s="44" t="s">
        <v>36</v>
      </c>
      <c r="B216" s="63" t="s">
        <v>806</v>
      </c>
      <c r="C216" s="46" t="s">
        <v>807</v>
      </c>
      <c r="D216" s="47" t="s">
        <v>18</v>
      </c>
      <c r="E216" s="24" t="s">
        <v>29</v>
      </c>
      <c r="F216" s="24" t="s">
        <v>761</v>
      </c>
      <c r="G216" s="47" t="str">
        <f t="shared" si="1"/>
        <v>Bruno</v>
      </c>
      <c r="H216" s="53" t="s">
        <v>116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60</v>
      </c>
      <c r="N216" s="50">
        <v>0.007</v>
      </c>
      <c r="O216" s="47" t="s">
        <v>24</v>
      </c>
      <c r="P216" s="51">
        <v>0.0</v>
      </c>
      <c r="Q216" s="62" t="s">
        <v>808</v>
      </c>
      <c r="R216" s="52"/>
      <c r="S216" s="52"/>
      <c r="T216" s="24" t="s">
        <v>89</v>
      </c>
      <c r="U216" s="25" t="s">
        <v>809</v>
      </c>
      <c r="V216" s="9" t="s">
        <v>29</v>
      </c>
      <c r="W216" s="53" t="str">
        <f t="shared" si="3"/>
        <v>Ativo</v>
      </c>
      <c r="X216" s="24"/>
      <c r="Y216" s="54" t="s">
        <v>95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1175738</v>
      </c>
    </row>
    <row r="217" ht="15.75" customHeight="1">
      <c r="A217" s="44" t="s">
        <v>36</v>
      </c>
      <c r="B217" s="45" t="s">
        <v>810</v>
      </c>
      <c r="C217" s="46" t="s">
        <v>811</v>
      </c>
      <c r="D217" s="47" t="s">
        <v>18</v>
      </c>
      <c r="E217" s="24" t="s">
        <v>145</v>
      </c>
      <c r="F217" s="47" t="s">
        <v>171</v>
      </c>
      <c r="G217" s="47" t="str">
        <f t="shared" si="1"/>
        <v>Augusto</v>
      </c>
      <c r="H217" s="48" t="s">
        <v>88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60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89</v>
      </c>
      <c r="U217" s="25" t="s">
        <v>812</v>
      </c>
      <c r="V217" s="9" t="s">
        <v>149</v>
      </c>
      <c r="W217" s="53" t="str">
        <f t="shared" si="3"/>
        <v>Ativo</v>
      </c>
      <c r="X217" s="24"/>
      <c r="Y217" s="54" t="s">
        <v>95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345877.3</v>
      </c>
    </row>
    <row r="218" ht="15.75" customHeight="1">
      <c r="A218" s="44" t="s">
        <v>36</v>
      </c>
      <c r="B218" s="45" t="s">
        <v>813</v>
      </c>
      <c r="C218" s="46" t="s">
        <v>814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88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60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89</v>
      </c>
      <c r="U218" s="25" t="s">
        <v>815</v>
      </c>
      <c r="V218" s="9" t="s">
        <v>19</v>
      </c>
      <c r="W218" s="53" t="str">
        <f t="shared" si="3"/>
        <v>Ativo</v>
      </c>
      <c r="X218" s="24"/>
      <c r="Y218" s="54" t="s">
        <v>95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73805.91</v>
      </c>
    </row>
    <row r="219" ht="15.75" customHeight="1">
      <c r="A219" s="44" t="s">
        <v>36</v>
      </c>
      <c r="B219" s="45" t="s">
        <v>816</v>
      </c>
      <c r="C219" s="46" t="s">
        <v>817</v>
      </c>
      <c r="D219" s="47" t="s">
        <v>86</v>
      </c>
      <c r="E219" s="24" t="s">
        <v>29</v>
      </c>
      <c r="F219" s="47" t="s">
        <v>87</v>
      </c>
      <c r="G219" s="47" t="str">
        <f t="shared" si="1"/>
        <v>Breno</v>
      </c>
      <c r="H219" s="48" t="s">
        <v>88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818</v>
      </c>
      <c r="N219" s="50">
        <v>0.014</v>
      </c>
      <c r="O219" s="9" t="s">
        <v>46</v>
      </c>
      <c r="P219" s="51">
        <v>0.1</v>
      </c>
      <c r="Q219" s="52"/>
      <c r="R219" s="52"/>
      <c r="S219" s="52"/>
      <c r="T219" s="24" t="s">
        <v>89</v>
      </c>
      <c r="U219" s="25" t="s">
        <v>819</v>
      </c>
      <c r="V219" s="9" t="s">
        <v>29</v>
      </c>
      <c r="W219" s="53" t="str">
        <f t="shared" si="3"/>
        <v>Ativo</v>
      </c>
      <c r="X219" s="24"/>
      <c r="Y219" s="54" t="s">
        <v>91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864569.1</v>
      </c>
    </row>
    <row r="220" ht="15.75" customHeight="1">
      <c r="A220" s="44" t="s">
        <v>36</v>
      </c>
      <c r="B220" s="66" t="s">
        <v>820</v>
      </c>
      <c r="C220" s="67" t="s">
        <v>821</v>
      </c>
      <c r="D220" s="9" t="s">
        <v>822</v>
      </c>
      <c r="E220" s="25" t="s">
        <v>19</v>
      </c>
      <c r="F220" s="9" t="s">
        <v>823</v>
      </c>
      <c r="G220" s="47" t="str">
        <f t="shared" si="1"/>
        <v>Breno</v>
      </c>
      <c r="H220" s="53" t="s">
        <v>88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60</v>
      </c>
      <c r="N220" s="60">
        <v>0.012</v>
      </c>
      <c r="O220" s="47" t="s">
        <v>24</v>
      </c>
      <c r="P220" s="61">
        <v>0.0</v>
      </c>
      <c r="Q220" s="15" t="s">
        <v>824</v>
      </c>
      <c r="R220" s="52"/>
      <c r="S220" s="52"/>
      <c r="T220" s="25" t="s">
        <v>89</v>
      </c>
      <c r="U220" s="5" t="s">
        <v>825</v>
      </c>
      <c r="V220" s="9" t="s">
        <v>19</v>
      </c>
      <c r="W220" s="53" t="str">
        <f t="shared" si="3"/>
        <v>Ativo</v>
      </c>
      <c r="X220" s="25" t="s">
        <v>48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602315.1</v>
      </c>
    </row>
    <row r="221" ht="15.75" customHeight="1">
      <c r="A221" s="6" t="s">
        <v>36</v>
      </c>
      <c r="B221" s="20" t="s">
        <v>826</v>
      </c>
      <c r="C221" s="58" t="s">
        <v>827</v>
      </c>
      <c r="D221" s="9" t="s">
        <v>822</v>
      </c>
      <c r="E221" s="25" t="s">
        <v>19</v>
      </c>
      <c r="F221" s="9" t="s">
        <v>823</v>
      </c>
      <c r="G221" s="47" t="str">
        <f t="shared" si="1"/>
        <v>Breno</v>
      </c>
      <c r="H221" s="53" t="s">
        <v>88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60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89</v>
      </c>
      <c r="U221" s="23" t="s">
        <v>828</v>
      </c>
      <c r="V221" s="9" t="s">
        <v>19</v>
      </c>
      <c r="W221" s="53" t="str">
        <f t="shared" si="3"/>
        <v>Ativo</v>
      </c>
      <c r="X221" s="24"/>
      <c r="Y221" s="54" t="s">
        <v>95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506808.4</v>
      </c>
    </row>
    <row r="222" ht="15.75" customHeight="1">
      <c r="A222" s="44" t="s">
        <v>36</v>
      </c>
      <c r="B222" s="45" t="s">
        <v>829</v>
      </c>
      <c r="C222" s="46" t="s">
        <v>830</v>
      </c>
      <c r="D222" s="47" t="s">
        <v>18</v>
      </c>
      <c r="E222" s="24" t="s">
        <v>19</v>
      </c>
      <c r="F222" s="47" t="s">
        <v>230</v>
      </c>
      <c r="G222" s="47" t="str">
        <f t="shared" si="1"/>
        <v>Augusto</v>
      </c>
      <c r="H222" s="48" t="s">
        <v>88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166</v>
      </c>
      <c r="N222" s="50">
        <v>0.008</v>
      </c>
      <c r="O222" s="47" t="s">
        <v>167</v>
      </c>
      <c r="P222" s="51">
        <v>0.1</v>
      </c>
      <c r="Q222" s="52"/>
      <c r="R222" s="52"/>
      <c r="S222" s="52"/>
      <c r="T222" s="24" t="s">
        <v>89</v>
      </c>
      <c r="U222" s="25" t="s">
        <v>831</v>
      </c>
      <c r="V222" s="9" t="s">
        <v>29</v>
      </c>
      <c r="W222" s="53" t="str">
        <f t="shared" si="3"/>
        <v>Ativo</v>
      </c>
      <c r="X222" s="24"/>
      <c r="Y222" s="54" t="s">
        <v>95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337357.9</v>
      </c>
    </row>
    <row r="223" ht="15.75" customHeight="1">
      <c r="A223" s="44" t="s">
        <v>36</v>
      </c>
      <c r="B223" s="45" t="s">
        <v>832</v>
      </c>
      <c r="C223" s="46" t="s">
        <v>833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116</v>
      </c>
      <c r="I223" s="48" t="s">
        <v>161</v>
      </c>
      <c r="J223" s="47" t="str">
        <f t="shared" si="2"/>
        <v>Não</v>
      </c>
      <c r="K223" s="49">
        <v>45166.0</v>
      </c>
      <c r="L223" s="24"/>
      <c r="M223" s="24" t="s">
        <v>111</v>
      </c>
      <c r="N223" s="50">
        <v>0.015</v>
      </c>
      <c r="O223" s="47" t="s">
        <v>46</v>
      </c>
      <c r="P223" s="51">
        <v>0.1</v>
      </c>
      <c r="Q223" s="52"/>
      <c r="R223" s="52"/>
      <c r="S223" s="52"/>
      <c r="T223" s="24" t="s">
        <v>329</v>
      </c>
      <c r="U223" s="25" t="s">
        <v>834</v>
      </c>
      <c r="V223" s="9" t="s">
        <v>19</v>
      </c>
      <c r="W223" s="53" t="str">
        <f t="shared" si="3"/>
        <v>Ativo</v>
      </c>
      <c r="X223" s="24"/>
      <c r="Y223" s="54" t="s">
        <v>95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36</v>
      </c>
      <c r="B224" s="96" t="s">
        <v>835</v>
      </c>
      <c r="C224" s="150" t="s">
        <v>836</v>
      </c>
      <c r="D224" s="9" t="s">
        <v>18</v>
      </c>
      <c r="E224" s="24" t="s">
        <v>29</v>
      </c>
      <c r="F224" s="9" t="s">
        <v>110</v>
      </c>
      <c r="G224" s="47" t="str">
        <f t="shared" si="1"/>
        <v>Augusto</v>
      </c>
      <c r="H224" s="48" t="s">
        <v>88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45</v>
      </c>
      <c r="N224" s="93">
        <v>0.012</v>
      </c>
      <c r="O224" s="94" t="s">
        <v>46</v>
      </c>
      <c r="P224" s="95">
        <v>0.1</v>
      </c>
      <c r="Q224" s="52"/>
      <c r="R224" s="52"/>
      <c r="S224" s="52"/>
      <c r="T224" s="24" t="s">
        <v>89</v>
      </c>
      <c r="U224" s="25" t="s">
        <v>837</v>
      </c>
      <c r="V224" s="9" t="s">
        <v>29</v>
      </c>
      <c r="W224" s="53" t="str">
        <f t="shared" si="3"/>
        <v>Ativo</v>
      </c>
      <c r="X224" s="24"/>
      <c r="Y224" s="54" t="s">
        <v>95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213238.7</v>
      </c>
    </row>
    <row r="225" ht="15.75" customHeight="1">
      <c r="A225" s="44" t="s">
        <v>36</v>
      </c>
      <c r="B225" s="45" t="s">
        <v>838</v>
      </c>
      <c r="C225" s="46" t="s">
        <v>839</v>
      </c>
      <c r="D225" s="47" t="s">
        <v>18</v>
      </c>
      <c r="E225" s="24" t="s">
        <v>145</v>
      </c>
      <c r="F225" s="47" t="s">
        <v>171</v>
      </c>
      <c r="G225" s="47" t="str">
        <f t="shared" si="1"/>
        <v>#N/A</v>
      </c>
      <c r="H225" s="48" t="s">
        <v>116</v>
      </c>
      <c r="I225" s="53" t="s">
        <v>161</v>
      </c>
      <c r="J225" s="47" t="str">
        <f t="shared" si="2"/>
        <v>Não</v>
      </c>
      <c r="K225" s="49">
        <v>45156.0</v>
      </c>
      <c r="L225" s="24"/>
      <c r="M225" s="24" t="s">
        <v>60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840</v>
      </c>
      <c r="T225" s="24" t="s">
        <v>89</v>
      </c>
      <c r="U225" s="25" t="s">
        <v>841</v>
      </c>
      <c r="V225" s="9" t="s">
        <v>149</v>
      </c>
      <c r="W225" s="53" t="str">
        <f t="shared" si="3"/>
        <v>Ativo</v>
      </c>
      <c r="X225" s="24"/>
      <c r="Y225" s="54" t="s">
        <v>91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36</v>
      </c>
      <c r="B226" s="45" t="s">
        <v>842</v>
      </c>
      <c r="C226" s="46" t="s">
        <v>843</v>
      </c>
      <c r="D226" s="47" t="s">
        <v>18</v>
      </c>
      <c r="E226" s="24" t="s">
        <v>145</v>
      </c>
      <c r="F226" s="47" t="s">
        <v>171</v>
      </c>
      <c r="G226" s="47" t="str">
        <f t="shared" si="1"/>
        <v>#N/A</v>
      </c>
      <c r="H226" s="53" t="s">
        <v>116</v>
      </c>
      <c r="I226" s="48" t="s">
        <v>161</v>
      </c>
      <c r="J226" s="47" t="str">
        <f t="shared" si="2"/>
        <v>Não</v>
      </c>
      <c r="K226" s="49">
        <v>45166.0</v>
      </c>
      <c r="L226" s="24"/>
      <c r="M226" s="24" t="s">
        <v>60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89</v>
      </c>
      <c r="U226" s="25" t="s">
        <v>844</v>
      </c>
      <c r="V226" s="9" t="s">
        <v>149</v>
      </c>
      <c r="W226" s="53" t="str">
        <f t="shared" si="3"/>
        <v>Ativo</v>
      </c>
      <c r="X226" s="24"/>
      <c r="Y226" s="54" t="s">
        <v>91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845</v>
      </c>
      <c r="C227" s="46" t="s">
        <v>846</v>
      </c>
      <c r="D227" s="47" t="s">
        <v>18</v>
      </c>
      <c r="E227" s="24" t="s">
        <v>29</v>
      </c>
      <c r="F227" s="47" t="s">
        <v>137</v>
      </c>
      <c r="G227" s="47" t="str">
        <f t="shared" si="1"/>
        <v>Breno</v>
      </c>
      <c r="H227" s="48" t="s">
        <v>88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60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847</v>
      </c>
      <c r="T227" s="24" t="s">
        <v>89</v>
      </c>
      <c r="U227" s="25" t="s">
        <v>848</v>
      </c>
      <c r="V227" s="9" t="s">
        <v>29</v>
      </c>
      <c r="W227" s="53" t="str">
        <f t="shared" si="3"/>
        <v>Ativo</v>
      </c>
      <c r="X227" s="24"/>
      <c r="Y227" s="54" t="s">
        <v>95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576333.1</v>
      </c>
    </row>
    <row r="228" ht="15.75" customHeight="1">
      <c r="A228" s="44" t="s">
        <v>36</v>
      </c>
      <c r="B228" s="45" t="s">
        <v>845</v>
      </c>
      <c r="C228" s="46" t="s">
        <v>849</v>
      </c>
      <c r="D228" s="47" t="s">
        <v>18</v>
      </c>
      <c r="E228" s="24" t="s">
        <v>29</v>
      </c>
      <c r="F228" s="47" t="s">
        <v>137</v>
      </c>
      <c r="G228" s="47" t="str">
        <f t="shared" si="1"/>
        <v>Augusto</v>
      </c>
      <c r="H228" s="48" t="s">
        <v>88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166</v>
      </c>
      <c r="N228" s="50">
        <v>0.008</v>
      </c>
      <c r="O228" s="47" t="s">
        <v>167</v>
      </c>
      <c r="P228" s="51">
        <v>0.1</v>
      </c>
      <c r="Q228" s="75"/>
      <c r="R228" s="75"/>
      <c r="S228" s="52" t="s">
        <v>847</v>
      </c>
      <c r="T228" s="24" t="s">
        <v>89</v>
      </c>
      <c r="U228" s="25" t="s">
        <v>848</v>
      </c>
      <c r="V228" s="9" t="s">
        <v>29</v>
      </c>
      <c r="W228" s="53" t="str">
        <f t="shared" si="3"/>
        <v>Ativo</v>
      </c>
      <c r="X228" s="24"/>
      <c r="Y228" s="54" t="s">
        <v>95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279354.4</v>
      </c>
    </row>
    <row r="229" ht="15.75" customHeight="1">
      <c r="A229" s="44" t="s">
        <v>36</v>
      </c>
      <c r="B229" s="57" t="s">
        <v>850</v>
      </c>
      <c r="C229" s="58" t="s">
        <v>851</v>
      </c>
      <c r="D229" s="9" t="s">
        <v>18</v>
      </c>
      <c r="E229" s="25" t="s">
        <v>19</v>
      </c>
      <c r="F229" s="9" t="s">
        <v>201</v>
      </c>
      <c r="G229" s="47" t="str">
        <f t="shared" si="1"/>
        <v>Augusto</v>
      </c>
      <c r="H229" s="53" t="s">
        <v>88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60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89</v>
      </c>
      <c r="U229" s="25" t="s">
        <v>852</v>
      </c>
      <c r="V229" s="9" t="s">
        <v>19</v>
      </c>
      <c r="W229" s="53" t="str">
        <f t="shared" si="3"/>
        <v>Ativo</v>
      </c>
      <c r="X229" s="25" t="s">
        <v>48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100163</v>
      </c>
    </row>
    <row r="230" ht="15.75" customHeight="1">
      <c r="A230" s="44" t="s">
        <v>36</v>
      </c>
      <c r="B230" s="45" t="s">
        <v>853</v>
      </c>
      <c r="C230" s="46" t="s">
        <v>854</v>
      </c>
      <c r="D230" s="47" t="s">
        <v>86</v>
      </c>
      <c r="E230" s="24" t="s">
        <v>29</v>
      </c>
      <c r="F230" s="47" t="s">
        <v>87</v>
      </c>
      <c r="G230" s="47" t="str">
        <f t="shared" si="1"/>
        <v>Augusto</v>
      </c>
      <c r="H230" s="48" t="s">
        <v>88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60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89</v>
      </c>
      <c r="U230" s="25" t="s">
        <v>855</v>
      </c>
      <c r="V230" s="9" t="s">
        <v>29</v>
      </c>
      <c r="W230" s="53" t="str">
        <f t="shared" si="3"/>
        <v>Ativo</v>
      </c>
      <c r="X230" s="24"/>
      <c r="Y230" s="54" t="s">
        <v>95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99966.18</v>
      </c>
    </row>
    <row r="231" ht="15.75" customHeight="1">
      <c r="A231" s="44" t="s">
        <v>36</v>
      </c>
      <c r="B231" s="45" t="s">
        <v>856</v>
      </c>
      <c r="C231" s="46" t="s">
        <v>857</v>
      </c>
      <c r="D231" s="47" t="s">
        <v>18</v>
      </c>
      <c r="E231" s="24" t="s">
        <v>145</v>
      </c>
      <c r="F231" s="47" t="s">
        <v>146</v>
      </c>
      <c r="G231" s="47" t="str">
        <f t="shared" si="1"/>
        <v>Breno</v>
      </c>
      <c r="H231" s="48" t="s">
        <v>88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111</v>
      </c>
      <c r="N231" s="50">
        <v>0.015</v>
      </c>
      <c r="O231" s="47" t="s">
        <v>46</v>
      </c>
      <c r="P231" s="51">
        <v>0.1</v>
      </c>
      <c r="Q231" s="65"/>
      <c r="R231" s="52"/>
      <c r="S231" s="62" t="s">
        <v>858</v>
      </c>
      <c r="T231" s="24" t="s">
        <v>89</v>
      </c>
      <c r="U231" s="25" t="s">
        <v>859</v>
      </c>
      <c r="V231" s="9" t="s">
        <v>149</v>
      </c>
      <c r="W231" s="53" t="str">
        <f t="shared" si="3"/>
        <v>Ativo</v>
      </c>
      <c r="X231" s="24"/>
      <c r="Y231" s="54" t="s">
        <v>91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815192.2</v>
      </c>
    </row>
    <row r="232" ht="15.75" customHeight="1">
      <c r="A232" s="44" t="s">
        <v>36</v>
      </c>
      <c r="B232" s="45" t="s">
        <v>860</v>
      </c>
      <c r="C232" s="46" t="s">
        <v>861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88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60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89</v>
      </c>
      <c r="U232" s="25" t="s">
        <v>862</v>
      </c>
      <c r="V232" s="9" t="s">
        <v>180</v>
      </c>
      <c r="W232" s="53" t="str">
        <f t="shared" si="3"/>
        <v>Ativo</v>
      </c>
      <c r="X232" s="24"/>
      <c r="Y232" s="54" t="s">
        <v>95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120175.5</v>
      </c>
    </row>
    <row r="233" ht="15.75" customHeight="1">
      <c r="A233" s="44" t="s">
        <v>36</v>
      </c>
      <c r="B233" s="45" t="s">
        <v>863</v>
      </c>
      <c r="C233" s="46" t="s">
        <v>864</v>
      </c>
      <c r="D233" s="47" t="s">
        <v>18</v>
      </c>
      <c r="E233" s="24" t="s">
        <v>29</v>
      </c>
      <c r="F233" s="24" t="s">
        <v>865</v>
      </c>
      <c r="G233" s="47" t="str">
        <f t="shared" si="1"/>
        <v>Breno</v>
      </c>
      <c r="H233" s="48" t="s">
        <v>88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162</v>
      </c>
      <c r="N233" s="60">
        <v>0.02</v>
      </c>
      <c r="O233" s="47" t="s">
        <v>163</v>
      </c>
      <c r="P233" s="51">
        <v>0.2</v>
      </c>
      <c r="Q233" s="75"/>
      <c r="R233" s="75"/>
      <c r="S233" s="75" t="s">
        <v>866</v>
      </c>
      <c r="T233" s="24" t="s">
        <v>89</v>
      </c>
      <c r="U233" s="25" t="s">
        <v>867</v>
      </c>
      <c r="V233" s="9" t="s">
        <v>121</v>
      </c>
      <c r="W233" s="53" t="str">
        <f t="shared" si="3"/>
        <v>Ativo</v>
      </c>
      <c r="X233" s="24"/>
      <c r="Y233" s="54" t="s">
        <v>95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539934.2</v>
      </c>
    </row>
    <row r="234" ht="15.75" customHeight="1">
      <c r="A234" s="44" t="s">
        <v>36</v>
      </c>
      <c r="B234" s="45" t="s">
        <v>868</v>
      </c>
      <c r="C234" s="46" t="s">
        <v>869</v>
      </c>
      <c r="D234" s="47" t="s">
        <v>18</v>
      </c>
      <c r="E234" s="24" t="s">
        <v>145</v>
      </c>
      <c r="F234" s="24" t="s">
        <v>146</v>
      </c>
      <c r="G234" s="47" t="str">
        <f t="shared" si="1"/>
        <v>Augusto</v>
      </c>
      <c r="H234" s="48" t="s">
        <v>88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111</v>
      </c>
      <c r="N234" s="116">
        <v>0.015</v>
      </c>
      <c r="O234" s="24" t="s">
        <v>46</v>
      </c>
      <c r="P234" s="117">
        <v>0.1</v>
      </c>
      <c r="Q234" s="52"/>
      <c r="R234" s="52"/>
      <c r="S234" s="62" t="s">
        <v>870</v>
      </c>
      <c r="T234" s="24" t="s">
        <v>89</v>
      </c>
      <c r="U234" s="25" t="s">
        <v>871</v>
      </c>
      <c r="V234" s="9" t="s">
        <v>149</v>
      </c>
      <c r="W234" s="53" t="str">
        <f t="shared" si="3"/>
        <v>Ativo</v>
      </c>
      <c r="X234" s="24"/>
      <c r="Y234" s="54" t="s">
        <v>91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163433.3</v>
      </c>
    </row>
    <row r="235" ht="15.75" customHeight="1">
      <c r="A235" s="44" t="s">
        <v>36</v>
      </c>
      <c r="B235" s="45" t="s">
        <v>872</v>
      </c>
      <c r="C235" s="150" t="s">
        <v>873</v>
      </c>
      <c r="D235" s="94" t="s">
        <v>86</v>
      </c>
      <c r="E235" s="151" t="s">
        <v>29</v>
      </c>
      <c r="F235" s="47" t="s">
        <v>87</v>
      </c>
      <c r="G235" s="47" t="str">
        <f t="shared" si="1"/>
        <v>Bruno</v>
      </c>
      <c r="H235" s="152" t="s">
        <v>88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60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89</v>
      </c>
      <c r="U235" s="25" t="s">
        <v>874</v>
      </c>
      <c r="V235" s="13" t="s">
        <v>29</v>
      </c>
      <c r="W235" s="53" t="str">
        <f t="shared" si="3"/>
        <v>Ativo</v>
      </c>
      <c r="X235" s="151"/>
      <c r="Y235" s="157" t="s">
        <v>91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2863928</v>
      </c>
    </row>
    <row r="236" ht="15.75" customHeight="1">
      <c r="A236" s="44" t="s">
        <v>36</v>
      </c>
      <c r="B236" s="129" t="s">
        <v>875</v>
      </c>
      <c r="C236" s="82" t="s">
        <v>876</v>
      </c>
      <c r="D236" s="47" t="s">
        <v>18</v>
      </c>
      <c r="E236" s="24" t="s">
        <v>29</v>
      </c>
      <c r="F236" s="24" t="s">
        <v>44</v>
      </c>
      <c r="G236" s="47" t="str">
        <f t="shared" si="1"/>
        <v>#N/A</v>
      </c>
      <c r="H236" s="53" t="s">
        <v>116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60</v>
      </c>
      <c r="N236" s="116">
        <v>0.012</v>
      </c>
      <c r="O236" s="47" t="s">
        <v>24</v>
      </c>
      <c r="P236" s="51">
        <v>0.0</v>
      </c>
      <c r="Q236" s="62" t="s">
        <v>211</v>
      </c>
      <c r="R236" s="52"/>
      <c r="S236" s="52"/>
      <c r="T236" s="24" t="s">
        <v>89</v>
      </c>
      <c r="U236" s="25" t="s">
        <v>877</v>
      </c>
      <c r="V236" s="9" t="s">
        <v>715</v>
      </c>
      <c r="W236" s="53" t="str">
        <f t="shared" si="3"/>
        <v>Ativo</v>
      </c>
      <c r="X236" s="24"/>
      <c r="Y236" s="54" t="s">
        <v>91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36</v>
      </c>
      <c r="B237" s="45" t="s">
        <v>878</v>
      </c>
      <c r="C237" s="46" t="s">
        <v>879</v>
      </c>
      <c r="D237" s="47" t="s">
        <v>18</v>
      </c>
      <c r="E237" s="24" t="s">
        <v>29</v>
      </c>
      <c r="F237" s="25" t="s">
        <v>110</v>
      </c>
      <c r="G237" s="47" t="str">
        <f t="shared" si="1"/>
        <v>Augusto</v>
      </c>
      <c r="H237" s="48" t="s">
        <v>88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243</v>
      </c>
      <c r="N237" s="116">
        <v>0.02</v>
      </c>
      <c r="O237" s="24" t="s">
        <v>46</v>
      </c>
      <c r="P237" s="117">
        <v>0.2</v>
      </c>
      <c r="Q237" s="52"/>
      <c r="R237" s="52"/>
      <c r="S237" s="62" t="s">
        <v>880</v>
      </c>
      <c r="T237" s="24" t="s">
        <v>89</v>
      </c>
      <c r="U237" s="25" t="s">
        <v>881</v>
      </c>
      <c r="V237" s="9" t="s">
        <v>29</v>
      </c>
      <c r="W237" s="53" t="str">
        <f t="shared" si="3"/>
        <v>Ativo</v>
      </c>
      <c r="X237" s="24"/>
      <c r="Y237" s="54" t="s">
        <v>95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56634.14</v>
      </c>
    </row>
    <row r="238" ht="15.75" customHeight="1">
      <c r="A238" s="44" t="s">
        <v>36</v>
      </c>
      <c r="B238" s="45" t="s">
        <v>882</v>
      </c>
      <c r="C238" s="46" t="s">
        <v>883</v>
      </c>
      <c r="D238" s="47" t="s">
        <v>18</v>
      </c>
      <c r="E238" s="24" t="s">
        <v>29</v>
      </c>
      <c r="F238" s="47" t="s">
        <v>137</v>
      </c>
      <c r="G238" s="47" t="str">
        <f t="shared" si="1"/>
        <v>Augusto</v>
      </c>
      <c r="H238" s="53" t="s">
        <v>116</v>
      </c>
      <c r="I238" s="53" t="s">
        <v>130</v>
      </c>
      <c r="J238" s="47" t="str">
        <f t="shared" si="2"/>
        <v>Não</v>
      </c>
      <c r="K238" s="49">
        <v>44993.0</v>
      </c>
      <c r="L238" s="24"/>
      <c r="M238" s="24" t="s">
        <v>60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89</v>
      </c>
      <c r="U238" s="25" t="s">
        <v>884</v>
      </c>
      <c r="V238" s="9" t="s">
        <v>29</v>
      </c>
      <c r="W238" s="53" t="str">
        <f t="shared" si="3"/>
        <v>Ativo</v>
      </c>
      <c r="X238" s="24"/>
      <c r="Y238" s="54" t="s">
        <v>95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36</v>
      </c>
      <c r="B239" s="45" t="s">
        <v>885</v>
      </c>
      <c r="C239" s="46" t="s">
        <v>886</v>
      </c>
      <c r="D239" s="47" t="s">
        <v>18</v>
      </c>
      <c r="E239" s="24" t="s">
        <v>29</v>
      </c>
      <c r="F239" s="47" t="s">
        <v>137</v>
      </c>
      <c r="G239" s="47" t="str">
        <f t="shared" si="1"/>
        <v>#N/A</v>
      </c>
      <c r="H239" s="53" t="s">
        <v>116</v>
      </c>
      <c r="I239" s="53" t="s">
        <v>130</v>
      </c>
      <c r="J239" s="47" t="str">
        <f t="shared" si="2"/>
        <v>Não</v>
      </c>
      <c r="K239" s="49">
        <v>45056.0</v>
      </c>
      <c r="L239" s="64"/>
      <c r="M239" s="24" t="s">
        <v>162</v>
      </c>
      <c r="N239" s="50">
        <v>0.025</v>
      </c>
      <c r="O239" s="47" t="s">
        <v>163</v>
      </c>
      <c r="P239" s="51">
        <v>0.2</v>
      </c>
      <c r="Q239" s="52"/>
      <c r="R239" s="52"/>
      <c r="S239" s="52"/>
      <c r="T239" s="24" t="s">
        <v>89</v>
      </c>
      <c r="U239" s="25" t="s">
        <v>884</v>
      </c>
      <c r="V239" s="9" t="s">
        <v>29</v>
      </c>
      <c r="W239" s="53" t="str">
        <f t="shared" si="3"/>
        <v>Ativo</v>
      </c>
      <c r="X239" s="24"/>
      <c r="Y239" s="54" t="s">
        <v>95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36</v>
      </c>
      <c r="B240" s="45" t="s">
        <v>887</v>
      </c>
      <c r="C240" s="46" t="s">
        <v>888</v>
      </c>
      <c r="D240" s="47" t="s">
        <v>822</v>
      </c>
      <c r="E240" s="24" t="s">
        <v>19</v>
      </c>
      <c r="F240" s="47" t="s">
        <v>823</v>
      </c>
      <c r="G240" s="47" t="str">
        <f t="shared" si="1"/>
        <v>Breno</v>
      </c>
      <c r="H240" s="48" t="s">
        <v>88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60</v>
      </c>
      <c r="N240" s="50">
        <v>0.01</v>
      </c>
      <c r="O240" s="47" t="s">
        <v>24</v>
      </c>
      <c r="P240" s="51">
        <v>0.0</v>
      </c>
      <c r="Q240" s="96" t="s">
        <v>824</v>
      </c>
      <c r="R240" s="52"/>
      <c r="S240" s="52"/>
      <c r="T240" s="24" t="s">
        <v>89</v>
      </c>
      <c r="U240" s="25" t="s">
        <v>889</v>
      </c>
      <c r="V240" s="9" t="s">
        <v>19</v>
      </c>
      <c r="W240" s="53" t="str">
        <f t="shared" si="3"/>
        <v>Ativo</v>
      </c>
      <c r="X240" s="24"/>
      <c r="Y240" s="54" t="s">
        <v>91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668647</v>
      </c>
    </row>
    <row r="241" ht="15.75" customHeight="1">
      <c r="A241" s="44" t="s">
        <v>36</v>
      </c>
      <c r="B241" s="45" t="s">
        <v>887</v>
      </c>
      <c r="C241" s="46" t="s">
        <v>890</v>
      </c>
      <c r="D241" s="47" t="s">
        <v>822</v>
      </c>
      <c r="E241" s="24" t="s">
        <v>19</v>
      </c>
      <c r="F241" s="47" t="s">
        <v>823</v>
      </c>
      <c r="G241" s="47" t="str">
        <f t="shared" si="1"/>
        <v>Breno</v>
      </c>
      <c r="H241" s="53" t="s">
        <v>116</v>
      </c>
      <c r="I241" s="53" t="s">
        <v>117</v>
      </c>
      <c r="J241" s="47" t="str">
        <f t="shared" si="2"/>
        <v>Não</v>
      </c>
      <c r="K241" s="49">
        <v>45260.0</v>
      </c>
      <c r="L241" s="64"/>
      <c r="M241" s="24" t="s">
        <v>118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89</v>
      </c>
      <c r="U241" s="25" t="s">
        <v>889</v>
      </c>
      <c r="V241" s="9" t="s">
        <v>19</v>
      </c>
      <c r="W241" s="53" t="str">
        <f t="shared" si="3"/>
        <v>Ativo</v>
      </c>
      <c r="X241" s="24"/>
      <c r="Y241" s="54" t="s">
        <v>91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565416.6</v>
      </c>
    </row>
    <row r="242" ht="15.75" customHeight="1">
      <c r="A242" s="44" t="s">
        <v>36</v>
      </c>
      <c r="B242" s="45" t="s">
        <v>891</v>
      </c>
      <c r="C242" s="46" t="s">
        <v>892</v>
      </c>
      <c r="D242" s="9" t="s">
        <v>18</v>
      </c>
      <c r="E242" s="24" t="s">
        <v>29</v>
      </c>
      <c r="F242" s="9" t="s">
        <v>98</v>
      </c>
      <c r="G242" s="47" t="str">
        <f t="shared" si="1"/>
        <v>Augusto</v>
      </c>
      <c r="H242" s="48" t="s">
        <v>88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45</v>
      </c>
      <c r="N242" s="50">
        <v>0.014</v>
      </c>
      <c r="O242" s="47" t="s">
        <v>46</v>
      </c>
      <c r="P242" s="51">
        <v>0.2</v>
      </c>
      <c r="Q242" s="96"/>
      <c r="R242" s="52"/>
      <c r="S242" s="52"/>
      <c r="T242" s="24" t="s">
        <v>89</v>
      </c>
      <c r="U242" s="25" t="s">
        <v>893</v>
      </c>
      <c r="V242" s="9" t="s">
        <v>29</v>
      </c>
      <c r="W242" s="53" t="str">
        <f t="shared" si="3"/>
        <v>Ativo</v>
      </c>
      <c r="X242" s="24"/>
      <c r="Y242" s="54" t="s">
        <v>95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115809.6</v>
      </c>
    </row>
    <row r="243" ht="15.75" customHeight="1">
      <c r="A243" s="44" t="s">
        <v>36</v>
      </c>
      <c r="B243" s="45" t="s">
        <v>894</v>
      </c>
      <c r="C243" s="46" t="s">
        <v>895</v>
      </c>
      <c r="D243" s="47" t="s">
        <v>18</v>
      </c>
      <c r="E243" s="24" t="s">
        <v>145</v>
      </c>
      <c r="F243" s="47" t="s">
        <v>146</v>
      </c>
      <c r="G243" s="47" t="str">
        <f t="shared" si="1"/>
        <v>Augusto</v>
      </c>
      <c r="H243" s="48" t="s">
        <v>88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45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754</v>
      </c>
      <c r="T243" s="24" t="s">
        <v>89</v>
      </c>
      <c r="U243" s="25" t="s">
        <v>896</v>
      </c>
      <c r="V243" s="9" t="s">
        <v>149</v>
      </c>
      <c r="W243" s="53" t="str">
        <f t="shared" si="3"/>
        <v>Ativo</v>
      </c>
      <c r="X243" s="24"/>
      <c r="Y243" s="54" t="s">
        <v>91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109568.1</v>
      </c>
    </row>
    <row r="244" ht="15.75" customHeight="1">
      <c r="A244" s="44" t="s">
        <v>36</v>
      </c>
      <c r="B244" s="63" t="s">
        <v>897</v>
      </c>
      <c r="C244" s="46" t="s">
        <v>898</v>
      </c>
      <c r="D244" s="47" t="s">
        <v>18</v>
      </c>
      <c r="E244" s="24" t="s">
        <v>145</v>
      </c>
      <c r="F244" s="47" t="s">
        <v>146</v>
      </c>
      <c r="G244" s="47" t="str">
        <f t="shared" si="1"/>
        <v>Augusto</v>
      </c>
      <c r="H244" s="48" t="s">
        <v>88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60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899</v>
      </c>
      <c r="T244" s="24" t="s">
        <v>89</v>
      </c>
      <c r="U244" s="25" t="s">
        <v>900</v>
      </c>
      <c r="V244" s="53" t="s">
        <v>149</v>
      </c>
      <c r="W244" s="53" t="str">
        <f t="shared" si="3"/>
        <v>Ativo</v>
      </c>
      <c r="X244" s="24"/>
      <c r="Y244" s="54" t="s">
        <v>91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362195.6</v>
      </c>
    </row>
    <row r="245" ht="15.75" customHeight="1">
      <c r="A245" s="44" t="s">
        <v>36</v>
      </c>
      <c r="B245" s="63" t="s">
        <v>897</v>
      </c>
      <c r="C245" s="46" t="s">
        <v>901</v>
      </c>
      <c r="D245" s="47" t="s">
        <v>18</v>
      </c>
      <c r="E245" s="24" t="s">
        <v>145</v>
      </c>
      <c r="F245" s="47" t="s">
        <v>146</v>
      </c>
      <c r="G245" s="47" t="str">
        <f t="shared" si="1"/>
        <v>Augusto</v>
      </c>
      <c r="H245" s="48" t="s">
        <v>116</v>
      </c>
      <c r="I245" s="53" t="s">
        <v>117</v>
      </c>
      <c r="J245" s="47" t="str">
        <f t="shared" si="2"/>
        <v>Sim</v>
      </c>
      <c r="K245" s="49">
        <v>45062.0</v>
      </c>
      <c r="L245" s="64"/>
      <c r="M245" s="25" t="s">
        <v>118</v>
      </c>
      <c r="N245" s="50">
        <v>0.0</v>
      </c>
      <c r="O245" s="47" t="s">
        <v>24</v>
      </c>
      <c r="P245" s="51">
        <v>0.0</v>
      </c>
      <c r="Q245" s="160" t="s">
        <v>902</v>
      </c>
      <c r="R245" s="52"/>
      <c r="S245" s="52"/>
      <c r="T245" s="24" t="s">
        <v>89</v>
      </c>
      <c r="U245" s="25" t="s">
        <v>900</v>
      </c>
      <c r="V245" s="53" t="s">
        <v>149</v>
      </c>
      <c r="W245" s="53" t="str">
        <f t="shared" si="3"/>
        <v>Ativo</v>
      </c>
      <c r="X245" s="24"/>
      <c r="Y245" s="54" t="s">
        <v>91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18194.62</v>
      </c>
    </row>
    <row r="246" ht="15.75" customHeight="1">
      <c r="A246" s="44" t="s">
        <v>36</v>
      </c>
      <c r="B246" s="45" t="s">
        <v>903</v>
      </c>
      <c r="C246" s="46" t="s">
        <v>904</v>
      </c>
      <c r="D246" s="47" t="s">
        <v>86</v>
      </c>
      <c r="E246" s="24" t="s">
        <v>29</v>
      </c>
      <c r="F246" s="47" t="s">
        <v>773</v>
      </c>
      <c r="G246" s="47" t="str">
        <f t="shared" si="1"/>
        <v>Bruno</v>
      </c>
      <c r="H246" s="48" t="s">
        <v>88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60</v>
      </c>
      <c r="N246" s="50">
        <v>0.01</v>
      </c>
      <c r="O246" s="47" t="s">
        <v>24</v>
      </c>
      <c r="P246" s="51">
        <v>0.0</v>
      </c>
      <c r="Q246" s="161" t="s">
        <v>905</v>
      </c>
      <c r="R246" s="52"/>
      <c r="S246" s="52"/>
      <c r="T246" s="24" t="s">
        <v>89</v>
      </c>
      <c r="U246" s="25" t="s">
        <v>906</v>
      </c>
      <c r="V246" s="9" t="s">
        <v>29</v>
      </c>
      <c r="W246" s="53" t="str">
        <f t="shared" si="3"/>
        <v>Ativo</v>
      </c>
      <c r="X246" s="24"/>
      <c r="Y246" s="54" t="s">
        <v>91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1313491</v>
      </c>
    </row>
    <row r="247" ht="15.75" customHeight="1">
      <c r="A247" s="44" t="s">
        <v>36</v>
      </c>
      <c r="B247" s="45" t="s">
        <v>907</v>
      </c>
      <c r="C247" s="46" t="s">
        <v>908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88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60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909</v>
      </c>
      <c r="T247" s="24" t="s">
        <v>329</v>
      </c>
      <c r="U247" s="25" t="s">
        <v>910</v>
      </c>
      <c r="V247" s="9" t="s">
        <v>19</v>
      </c>
      <c r="W247" s="53" t="str">
        <f t="shared" si="3"/>
        <v>Ativo</v>
      </c>
      <c r="X247" s="24"/>
      <c r="Y247" s="54" t="s">
        <v>95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35538.76</v>
      </c>
    </row>
    <row r="248" ht="15.75" customHeight="1">
      <c r="A248" s="44" t="s">
        <v>36</v>
      </c>
      <c r="B248" s="45" t="s">
        <v>911</v>
      </c>
      <c r="C248" s="46" t="s">
        <v>912</v>
      </c>
      <c r="D248" s="47" t="s">
        <v>18</v>
      </c>
      <c r="E248" s="24" t="s">
        <v>145</v>
      </c>
      <c r="F248" s="47" t="s">
        <v>171</v>
      </c>
      <c r="G248" s="47" t="str">
        <f t="shared" si="1"/>
        <v>Augusto</v>
      </c>
      <c r="H248" s="48" t="s">
        <v>88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111</v>
      </c>
      <c r="N248" s="50">
        <v>0.015</v>
      </c>
      <c r="O248" s="47" t="s">
        <v>46</v>
      </c>
      <c r="P248" s="51">
        <v>0.1</v>
      </c>
      <c r="Q248" s="75"/>
      <c r="R248" s="75"/>
      <c r="S248" s="62" t="s">
        <v>522</v>
      </c>
      <c r="T248" s="24" t="s">
        <v>89</v>
      </c>
      <c r="U248" s="25" t="s">
        <v>913</v>
      </c>
      <c r="V248" s="9" t="s">
        <v>180</v>
      </c>
      <c r="W248" s="53" t="str">
        <f t="shared" si="3"/>
        <v>Ativo</v>
      </c>
      <c r="X248" s="24"/>
      <c r="Y248" s="54" t="s">
        <v>91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295077.7</v>
      </c>
    </row>
    <row r="249" ht="15.75" customHeight="1">
      <c r="A249" s="44" t="s">
        <v>36</v>
      </c>
      <c r="B249" s="45" t="s">
        <v>914</v>
      </c>
      <c r="C249" s="46" t="s">
        <v>915</v>
      </c>
      <c r="D249" s="47" t="s">
        <v>18</v>
      </c>
      <c r="E249" s="24" t="s">
        <v>145</v>
      </c>
      <c r="F249" s="47" t="s">
        <v>146</v>
      </c>
      <c r="G249" s="47" t="str">
        <f t="shared" si="1"/>
        <v>Breno</v>
      </c>
      <c r="H249" s="48" t="s">
        <v>88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111</v>
      </c>
      <c r="N249" s="50">
        <v>0.015</v>
      </c>
      <c r="O249" s="47" t="s">
        <v>46</v>
      </c>
      <c r="P249" s="51">
        <v>0.1</v>
      </c>
      <c r="Q249" s="75"/>
      <c r="R249" s="75"/>
      <c r="S249" s="62" t="s">
        <v>916</v>
      </c>
      <c r="T249" s="24" t="s">
        <v>89</v>
      </c>
      <c r="U249" s="25" t="s">
        <v>917</v>
      </c>
      <c r="V249" s="9" t="s">
        <v>149</v>
      </c>
      <c r="W249" s="53" t="str">
        <f t="shared" si="3"/>
        <v>Ativo</v>
      </c>
      <c r="X249" s="24"/>
      <c r="Y249" s="54" t="s">
        <v>91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404737.6</v>
      </c>
    </row>
    <row r="250" ht="15.75" customHeight="1">
      <c r="A250" s="44" t="s">
        <v>36</v>
      </c>
      <c r="B250" s="45" t="s">
        <v>918</v>
      </c>
      <c r="C250" s="46" t="s">
        <v>919</v>
      </c>
      <c r="D250" s="47" t="s">
        <v>18</v>
      </c>
      <c r="E250" s="24" t="s">
        <v>19</v>
      </c>
      <c r="F250" s="47" t="s">
        <v>230</v>
      </c>
      <c r="G250" s="47" t="str">
        <f t="shared" si="1"/>
        <v>Augusto</v>
      </c>
      <c r="H250" s="53" t="s">
        <v>116</v>
      </c>
      <c r="I250" s="48" t="s">
        <v>161</v>
      </c>
      <c r="J250" s="47" t="str">
        <f t="shared" si="2"/>
        <v>Não</v>
      </c>
      <c r="K250" s="49">
        <v>44928.0</v>
      </c>
      <c r="L250" s="24"/>
      <c r="M250" s="24" t="s">
        <v>60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920</v>
      </c>
      <c r="T250" s="24" t="s">
        <v>89</v>
      </c>
      <c r="U250" s="25" t="s">
        <v>921</v>
      </c>
      <c r="V250" s="9" t="s">
        <v>29</v>
      </c>
      <c r="W250" s="53" t="str">
        <f t="shared" si="3"/>
        <v>Ativo</v>
      </c>
      <c r="X250" s="24"/>
      <c r="Y250" s="54" t="s">
        <v>95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9.75</v>
      </c>
    </row>
    <row r="251" ht="15.75" customHeight="1">
      <c r="A251" s="44" t="s">
        <v>36</v>
      </c>
      <c r="B251" s="45" t="s">
        <v>922</v>
      </c>
      <c r="C251" s="46" t="s">
        <v>923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157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60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89</v>
      </c>
      <c r="U251" s="25" t="s">
        <v>924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36</v>
      </c>
      <c r="B252" s="45" t="s">
        <v>925</v>
      </c>
      <c r="C252" s="46" t="s">
        <v>926</v>
      </c>
      <c r="D252" s="47" t="s">
        <v>18</v>
      </c>
      <c r="E252" s="24" t="s">
        <v>29</v>
      </c>
      <c r="F252" s="47" t="s">
        <v>110</v>
      </c>
      <c r="G252" s="47" t="str">
        <f t="shared" si="1"/>
        <v>Augusto</v>
      </c>
      <c r="H252" s="53" t="s">
        <v>116</v>
      </c>
      <c r="I252" s="53" t="s">
        <v>161</v>
      </c>
      <c r="J252" s="47" t="str">
        <f t="shared" si="2"/>
        <v>Não</v>
      </c>
      <c r="K252" s="49">
        <v>44924.0</v>
      </c>
      <c r="L252" s="24"/>
      <c r="M252" s="24" t="s">
        <v>60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89</v>
      </c>
      <c r="U252" s="25" t="s">
        <v>927</v>
      </c>
      <c r="V252" s="9" t="s">
        <v>715</v>
      </c>
      <c r="W252" s="53" t="str">
        <f t="shared" si="3"/>
        <v>Ativo</v>
      </c>
      <c r="X252" s="24"/>
      <c r="Y252" s="54" t="s">
        <v>95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139.24</v>
      </c>
    </row>
    <row r="253" ht="15.75" customHeight="1">
      <c r="A253" s="44" t="s">
        <v>36</v>
      </c>
      <c r="B253" s="45" t="s">
        <v>928</v>
      </c>
      <c r="C253" s="46" t="s">
        <v>929</v>
      </c>
      <c r="D253" s="47" t="s">
        <v>18</v>
      </c>
      <c r="E253" s="24" t="s">
        <v>145</v>
      </c>
      <c r="F253" s="47" t="s">
        <v>478</v>
      </c>
      <c r="G253" s="47" t="str">
        <f t="shared" si="1"/>
        <v>#N/A</v>
      </c>
      <c r="H253" s="48" t="s">
        <v>116</v>
      </c>
      <c r="I253" s="48" t="s">
        <v>161</v>
      </c>
      <c r="J253" s="47" t="str">
        <f t="shared" si="2"/>
        <v>Não</v>
      </c>
      <c r="K253" s="49">
        <v>45166.0</v>
      </c>
      <c r="L253" s="64"/>
      <c r="M253" s="24" t="s">
        <v>60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930</v>
      </c>
      <c r="T253" s="24" t="s">
        <v>89</v>
      </c>
      <c r="U253" s="25" t="s">
        <v>931</v>
      </c>
      <c r="V253" s="9" t="s">
        <v>180</v>
      </c>
      <c r="W253" s="53" t="str">
        <f t="shared" si="3"/>
        <v>Ativo</v>
      </c>
      <c r="X253" s="24"/>
      <c r="Y253" s="54" t="s">
        <v>91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123" t="s">
        <v>932</v>
      </c>
      <c r="C254" s="73" t="s">
        <v>933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88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60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329</v>
      </c>
      <c r="U254" s="25" t="s">
        <v>934</v>
      </c>
      <c r="V254" s="9" t="s">
        <v>19</v>
      </c>
      <c r="W254" s="53" t="str">
        <f t="shared" si="3"/>
        <v>Ativo</v>
      </c>
      <c r="X254" s="24"/>
      <c r="Y254" s="54" t="s">
        <v>95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1801295</v>
      </c>
    </row>
    <row r="255" ht="15.75" customHeight="1">
      <c r="A255" s="44" t="s">
        <v>36</v>
      </c>
      <c r="B255" s="45" t="s">
        <v>935</v>
      </c>
      <c r="C255" s="46" t="s">
        <v>936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88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60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89</v>
      </c>
      <c r="U255" s="25" t="s">
        <v>937</v>
      </c>
      <c r="V255" s="9" t="s">
        <v>19</v>
      </c>
      <c r="W255" s="53" t="str">
        <f t="shared" si="3"/>
        <v>Ativo</v>
      </c>
      <c r="X255" s="24"/>
      <c r="Y255" s="54" t="s">
        <v>95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9210.3</v>
      </c>
    </row>
    <row r="256" ht="15.75" customHeight="1">
      <c r="A256" s="44" t="s">
        <v>36</v>
      </c>
      <c r="B256" s="45" t="s">
        <v>938</v>
      </c>
      <c r="C256" s="46" t="s">
        <v>939</v>
      </c>
      <c r="D256" s="47" t="s">
        <v>18</v>
      </c>
      <c r="E256" s="24" t="s">
        <v>29</v>
      </c>
      <c r="F256" s="47" t="s">
        <v>58</v>
      </c>
      <c r="G256" s="47" t="str">
        <f t="shared" si="1"/>
        <v>Augusto</v>
      </c>
      <c r="H256" s="48" t="s">
        <v>88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99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940</v>
      </c>
      <c r="T256" s="24" t="s">
        <v>89</v>
      </c>
      <c r="U256" s="25" t="s">
        <v>941</v>
      </c>
      <c r="V256" s="9" t="s">
        <v>29</v>
      </c>
      <c r="W256" s="53" t="str">
        <f t="shared" si="3"/>
        <v>Ativo</v>
      </c>
      <c r="X256" s="24"/>
      <c r="Y256" s="54" t="s">
        <v>95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25802.38</v>
      </c>
    </row>
    <row r="257" ht="15.75" customHeight="1">
      <c r="A257" s="44" t="s">
        <v>36</v>
      </c>
      <c r="B257" s="68" t="s">
        <v>942</v>
      </c>
      <c r="C257" s="130" t="s">
        <v>943</v>
      </c>
      <c r="D257" s="47" t="s">
        <v>18</v>
      </c>
      <c r="E257" s="24" t="s">
        <v>145</v>
      </c>
      <c r="F257" s="92" t="s">
        <v>146</v>
      </c>
      <c r="G257" s="47" t="str">
        <f t="shared" si="1"/>
        <v>Augusto</v>
      </c>
      <c r="H257" s="53" t="s">
        <v>116</v>
      </c>
      <c r="I257" s="53" t="s">
        <v>161</v>
      </c>
      <c r="J257" s="47" t="str">
        <f t="shared" si="2"/>
        <v>Não</v>
      </c>
      <c r="K257" s="49">
        <v>45212.0</v>
      </c>
      <c r="L257" s="24"/>
      <c r="M257" s="24" t="s">
        <v>99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89</v>
      </c>
      <c r="U257" s="25" t="s">
        <v>944</v>
      </c>
      <c r="V257" s="9" t="s">
        <v>149</v>
      </c>
      <c r="W257" s="53" t="str">
        <f t="shared" si="3"/>
        <v>Ativo</v>
      </c>
      <c r="X257" s="24"/>
      <c r="Y257" s="54" t="s">
        <v>91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36</v>
      </c>
      <c r="B258" s="45" t="s">
        <v>945</v>
      </c>
      <c r="C258" s="46" t="s">
        <v>946</v>
      </c>
      <c r="D258" s="47" t="s">
        <v>18</v>
      </c>
      <c r="E258" s="24" t="s">
        <v>19</v>
      </c>
      <c r="F258" s="47" t="s">
        <v>201</v>
      </c>
      <c r="G258" s="47" t="str">
        <f t="shared" si="1"/>
        <v>Augusto</v>
      </c>
      <c r="H258" s="48" t="s">
        <v>88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60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89</v>
      </c>
      <c r="U258" s="25" t="s">
        <v>947</v>
      </c>
      <c r="V258" s="9" t="s">
        <v>19</v>
      </c>
      <c r="W258" s="53" t="str">
        <f t="shared" si="3"/>
        <v>Ativo</v>
      </c>
      <c r="X258" s="24"/>
      <c r="Y258" s="54" t="s">
        <v>95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58621.95</v>
      </c>
    </row>
    <row r="259" ht="15.75" customHeight="1">
      <c r="A259" s="44" t="s">
        <v>36</v>
      </c>
      <c r="B259" s="45" t="s">
        <v>948</v>
      </c>
      <c r="C259" s="69" t="s">
        <v>949</v>
      </c>
      <c r="D259" s="47" t="s">
        <v>86</v>
      </c>
      <c r="E259" s="24" t="s">
        <v>29</v>
      </c>
      <c r="F259" s="47" t="s">
        <v>87</v>
      </c>
      <c r="G259" s="47" t="str">
        <f t="shared" si="1"/>
        <v>Breno</v>
      </c>
      <c r="H259" s="48" t="s">
        <v>88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111</v>
      </c>
      <c r="N259" s="50">
        <v>0.01</v>
      </c>
      <c r="O259" s="47" t="s">
        <v>46</v>
      </c>
      <c r="P259" s="51">
        <v>0.1</v>
      </c>
      <c r="Q259" s="52"/>
      <c r="R259" s="52"/>
      <c r="S259" s="106"/>
      <c r="T259" s="24" t="s">
        <v>89</v>
      </c>
      <c r="U259" s="25" t="s">
        <v>950</v>
      </c>
      <c r="V259" s="9" t="s">
        <v>29</v>
      </c>
      <c r="W259" s="53" t="str">
        <f t="shared" si="3"/>
        <v>Ativo</v>
      </c>
      <c r="X259" s="24"/>
      <c r="Y259" s="54" t="s">
        <v>91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424840</v>
      </c>
    </row>
    <row r="260" ht="15.75" customHeight="1">
      <c r="A260" s="6" t="s">
        <v>36</v>
      </c>
      <c r="B260" s="45" t="s">
        <v>951</v>
      </c>
      <c r="C260" s="46" t="s">
        <v>952</v>
      </c>
      <c r="D260" s="9" t="s">
        <v>86</v>
      </c>
      <c r="E260" s="25" t="s">
        <v>29</v>
      </c>
      <c r="F260" s="24" t="s">
        <v>115</v>
      </c>
      <c r="G260" s="47" t="str">
        <f t="shared" si="1"/>
        <v>Augusto</v>
      </c>
      <c r="H260" s="53" t="s">
        <v>116</v>
      </c>
      <c r="I260" s="53" t="s">
        <v>117</v>
      </c>
      <c r="J260" s="47" t="str">
        <f t="shared" si="2"/>
        <v>Sim</v>
      </c>
      <c r="K260" s="59">
        <v>45279.0</v>
      </c>
      <c r="L260" s="24"/>
      <c r="M260" s="25" t="s">
        <v>118</v>
      </c>
      <c r="N260" s="60">
        <v>0.003</v>
      </c>
      <c r="O260" s="9" t="s">
        <v>24</v>
      </c>
      <c r="P260" s="61">
        <v>0.0</v>
      </c>
      <c r="Q260" s="15" t="s">
        <v>119</v>
      </c>
      <c r="R260" s="106"/>
      <c r="S260" s="106"/>
      <c r="T260" s="25" t="s">
        <v>89</v>
      </c>
      <c r="U260" s="25" t="s">
        <v>953</v>
      </c>
      <c r="V260" s="9" t="s">
        <v>29</v>
      </c>
      <c r="W260" s="53" t="str">
        <f t="shared" si="3"/>
        <v>Ativo</v>
      </c>
      <c r="X260" s="24"/>
      <c r="Y260" s="54" t="s">
        <v>91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36</v>
      </c>
      <c r="B261" s="63" t="s">
        <v>954</v>
      </c>
      <c r="C261" s="46" t="s">
        <v>955</v>
      </c>
      <c r="D261" s="47" t="s">
        <v>18</v>
      </c>
      <c r="E261" s="24" t="s">
        <v>145</v>
      </c>
      <c r="F261" s="47" t="s">
        <v>171</v>
      </c>
      <c r="G261" s="47" t="str">
        <f t="shared" si="1"/>
        <v>Augusto</v>
      </c>
      <c r="H261" s="48" t="s">
        <v>88</v>
      </c>
      <c r="I261" s="48" t="s">
        <v>24</v>
      </c>
      <c r="J261" s="47" t="str">
        <f t="shared" si="2"/>
        <v>Sim</v>
      </c>
      <c r="K261" s="49">
        <v>45022.0</v>
      </c>
      <c r="L261" s="24"/>
      <c r="M261" s="24" t="s">
        <v>111</v>
      </c>
      <c r="N261" s="50">
        <v>0.015</v>
      </c>
      <c r="O261" s="47" t="s">
        <v>46</v>
      </c>
      <c r="P261" s="51">
        <v>0.1</v>
      </c>
      <c r="Q261" s="62" t="s">
        <v>956</v>
      </c>
      <c r="R261" s="106"/>
      <c r="S261" s="106"/>
      <c r="T261" s="24" t="s">
        <v>89</v>
      </c>
      <c r="U261" s="25" t="s">
        <v>957</v>
      </c>
      <c r="V261" s="9" t="s">
        <v>149</v>
      </c>
      <c r="W261" s="53" t="str">
        <f t="shared" si="3"/>
        <v>Ativo</v>
      </c>
      <c r="X261" s="24"/>
      <c r="Y261" s="54" t="s">
        <v>91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190536.2</v>
      </c>
    </row>
    <row r="262" ht="15.75" customHeight="1">
      <c r="A262" s="44" t="s">
        <v>36</v>
      </c>
      <c r="B262" s="45" t="s">
        <v>958</v>
      </c>
      <c r="C262" s="46" t="s">
        <v>959</v>
      </c>
      <c r="D262" s="47" t="s">
        <v>18</v>
      </c>
      <c r="E262" s="24" t="s">
        <v>19</v>
      </c>
      <c r="F262" s="47" t="s">
        <v>52</v>
      </c>
      <c r="G262" s="47" t="str">
        <f t="shared" si="1"/>
        <v>Augusto</v>
      </c>
      <c r="H262" s="48" t="s">
        <v>88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60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89</v>
      </c>
      <c r="U262" s="25" t="s">
        <v>960</v>
      </c>
      <c r="V262" s="9" t="s">
        <v>19</v>
      </c>
      <c r="W262" s="53" t="str">
        <f t="shared" si="3"/>
        <v>Ativo</v>
      </c>
      <c r="X262" s="24"/>
      <c r="Y262" s="54" t="s">
        <v>95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300008.9</v>
      </c>
    </row>
    <row r="263" ht="15.75" customHeight="1">
      <c r="A263" s="44" t="s">
        <v>36</v>
      </c>
      <c r="B263" s="45" t="s">
        <v>961</v>
      </c>
      <c r="C263" s="46" t="s">
        <v>962</v>
      </c>
      <c r="D263" s="47" t="s">
        <v>18</v>
      </c>
      <c r="E263" s="24" t="s">
        <v>29</v>
      </c>
      <c r="F263" s="47" t="s">
        <v>58</v>
      </c>
      <c r="G263" s="47" t="str">
        <f t="shared" si="1"/>
        <v>Augusto</v>
      </c>
      <c r="H263" s="48" t="s">
        <v>88</v>
      </c>
      <c r="I263" s="48" t="s">
        <v>24</v>
      </c>
      <c r="J263" s="47" t="str">
        <f t="shared" si="2"/>
        <v>Não</v>
      </c>
      <c r="K263" s="49">
        <v>45012.0</v>
      </c>
      <c r="L263" s="24"/>
      <c r="M263" s="24" t="s">
        <v>60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89</v>
      </c>
      <c r="U263" s="25" t="s">
        <v>963</v>
      </c>
      <c r="V263" s="164" t="s">
        <v>964</v>
      </c>
      <c r="W263" s="53" t="str">
        <f t="shared" si="3"/>
        <v>Ativo</v>
      </c>
      <c r="X263" s="24"/>
      <c r="Y263" s="54" t="s">
        <v>95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43381.82</v>
      </c>
    </row>
    <row r="264" ht="15.75" customHeight="1">
      <c r="A264" s="44" t="s">
        <v>36</v>
      </c>
      <c r="B264" s="66" t="s">
        <v>965</v>
      </c>
      <c r="C264" s="67" t="s">
        <v>966</v>
      </c>
      <c r="D264" s="9" t="s">
        <v>18</v>
      </c>
      <c r="E264" s="25" t="s">
        <v>19</v>
      </c>
      <c r="F264" s="9" t="s">
        <v>20</v>
      </c>
      <c r="G264" s="47" t="str">
        <f t="shared" si="1"/>
        <v>#N/A</v>
      </c>
      <c r="H264" s="53" t="s">
        <v>178</v>
      </c>
      <c r="I264" s="53" t="s">
        <v>161</v>
      </c>
      <c r="J264" s="47" t="str">
        <f t="shared" si="2"/>
        <v>Não</v>
      </c>
      <c r="K264" s="59">
        <v>45414.0</v>
      </c>
      <c r="L264" s="24"/>
      <c r="M264" s="24" t="s">
        <v>60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5" t="s">
        <v>329</v>
      </c>
      <c r="U264" s="23" t="s">
        <v>967</v>
      </c>
      <c r="V264" s="23" t="s">
        <v>19</v>
      </c>
      <c r="W264" s="53" t="str">
        <f t="shared" si="3"/>
        <v>Ativo</v>
      </c>
      <c r="X264" s="25" t="s">
        <v>48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36</v>
      </c>
      <c r="B265" s="96" t="s">
        <v>968</v>
      </c>
      <c r="C265" s="73" t="s">
        <v>969</v>
      </c>
      <c r="D265" s="47" t="s">
        <v>86</v>
      </c>
      <c r="E265" s="24" t="s">
        <v>29</v>
      </c>
      <c r="F265" s="47" t="s">
        <v>87</v>
      </c>
      <c r="G265" s="47" t="str">
        <f t="shared" si="1"/>
        <v>Augusto</v>
      </c>
      <c r="H265" s="48" t="s">
        <v>88</v>
      </c>
      <c r="I265" s="48" t="s">
        <v>24</v>
      </c>
      <c r="J265" s="47" t="str">
        <f t="shared" si="2"/>
        <v>Não</v>
      </c>
      <c r="K265" s="49">
        <v>45257.0</v>
      </c>
      <c r="L265" s="24"/>
      <c r="M265" s="24" t="s">
        <v>45</v>
      </c>
      <c r="N265" s="50">
        <v>0.012</v>
      </c>
      <c r="O265" s="47" t="s">
        <v>46</v>
      </c>
      <c r="P265" s="51">
        <v>0.1</v>
      </c>
      <c r="Q265" s="106"/>
      <c r="R265" s="106"/>
      <c r="S265" s="106"/>
      <c r="T265" s="24" t="s">
        <v>89</v>
      </c>
      <c r="U265" s="25" t="s">
        <v>970</v>
      </c>
      <c r="V265" s="165" t="s">
        <v>29</v>
      </c>
      <c r="W265" s="53" t="str">
        <f t="shared" si="3"/>
        <v>Ativo</v>
      </c>
      <c r="X265" s="24"/>
      <c r="Y265" s="54" t="s">
        <v>91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241672.4</v>
      </c>
    </row>
    <row r="266" ht="15.75" customHeight="1">
      <c r="A266" s="44" t="s">
        <v>36</v>
      </c>
      <c r="B266" s="45" t="s">
        <v>971</v>
      </c>
      <c r="C266" s="46" t="s">
        <v>972</v>
      </c>
      <c r="D266" s="47" t="s">
        <v>18</v>
      </c>
      <c r="E266" s="24" t="s">
        <v>19</v>
      </c>
      <c r="F266" s="47" t="s">
        <v>52</v>
      </c>
      <c r="G266" s="47" t="str">
        <f t="shared" si="1"/>
        <v>Augusto</v>
      </c>
      <c r="H266" s="48" t="s">
        <v>88</v>
      </c>
      <c r="I266" s="48" t="s">
        <v>24</v>
      </c>
      <c r="J266" s="47" t="str">
        <f t="shared" si="2"/>
        <v>Não</v>
      </c>
      <c r="K266" s="49">
        <v>45132.0</v>
      </c>
      <c r="L266" s="24"/>
      <c r="M266" s="24" t="s">
        <v>60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89</v>
      </c>
      <c r="U266" s="25" t="s">
        <v>973</v>
      </c>
      <c r="V266" s="9" t="s">
        <v>19</v>
      </c>
      <c r="W266" s="53" t="str">
        <f t="shared" si="3"/>
        <v>Ativo</v>
      </c>
      <c r="X266" s="24"/>
      <c r="Y266" s="54" t="s">
        <v>95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384907.3</v>
      </c>
    </row>
    <row r="267" ht="15.75" customHeight="1">
      <c r="A267" s="44" t="s">
        <v>36</v>
      </c>
      <c r="B267" s="45" t="s">
        <v>974</v>
      </c>
      <c r="C267" s="46" t="s">
        <v>975</v>
      </c>
      <c r="D267" s="47" t="s">
        <v>18</v>
      </c>
      <c r="E267" s="24" t="s">
        <v>145</v>
      </c>
      <c r="F267" s="47" t="s">
        <v>171</v>
      </c>
      <c r="G267" s="47" t="str">
        <f t="shared" si="1"/>
        <v>#N/A</v>
      </c>
      <c r="H267" s="48" t="s">
        <v>116</v>
      </c>
      <c r="I267" s="48" t="s">
        <v>161</v>
      </c>
      <c r="J267" s="47" t="str">
        <f t="shared" si="2"/>
        <v>Não</v>
      </c>
      <c r="K267" s="49">
        <v>45103.0</v>
      </c>
      <c r="L267" s="24"/>
      <c r="M267" s="24" t="s">
        <v>111</v>
      </c>
      <c r="N267" s="50">
        <v>0.015</v>
      </c>
      <c r="O267" s="47" t="s">
        <v>46</v>
      </c>
      <c r="P267" s="51">
        <v>0.1</v>
      </c>
      <c r="Q267" s="106"/>
      <c r="R267" s="106"/>
      <c r="S267" s="166" t="s">
        <v>976</v>
      </c>
      <c r="T267" s="24" t="s">
        <v>89</v>
      </c>
      <c r="U267" s="25" t="s">
        <v>977</v>
      </c>
      <c r="V267" s="9" t="s">
        <v>715</v>
      </c>
      <c r="W267" s="53" t="str">
        <f t="shared" si="3"/>
        <v>Ativo</v>
      </c>
      <c r="X267" s="24"/>
      <c r="Y267" s="54" t="s">
        <v>91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63" t="s">
        <v>978</v>
      </c>
      <c r="C268" s="46" t="s">
        <v>979</v>
      </c>
      <c r="D268" s="47" t="s">
        <v>18</v>
      </c>
      <c r="E268" s="24" t="s">
        <v>19</v>
      </c>
      <c r="F268" s="47" t="s">
        <v>20</v>
      </c>
      <c r="G268" s="47" t="str">
        <f t="shared" si="1"/>
        <v>Bruno</v>
      </c>
      <c r="H268" s="48" t="s">
        <v>88</v>
      </c>
      <c r="I268" s="48" t="s">
        <v>24</v>
      </c>
      <c r="J268" s="47" t="str">
        <f t="shared" si="2"/>
        <v>Não</v>
      </c>
      <c r="K268" s="49">
        <v>45013.0</v>
      </c>
      <c r="L268" s="24"/>
      <c r="M268" s="25" t="s">
        <v>106</v>
      </c>
      <c r="N268" s="50">
        <v>0.012</v>
      </c>
      <c r="O268" s="9" t="s">
        <v>46</v>
      </c>
      <c r="P268" s="61">
        <v>0.1</v>
      </c>
      <c r="Q268" s="161"/>
      <c r="R268" s="106"/>
      <c r="S268" s="167" t="s">
        <v>980</v>
      </c>
      <c r="T268" s="24" t="s">
        <v>89</v>
      </c>
      <c r="U268" s="25" t="s">
        <v>981</v>
      </c>
      <c r="V268" s="9" t="s">
        <v>19</v>
      </c>
      <c r="W268" s="53" t="str">
        <f t="shared" si="3"/>
        <v>Ativo</v>
      </c>
      <c r="X268" s="24"/>
      <c r="Y268" s="54" t="s">
        <v>91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1649839</v>
      </c>
    </row>
    <row r="269" ht="15.75" customHeight="1">
      <c r="A269" s="6" t="s">
        <v>36</v>
      </c>
      <c r="B269" s="57" t="s">
        <v>982</v>
      </c>
      <c r="C269" s="58" t="s">
        <v>983</v>
      </c>
      <c r="D269" s="9" t="s">
        <v>822</v>
      </c>
      <c r="E269" s="25" t="s">
        <v>19</v>
      </c>
      <c r="F269" s="9" t="s">
        <v>823</v>
      </c>
      <c r="G269" s="47" t="str">
        <f t="shared" si="1"/>
        <v>Augusto</v>
      </c>
      <c r="H269" s="53" t="s">
        <v>88</v>
      </c>
      <c r="I269" s="53" t="s">
        <v>24</v>
      </c>
      <c r="J269" s="47" t="str">
        <f t="shared" si="2"/>
        <v>Não</v>
      </c>
      <c r="K269" s="59">
        <v>45301.0</v>
      </c>
      <c r="L269" s="24"/>
      <c r="M269" s="25" t="s">
        <v>60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5" t="s">
        <v>89</v>
      </c>
      <c r="U269" s="25" t="s">
        <v>984</v>
      </c>
      <c r="V269" s="9" t="s">
        <v>19</v>
      </c>
      <c r="W269" s="53" t="str">
        <f t="shared" si="3"/>
        <v>Ativo</v>
      </c>
      <c r="X269" s="24"/>
      <c r="Y269" s="54" t="s">
        <v>95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368465.4</v>
      </c>
    </row>
    <row r="270" ht="15.75" customHeight="1">
      <c r="A270" s="44" t="s">
        <v>36</v>
      </c>
      <c r="B270" s="81" t="s">
        <v>985</v>
      </c>
      <c r="C270" s="69" t="s">
        <v>986</v>
      </c>
      <c r="D270" s="47" t="s">
        <v>18</v>
      </c>
      <c r="E270" s="24" t="s">
        <v>145</v>
      </c>
      <c r="F270" s="47" t="s">
        <v>171</v>
      </c>
      <c r="G270" s="47" t="str">
        <f t="shared" si="1"/>
        <v>Augusto</v>
      </c>
      <c r="H270" s="48" t="s">
        <v>116</v>
      </c>
      <c r="I270" s="53" t="s">
        <v>24</v>
      </c>
      <c r="J270" s="47" t="str">
        <f t="shared" si="2"/>
        <v>Não</v>
      </c>
      <c r="K270" s="49">
        <v>45187.0</v>
      </c>
      <c r="L270" s="24"/>
      <c r="M270" s="24" t="s">
        <v>60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976</v>
      </c>
      <c r="T270" s="24" t="s">
        <v>89</v>
      </c>
      <c r="U270" s="25" t="s">
        <v>987</v>
      </c>
      <c r="V270" s="9" t="s">
        <v>149</v>
      </c>
      <c r="W270" s="53" t="str">
        <f t="shared" si="3"/>
        <v>Ativo</v>
      </c>
      <c r="X270" s="24"/>
      <c r="Y270" s="54" t="s">
        <v>91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11652.81</v>
      </c>
    </row>
    <row r="271" ht="15.75" customHeight="1">
      <c r="A271" s="44" t="s">
        <v>36</v>
      </c>
      <c r="B271" s="66" t="s">
        <v>988</v>
      </c>
      <c r="C271" s="67" t="s">
        <v>989</v>
      </c>
      <c r="D271" s="9" t="s">
        <v>18</v>
      </c>
      <c r="E271" s="25" t="s">
        <v>29</v>
      </c>
      <c r="F271" s="9" t="s">
        <v>152</v>
      </c>
      <c r="G271" s="47" t="str">
        <f t="shared" si="1"/>
        <v>Breno</v>
      </c>
      <c r="H271" s="53" t="s">
        <v>88</v>
      </c>
      <c r="I271" s="53" t="s">
        <v>24</v>
      </c>
      <c r="J271" s="47" t="str">
        <f t="shared" si="2"/>
        <v>Não</v>
      </c>
      <c r="K271" s="59">
        <v>45418.0</v>
      </c>
      <c r="L271" s="24"/>
      <c r="M271" s="25" t="s">
        <v>60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5" t="s">
        <v>89</v>
      </c>
      <c r="U271" s="25" t="s">
        <v>990</v>
      </c>
      <c r="V271" s="9" t="s">
        <v>29</v>
      </c>
      <c r="W271" s="53" t="str">
        <f t="shared" si="3"/>
        <v>Ativo</v>
      </c>
      <c r="X271" s="25" t="s">
        <v>48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656876.6</v>
      </c>
    </row>
    <row r="272" ht="15.75" customHeight="1">
      <c r="A272" s="44" t="s">
        <v>36</v>
      </c>
      <c r="B272" s="45" t="s">
        <v>991</v>
      </c>
      <c r="C272" s="46" t="s">
        <v>992</v>
      </c>
      <c r="D272" s="47" t="s">
        <v>18</v>
      </c>
      <c r="E272" s="24" t="s">
        <v>29</v>
      </c>
      <c r="F272" s="47" t="s">
        <v>58</v>
      </c>
      <c r="G272" s="47" t="str">
        <f t="shared" si="1"/>
        <v>Augusto</v>
      </c>
      <c r="H272" s="48" t="s">
        <v>88</v>
      </c>
      <c r="I272" s="48" t="s">
        <v>24</v>
      </c>
      <c r="J272" s="47" t="str">
        <f t="shared" si="2"/>
        <v>Não</v>
      </c>
      <c r="K272" s="49">
        <v>44955.0</v>
      </c>
      <c r="L272" s="24"/>
      <c r="M272" s="24" t="s">
        <v>60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4" t="s">
        <v>89</v>
      </c>
      <c r="U272" s="25" t="s">
        <v>993</v>
      </c>
      <c r="V272" s="9" t="s">
        <v>29</v>
      </c>
      <c r="W272" s="53" t="str">
        <f t="shared" si="3"/>
        <v>Ativo</v>
      </c>
      <c r="X272" s="24"/>
      <c r="Y272" s="54" t="s">
        <v>95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109104.2</v>
      </c>
    </row>
    <row r="273" ht="15.75" customHeight="1">
      <c r="A273" s="44" t="s">
        <v>36</v>
      </c>
      <c r="B273" s="168" t="s">
        <v>994</v>
      </c>
      <c r="C273" s="133" t="s">
        <v>995</v>
      </c>
      <c r="D273" s="47" t="s">
        <v>18</v>
      </c>
      <c r="E273" s="24" t="s">
        <v>19</v>
      </c>
      <c r="F273" s="47" t="s">
        <v>20</v>
      </c>
      <c r="G273" s="47" t="str">
        <f t="shared" si="1"/>
        <v>#N/A</v>
      </c>
      <c r="H273" s="53" t="s">
        <v>116</v>
      </c>
      <c r="I273" s="48" t="s">
        <v>161</v>
      </c>
      <c r="J273" s="47" t="str">
        <f t="shared" si="2"/>
        <v>Não</v>
      </c>
      <c r="K273" s="49">
        <v>45223.0</v>
      </c>
      <c r="L273" s="24"/>
      <c r="M273" s="24" t="s">
        <v>60</v>
      </c>
      <c r="N273" s="50">
        <v>0.012</v>
      </c>
      <c r="O273" s="47" t="s">
        <v>24</v>
      </c>
      <c r="P273" s="51">
        <v>0.0</v>
      </c>
      <c r="Q273" s="79"/>
      <c r="R273" s="169" t="s">
        <v>996</v>
      </c>
      <c r="S273" s="106"/>
      <c r="T273" s="24" t="s">
        <v>89</v>
      </c>
      <c r="U273" s="25" t="s">
        <v>997</v>
      </c>
      <c r="V273" s="9" t="s">
        <v>19</v>
      </c>
      <c r="W273" s="53" t="str">
        <f t="shared" si="3"/>
        <v>Ativo</v>
      </c>
      <c r="X273" s="24"/>
      <c r="Y273" s="54" t="s">
        <v>95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36</v>
      </c>
      <c r="B274" s="111" t="s">
        <v>998</v>
      </c>
      <c r="C274" s="112" t="s">
        <v>999</v>
      </c>
      <c r="D274" s="9" t="s">
        <v>18</v>
      </c>
      <c r="E274" s="25" t="s">
        <v>19</v>
      </c>
      <c r="F274" s="9" t="s">
        <v>230</v>
      </c>
      <c r="G274" s="47" t="str">
        <f t="shared" si="1"/>
        <v>Augusto</v>
      </c>
      <c r="H274" s="53" t="s">
        <v>88</v>
      </c>
      <c r="I274" s="53" t="s">
        <v>24</v>
      </c>
      <c r="J274" s="47" t="str">
        <f t="shared" si="2"/>
        <v>Sim</v>
      </c>
      <c r="K274" s="59">
        <v>45364.0</v>
      </c>
      <c r="L274" s="24"/>
      <c r="M274" s="25" t="s">
        <v>45</v>
      </c>
      <c r="N274" s="60">
        <v>0.012</v>
      </c>
      <c r="O274" s="9" t="s">
        <v>46</v>
      </c>
      <c r="P274" s="61">
        <v>0.1</v>
      </c>
      <c r="Q274" s="15" t="s">
        <v>1000</v>
      </c>
      <c r="R274" s="106"/>
      <c r="S274" s="106"/>
      <c r="T274" s="25" t="s">
        <v>89</v>
      </c>
      <c r="U274" s="5" t="s">
        <v>1001</v>
      </c>
      <c r="V274" s="9" t="s">
        <v>19</v>
      </c>
      <c r="W274" s="53" t="str">
        <f t="shared" si="3"/>
        <v>Ativo</v>
      </c>
      <c r="X274" s="24"/>
      <c r="Y274" s="54" t="s">
        <v>95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100691.1</v>
      </c>
    </row>
    <row r="275" ht="15.75" customHeight="1">
      <c r="A275" s="6" t="s">
        <v>36</v>
      </c>
      <c r="B275" s="45" t="s">
        <v>1002</v>
      </c>
      <c r="C275" s="58" t="s">
        <v>1003</v>
      </c>
      <c r="D275" s="9" t="s">
        <v>18</v>
      </c>
      <c r="E275" s="25" t="s">
        <v>19</v>
      </c>
      <c r="F275" s="9" t="s">
        <v>201</v>
      </c>
      <c r="G275" s="47" t="str">
        <f t="shared" si="1"/>
        <v>#N/A</v>
      </c>
      <c r="H275" s="53" t="s">
        <v>116</v>
      </c>
      <c r="I275" s="53" t="s">
        <v>130</v>
      </c>
      <c r="J275" s="47" t="str">
        <f t="shared" si="2"/>
        <v>Não</v>
      </c>
      <c r="K275" s="59">
        <v>45309.0</v>
      </c>
      <c r="L275" s="24"/>
      <c r="M275" s="92" t="s">
        <v>60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5" t="s">
        <v>329</v>
      </c>
      <c r="U275" s="25" t="s">
        <v>1004</v>
      </c>
      <c r="V275" s="9" t="s">
        <v>19</v>
      </c>
      <c r="W275" s="53" t="str">
        <f t="shared" si="3"/>
        <v>Ativo</v>
      </c>
      <c r="X275" s="24"/>
      <c r="Y275" s="54" t="s">
        <v>95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36</v>
      </c>
      <c r="B276" s="45" t="s">
        <v>1005</v>
      </c>
      <c r="C276" s="46" t="s">
        <v>1006</v>
      </c>
      <c r="D276" s="47" t="s">
        <v>18</v>
      </c>
      <c r="E276" s="24" t="s">
        <v>19</v>
      </c>
      <c r="F276" s="47" t="s">
        <v>20</v>
      </c>
      <c r="G276" s="47" t="str">
        <f t="shared" si="1"/>
        <v>Augusto</v>
      </c>
      <c r="H276" s="53" t="s">
        <v>88</v>
      </c>
      <c r="I276" s="53" t="s">
        <v>24</v>
      </c>
      <c r="J276" s="47" t="str">
        <f t="shared" si="2"/>
        <v>Sim</v>
      </c>
      <c r="K276" s="49">
        <v>44944.0</v>
      </c>
      <c r="L276" s="24"/>
      <c r="M276" s="25" t="s">
        <v>106</v>
      </c>
      <c r="N276" s="60">
        <v>0.012</v>
      </c>
      <c r="O276" s="9" t="s">
        <v>46</v>
      </c>
      <c r="P276" s="61">
        <v>0.1</v>
      </c>
      <c r="Q276" s="79" t="s">
        <v>1007</v>
      </c>
      <c r="R276" s="106"/>
      <c r="S276" s="62" t="s">
        <v>1008</v>
      </c>
      <c r="T276" s="24" t="s">
        <v>89</v>
      </c>
      <c r="U276" s="25" t="s">
        <v>1009</v>
      </c>
      <c r="V276" s="9" t="s">
        <v>19</v>
      </c>
      <c r="W276" s="53" t="str">
        <f t="shared" si="3"/>
        <v>Ativo</v>
      </c>
      <c r="X276" s="24"/>
      <c r="Y276" s="54" t="s">
        <v>95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166494.1</v>
      </c>
    </row>
    <row r="277" ht="15.75" customHeight="1">
      <c r="A277" s="44" t="s">
        <v>36</v>
      </c>
      <c r="B277" s="45" t="s">
        <v>1010</v>
      </c>
      <c r="C277" s="46" t="s">
        <v>1011</v>
      </c>
      <c r="D277" s="47" t="s">
        <v>18</v>
      </c>
      <c r="E277" s="24" t="s">
        <v>19</v>
      </c>
      <c r="F277" s="47" t="s">
        <v>52</v>
      </c>
      <c r="G277" s="47" t="str">
        <f t="shared" si="1"/>
        <v>Augusto</v>
      </c>
      <c r="H277" s="53" t="s">
        <v>116</v>
      </c>
      <c r="I277" s="53" t="s">
        <v>161</v>
      </c>
      <c r="J277" s="47" t="str">
        <f t="shared" si="2"/>
        <v>Não</v>
      </c>
      <c r="K277" s="49">
        <v>45056.0</v>
      </c>
      <c r="L277" s="24"/>
      <c r="M277" s="24" t="s">
        <v>60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4" t="s">
        <v>89</v>
      </c>
      <c r="U277" s="25" t="s">
        <v>1012</v>
      </c>
      <c r="V277" s="9" t="s">
        <v>19</v>
      </c>
      <c r="W277" s="53" t="str">
        <f t="shared" si="3"/>
        <v>Ativo</v>
      </c>
      <c r="X277" s="24"/>
      <c r="Y277" s="54" t="s">
        <v>95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148.16</v>
      </c>
    </row>
    <row r="278" ht="15.75" customHeight="1">
      <c r="A278" s="44" t="s">
        <v>36</v>
      </c>
      <c r="B278" s="68" t="s">
        <v>1013</v>
      </c>
      <c r="C278" s="69" t="s">
        <v>1014</v>
      </c>
      <c r="D278" s="47" t="s">
        <v>18</v>
      </c>
      <c r="E278" s="24" t="s">
        <v>19</v>
      </c>
      <c r="F278" s="47" t="s">
        <v>201</v>
      </c>
      <c r="G278" s="47" t="str">
        <f t="shared" si="1"/>
        <v>Augusto</v>
      </c>
      <c r="H278" s="48" t="s">
        <v>88</v>
      </c>
      <c r="I278" s="48" t="s">
        <v>24</v>
      </c>
      <c r="J278" s="47" t="str">
        <f t="shared" si="2"/>
        <v>Não</v>
      </c>
      <c r="K278" s="49">
        <v>45183.0</v>
      </c>
      <c r="L278" s="24"/>
      <c r="M278" s="24" t="s">
        <v>111</v>
      </c>
      <c r="N278" s="50">
        <v>0.015</v>
      </c>
      <c r="O278" s="47" t="s">
        <v>46</v>
      </c>
      <c r="P278" s="51">
        <v>0.1</v>
      </c>
      <c r="Q278" s="106"/>
      <c r="R278" s="106"/>
      <c r="S278" s="106"/>
      <c r="T278" s="24" t="s">
        <v>89</v>
      </c>
      <c r="U278" s="25" t="s">
        <v>1015</v>
      </c>
      <c r="V278" s="9" t="s">
        <v>29</v>
      </c>
      <c r="W278" s="53" t="str">
        <f t="shared" si="3"/>
        <v>Ativo</v>
      </c>
      <c r="X278" s="24"/>
      <c r="Y278" s="54" t="s">
        <v>95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290091.8</v>
      </c>
    </row>
    <row r="279" ht="15.75" customHeight="1">
      <c r="A279" s="6" t="s">
        <v>36</v>
      </c>
      <c r="B279" s="6" t="s">
        <v>1016</v>
      </c>
      <c r="C279" s="21" t="s">
        <v>1017</v>
      </c>
      <c r="D279" s="9" t="s">
        <v>18</v>
      </c>
      <c r="E279" s="25" t="s">
        <v>29</v>
      </c>
      <c r="F279" s="9" t="s">
        <v>87</v>
      </c>
      <c r="G279" s="47" t="str">
        <f t="shared" si="1"/>
        <v>#N/A</v>
      </c>
      <c r="H279" s="53" t="s">
        <v>116</v>
      </c>
      <c r="I279" s="53" t="s">
        <v>117</v>
      </c>
      <c r="J279" s="47" t="str">
        <f t="shared" si="2"/>
        <v>Não</v>
      </c>
      <c r="K279" s="59">
        <v>45370.0</v>
      </c>
      <c r="L279" s="24"/>
      <c r="M279" s="25" t="s">
        <v>118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5" t="s">
        <v>89</v>
      </c>
      <c r="U279" s="23" t="s">
        <v>1018</v>
      </c>
      <c r="V279" s="9" t="s">
        <v>29</v>
      </c>
      <c r="W279" s="53" t="str">
        <f t="shared" si="3"/>
        <v>Ativo</v>
      </c>
      <c r="X279" s="2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36</v>
      </c>
      <c r="B280" s="45" t="s">
        <v>1019</v>
      </c>
      <c r="C280" s="46" t="s">
        <v>1020</v>
      </c>
      <c r="D280" s="9" t="s">
        <v>86</v>
      </c>
      <c r="E280" s="25" t="s">
        <v>29</v>
      </c>
      <c r="F280" s="24" t="s">
        <v>115</v>
      </c>
      <c r="G280" s="47" t="str">
        <f t="shared" si="1"/>
        <v>Augusto</v>
      </c>
      <c r="H280" s="53" t="s">
        <v>116</v>
      </c>
      <c r="I280" s="53" t="s">
        <v>117</v>
      </c>
      <c r="J280" s="47" t="str">
        <f t="shared" si="2"/>
        <v>Sim</v>
      </c>
      <c r="K280" s="59">
        <v>45279.0</v>
      </c>
      <c r="L280" s="24"/>
      <c r="M280" s="25" t="s">
        <v>118</v>
      </c>
      <c r="N280" s="60">
        <v>0.003</v>
      </c>
      <c r="O280" s="9" t="s">
        <v>24</v>
      </c>
      <c r="P280" s="61">
        <v>0.0</v>
      </c>
      <c r="Q280" s="15" t="s">
        <v>119</v>
      </c>
      <c r="R280" s="106"/>
      <c r="S280" s="106"/>
      <c r="T280" s="25" t="s">
        <v>89</v>
      </c>
      <c r="U280" s="25" t="s">
        <v>1021</v>
      </c>
      <c r="V280" s="9" t="s">
        <v>121</v>
      </c>
      <c r="W280" s="53" t="str">
        <f t="shared" si="3"/>
        <v>Ativo</v>
      </c>
      <c r="X280" s="24"/>
      <c r="Y280" s="54" t="s">
        <v>95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228.65</v>
      </c>
    </row>
    <row r="281" ht="15.75" customHeight="1">
      <c r="A281" s="44" t="s">
        <v>36</v>
      </c>
      <c r="B281" s="96" t="s">
        <v>1022</v>
      </c>
      <c r="C281" s="73" t="s">
        <v>1023</v>
      </c>
      <c r="D281" s="47" t="s">
        <v>18</v>
      </c>
      <c r="E281" s="24" t="s">
        <v>145</v>
      </c>
      <c r="F281" s="47" t="s">
        <v>478</v>
      </c>
      <c r="G281" s="47" t="str">
        <f t="shared" si="1"/>
        <v>#N/A</v>
      </c>
      <c r="H281" s="53" t="s">
        <v>157</v>
      </c>
      <c r="I281" s="53" t="s">
        <v>117</v>
      </c>
      <c r="J281" s="47" t="str">
        <f t="shared" si="2"/>
        <v>Não</v>
      </c>
      <c r="K281" s="49">
        <v>45236.0</v>
      </c>
      <c r="L281" s="110">
        <v>45393.0</v>
      </c>
      <c r="M281" s="24" t="s">
        <v>99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1024</v>
      </c>
      <c r="T281" s="24" t="s">
        <v>89</v>
      </c>
      <c r="U281" s="25" t="s">
        <v>1025</v>
      </c>
      <c r="V281" s="9" t="s">
        <v>149</v>
      </c>
      <c r="W281" s="53" t="str">
        <f t="shared" si="3"/>
        <v>Encerrado</v>
      </c>
      <c r="X281" s="24"/>
      <c r="Y281" s="54" t="s">
        <v>91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36</v>
      </c>
      <c r="B282" s="45" t="s">
        <v>1026</v>
      </c>
      <c r="C282" s="46" t="s">
        <v>1027</v>
      </c>
      <c r="D282" s="47" t="s">
        <v>86</v>
      </c>
      <c r="E282" s="24" t="s">
        <v>29</v>
      </c>
      <c r="F282" s="47" t="s">
        <v>371</v>
      </c>
      <c r="G282" s="47" t="str">
        <f t="shared" si="1"/>
        <v>Bruno</v>
      </c>
      <c r="H282" s="48" t="s">
        <v>88</v>
      </c>
      <c r="I282" s="48" t="s">
        <v>24</v>
      </c>
      <c r="J282" s="47" t="str">
        <f t="shared" si="2"/>
        <v>Não</v>
      </c>
      <c r="K282" s="49">
        <v>45120.0</v>
      </c>
      <c r="L282" s="24"/>
      <c r="M282" s="24" t="s">
        <v>45</v>
      </c>
      <c r="N282" s="50">
        <v>0.01</v>
      </c>
      <c r="O282" s="47" t="s">
        <v>46</v>
      </c>
      <c r="P282" s="51">
        <v>0.1</v>
      </c>
      <c r="Q282" s="52"/>
      <c r="R282" s="52" t="s">
        <v>1028</v>
      </c>
      <c r="S282" s="52"/>
      <c r="T282" s="24" t="s">
        <v>89</v>
      </c>
      <c r="U282" s="25" t="s">
        <v>1029</v>
      </c>
      <c r="V282" s="9" t="s">
        <v>29</v>
      </c>
      <c r="W282" s="53" t="str">
        <f t="shared" si="3"/>
        <v>Ativo</v>
      </c>
      <c r="X282" s="24"/>
      <c r="Y282" s="54" t="s">
        <v>91</v>
      </c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>
        <v>901311.49</v>
      </c>
      <c r="AK282" s="56">
        <v>2613944.84</v>
      </c>
      <c r="AL282" s="56">
        <v>2647682.49</v>
      </c>
      <c r="AM282" s="56">
        <v>2861954.5</v>
      </c>
      <c r="AN282" s="56">
        <v>2901289.45</v>
      </c>
      <c r="AO282" s="56">
        <v>2935885.08</v>
      </c>
      <c r="AP282" s="56">
        <v>2954688.83</v>
      </c>
      <c r="AQ282" s="55">
        <v>2988057.52</v>
      </c>
      <c r="AR282" s="55">
        <v>3023601.99</v>
      </c>
      <c r="AS282" s="55">
        <v>3016751.72</v>
      </c>
      <c r="AT282" s="55">
        <f t="array" ref="AT282">XLOOKUP(C282,'PL TOTAL D0'!A:A,'PL TOTAL D0'!C:C,"")</f>
        <v>3040761</v>
      </c>
    </row>
    <row r="283" ht="15.75" customHeight="1">
      <c r="A283" s="44" t="s">
        <v>36</v>
      </c>
      <c r="B283" s="45" t="s">
        <v>512</v>
      </c>
      <c r="C283" s="46" t="s">
        <v>1030</v>
      </c>
      <c r="D283" s="47" t="s">
        <v>18</v>
      </c>
      <c r="E283" s="24" t="s">
        <v>180</v>
      </c>
      <c r="F283" s="47" t="s">
        <v>512</v>
      </c>
      <c r="G283" s="47" t="str">
        <f t="shared" si="1"/>
        <v>Augusto</v>
      </c>
      <c r="H283" s="53" t="s">
        <v>116</v>
      </c>
      <c r="I283" s="53" t="s">
        <v>161</v>
      </c>
      <c r="J283" s="47" t="str">
        <f t="shared" si="2"/>
        <v>Não</v>
      </c>
      <c r="K283" s="49">
        <v>45056.0</v>
      </c>
      <c r="L283" s="64"/>
      <c r="M283" s="24" t="s">
        <v>111</v>
      </c>
      <c r="N283" s="50">
        <v>0.012</v>
      </c>
      <c r="O283" s="47" t="s">
        <v>46</v>
      </c>
      <c r="P283" s="51">
        <v>0.1</v>
      </c>
      <c r="Q283" s="75"/>
      <c r="R283" s="75"/>
      <c r="S283" s="52"/>
      <c r="T283" s="24" t="s">
        <v>89</v>
      </c>
      <c r="U283" s="25" t="s">
        <v>1031</v>
      </c>
      <c r="V283" s="9" t="s">
        <v>180</v>
      </c>
      <c r="W283" s="53" t="str">
        <f t="shared" si="3"/>
        <v>Ativo</v>
      </c>
      <c r="X283" s="24"/>
      <c r="Y283" s="54" t="s">
        <v>95</v>
      </c>
      <c r="Z283" s="56"/>
      <c r="AA283" s="56"/>
      <c r="AB283" s="56"/>
      <c r="AC283" s="56"/>
      <c r="AD283" s="56">
        <v>0.01</v>
      </c>
      <c r="AE283" s="56">
        <v>0.01</v>
      </c>
      <c r="AF283" s="56">
        <v>0.01</v>
      </c>
      <c r="AG283" s="56">
        <v>0.01</v>
      </c>
      <c r="AH283" s="56">
        <v>0.01</v>
      </c>
      <c r="AI283" s="56">
        <v>0.01</v>
      </c>
      <c r="AJ283" s="56">
        <v>0.01</v>
      </c>
      <c r="AK283" s="56">
        <v>0.01</v>
      </c>
      <c r="AL283" s="56">
        <v>0.01</v>
      </c>
      <c r="AM283" s="56">
        <v>0.01</v>
      </c>
      <c r="AN283" s="56">
        <v>0.01</v>
      </c>
      <c r="AO283" s="56">
        <v>0.01</v>
      </c>
      <c r="AP283" s="56">
        <v>0.01</v>
      </c>
      <c r="AQ283" s="55">
        <v>0.01</v>
      </c>
      <c r="AR283" s="55">
        <v>0.01</v>
      </c>
      <c r="AS283" s="55">
        <v>0.01</v>
      </c>
      <c r="AT283" s="55">
        <f t="array" ref="AT283">XLOOKUP(C283,'PL TOTAL D0'!A:A,'PL TOTAL D0'!C:C,"")</f>
        <v>0.01</v>
      </c>
    </row>
    <row r="284" ht="15.75" customHeight="1">
      <c r="A284" s="44" t="s">
        <v>36</v>
      </c>
      <c r="B284" s="45" t="s">
        <v>1032</v>
      </c>
      <c r="C284" s="170" t="s">
        <v>1033</v>
      </c>
      <c r="D284" s="47" t="s">
        <v>18</v>
      </c>
      <c r="E284" s="24" t="s">
        <v>180</v>
      </c>
      <c r="F284" s="47" t="s">
        <v>512</v>
      </c>
      <c r="G284" s="47" t="str">
        <f t="shared" si="1"/>
        <v>#N/A</v>
      </c>
      <c r="H284" s="53" t="s">
        <v>116</v>
      </c>
      <c r="I284" s="48" t="s">
        <v>161</v>
      </c>
      <c r="J284" s="47" t="str">
        <f t="shared" si="2"/>
        <v>Não</v>
      </c>
      <c r="K284" s="49">
        <v>45162.0</v>
      </c>
      <c r="L284" s="64"/>
      <c r="M284" s="24" t="s">
        <v>111</v>
      </c>
      <c r="N284" s="50">
        <v>0.012</v>
      </c>
      <c r="O284" s="47" t="s">
        <v>46</v>
      </c>
      <c r="P284" s="51">
        <v>0.1</v>
      </c>
      <c r="Q284" s="75"/>
      <c r="R284" s="75"/>
      <c r="S284" s="52"/>
      <c r="T284" s="24" t="s">
        <v>89</v>
      </c>
      <c r="U284" s="25" t="s">
        <v>1031</v>
      </c>
      <c r="V284" s="9" t="s">
        <v>180</v>
      </c>
      <c r="W284" s="53" t="str">
        <f t="shared" si="3"/>
        <v>Inativo</v>
      </c>
      <c r="X284" s="24"/>
      <c r="Y284" s="54" t="s">
        <v>95</v>
      </c>
      <c r="Z284" s="56"/>
      <c r="AA284" s="56"/>
      <c r="AB284" s="56"/>
      <c r="AC284" s="56"/>
      <c r="AD284" s="56">
        <v>0.0</v>
      </c>
      <c r="AE284" s="56">
        <v>0.0</v>
      </c>
      <c r="AF284" s="56">
        <v>0.0</v>
      </c>
      <c r="AG284" s="56">
        <v>0.0</v>
      </c>
      <c r="AH284" s="56">
        <v>0.0</v>
      </c>
      <c r="AI284" s="56">
        <v>0.0</v>
      </c>
      <c r="AJ284" s="56">
        <v>0.0</v>
      </c>
      <c r="AK284" s="56">
        <v>0.0</v>
      </c>
      <c r="AL284" s="56">
        <v>0.0</v>
      </c>
      <c r="AM284" s="56">
        <v>0.0</v>
      </c>
      <c r="AN284" s="56">
        <v>0.0</v>
      </c>
      <c r="AO284" s="56">
        <v>0.0</v>
      </c>
      <c r="AP284" s="56">
        <v>0.0</v>
      </c>
      <c r="AQ284" s="55">
        <v>0.0</v>
      </c>
      <c r="AR284" s="55">
        <v>0.0</v>
      </c>
      <c r="AS284" s="55">
        <v>0.0</v>
      </c>
      <c r="AT284" s="55" t="str">
        <f t="array" ref="AT284">XLOOKUP(C284,'PL TOTAL D0'!A:A,'PL TOTAL D0'!C:C,"")</f>
        <v/>
      </c>
    </row>
    <row r="285" ht="15.75" customHeight="1">
      <c r="A285" s="44" t="s">
        <v>36</v>
      </c>
      <c r="B285" s="63" t="s">
        <v>1034</v>
      </c>
      <c r="C285" s="46" t="s">
        <v>1035</v>
      </c>
      <c r="D285" s="47" t="s">
        <v>18</v>
      </c>
      <c r="E285" s="24" t="s">
        <v>145</v>
      </c>
      <c r="F285" s="47" t="s">
        <v>146</v>
      </c>
      <c r="G285" s="47" t="str">
        <f t="shared" si="1"/>
        <v>Augusto</v>
      </c>
      <c r="H285" s="48" t="s">
        <v>88</v>
      </c>
      <c r="I285" s="48" t="s">
        <v>24</v>
      </c>
      <c r="J285" s="47" t="str">
        <f t="shared" si="2"/>
        <v>Não</v>
      </c>
      <c r="K285" s="49">
        <v>45056.0</v>
      </c>
      <c r="L285" s="64"/>
      <c r="M285" s="24" t="s">
        <v>111</v>
      </c>
      <c r="N285" s="50">
        <v>0.015</v>
      </c>
      <c r="O285" s="47" t="s">
        <v>46</v>
      </c>
      <c r="P285" s="51">
        <v>0.1</v>
      </c>
      <c r="Q285" s="65"/>
      <c r="R285" s="52"/>
      <c r="S285" s="62" t="s">
        <v>1036</v>
      </c>
      <c r="T285" s="24" t="s">
        <v>89</v>
      </c>
      <c r="U285" s="25" t="s">
        <v>1037</v>
      </c>
      <c r="V285" s="9" t="s">
        <v>149</v>
      </c>
      <c r="W285" s="53" t="str">
        <f t="shared" si="3"/>
        <v>Ativo</v>
      </c>
      <c r="X285" s="24"/>
      <c r="Y285" s="54" t="s">
        <v>91</v>
      </c>
      <c r="Z285" s="56"/>
      <c r="AA285" s="56"/>
      <c r="AB285" s="56"/>
      <c r="AC285" s="56"/>
      <c r="AD285" s="56"/>
      <c r="AE285" s="56"/>
      <c r="AF285" s="56">
        <v>0.0</v>
      </c>
      <c r="AG285" s="56">
        <v>0.0</v>
      </c>
      <c r="AH285" s="56">
        <v>0.0</v>
      </c>
      <c r="AI285" s="56">
        <v>27481.85</v>
      </c>
      <c r="AJ285" s="56">
        <v>28721.07</v>
      </c>
      <c r="AK285" s="56">
        <v>27772.17</v>
      </c>
      <c r="AL285" s="56">
        <v>27830.25</v>
      </c>
      <c r="AM285" s="56">
        <v>106670.24</v>
      </c>
      <c r="AN285" s="56">
        <v>109135.89</v>
      </c>
      <c r="AO285" s="56">
        <v>111233.69</v>
      </c>
      <c r="AP285" s="56">
        <v>109627.24</v>
      </c>
      <c r="AQ285" s="55">
        <v>110509.7</v>
      </c>
      <c r="AR285" s="55">
        <v>140287.07</v>
      </c>
      <c r="AS285" s="55">
        <v>139762.28</v>
      </c>
      <c r="AT285" s="55">
        <f t="array" ref="AT285">XLOOKUP(C285,'PL TOTAL D0'!A:A,'PL TOTAL D0'!C:C,"")</f>
        <v>141008.1</v>
      </c>
    </row>
    <row r="286" ht="15.75" customHeight="1">
      <c r="A286" s="44" t="s">
        <v>36</v>
      </c>
      <c r="B286" s="57" t="s">
        <v>1038</v>
      </c>
      <c r="C286" s="46" t="s">
        <v>1039</v>
      </c>
      <c r="D286" s="47" t="s">
        <v>18</v>
      </c>
      <c r="E286" s="24" t="s">
        <v>145</v>
      </c>
      <c r="F286" s="47" t="s">
        <v>146</v>
      </c>
      <c r="G286" s="47" t="str">
        <f t="shared" si="1"/>
        <v>#N/A</v>
      </c>
      <c r="H286" s="53" t="s">
        <v>116</v>
      </c>
      <c r="I286" s="53" t="s">
        <v>161</v>
      </c>
      <c r="J286" s="47" t="str">
        <f t="shared" si="2"/>
        <v>Não</v>
      </c>
      <c r="K286" s="49">
        <v>45000.0</v>
      </c>
      <c r="L286" s="24"/>
      <c r="M286" s="24" t="s">
        <v>60</v>
      </c>
      <c r="N286" s="50">
        <v>0.012</v>
      </c>
      <c r="O286" s="47" t="s">
        <v>24</v>
      </c>
      <c r="P286" s="51">
        <v>0.0</v>
      </c>
      <c r="Q286" s="52"/>
      <c r="R286" s="62" t="s">
        <v>223</v>
      </c>
      <c r="S286" s="52"/>
      <c r="T286" s="24" t="s">
        <v>89</v>
      </c>
      <c r="U286" s="58" t="s">
        <v>1031</v>
      </c>
      <c r="V286" s="9" t="s">
        <v>149</v>
      </c>
      <c r="W286" s="53" t="str">
        <f t="shared" si="3"/>
        <v>Ativo</v>
      </c>
      <c r="X286" s="24"/>
      <c r="Y286" s="54" t="s">
        <v>91</v>
      </c>
      <c r="Z286" s="56"/>
      <c r="AA286" s="56"/>
      <c r="AB286" s="56"/>
      <c r="AC286" s="56"/>
      <c r="AD286" s="56"/>
      <c r="AE286" s="56"/>
      <c r="AF286" s="56">
        <v>1204769.98</v>
      </c>
      <c r="AG286" s="56">
        <v>1213660.87</v>
      </c>
      <c r="AH286" s="56">
        <v>1226801.03</v>
      </c>
      <c r="AI286" s="56">
        <v>984540.31</v>
      </c>
      <c r="AJ286" s="56">
        <v>993536.81</v>
      </c>
      <c r="AK286" s="56">
        <v>1004120.36</v>
      </c>
      <c r="AL286" s="56">
        <v>1011117.33</v>
      </c>
      <c r="AM286" s="56">
        <v>1020081.73</v>
      </c>
      <c r="AN286" s="56">
        <v>399196.85</v>
      </c>
      <c r="AO286" s="56">
        <v>189.08</v>
      </c>
      <c r="AP286" s="56">
        <v>0.0</v>
      </c>
      <c r="AQ286" s="55">
        <v>81.8</v>
      </c>
      <c r="AR286" s="55">
        <v>0.0</v>
      </c>
      <c r="AS286" s="55">
        <v>0.0</v>
      </c>
      <c r="AT286" s="55" t="str">
        <f t="array" ref="AT286">XLOOKUP(C286,'PL TOTAL D0'!A:A,'PL TOTAL D0'!C:C,"")</f>
        <v/>
      </c>
    </row>
    <row r="287" ht="15.75" customHeight="1">
      <c r="A287" s="44" t="s">
        <v>36</v>
      </c>
      <c r="B287" s="45" t="s">
        <v>1040</v>
      </c>
      <c r="C287" s="58" t="s">
        <v>1041</v>
      </c>
      <c r="D287" s="47" t="s">
        <v>18</v>
      </c>
      <c r="E287" s="24" t="s">
        <v>145</v>
      </c>
      <c r="F287" s="47" t="s">
        <v>146</v>
      </c>
      <c r="G287" s="47" t="str">
        <f t="shared" si="1"/>
        <v>Augusto</v>
      </c>
      <c r="H287" s="48" t="s">
        <v>88</v>
      </c>
      <c r="I287" s="48" t="s">
        <v>24</v>
      </c>
      <c r="J287" s="47" t="str">
        <f t="shared" si="2"/>
        <v>Não</v>
      </c>
      <c r="K287" s="49">
        <v>45065.0</v>
      </c>
      <c r="L287" s="24"/>
      <c r="M287" s="24" t="s">
        <v>45</v>
      </c>
      <c r="N287" s="50">
        <v>0.012</v>
      </c>
      <c r="O287" s="47" t="s">
        <v>24</v>
      </c>
      <c r="P287" s="51">
        <v>0.0</v>
      </c>
      <c r="Q287" s="52"/>
      <c r="R287" s="52"/>
      <c r="S287" s="52"/>
      <c r="T287" s="24" t="s">
        <v>89</v>
      </c>
      <c r="U287" s="25" t="s">
        <v>1042</v>
      </c>
      <c r="V287" s="9" t="s">
        <v>149</v>
      </c>
      <c r="W287" s="53" t="str">
        <f t="shared" si="3"/>
        <v>Ativo</v>
      </c>
      <c r="X287" s="24"/>
      <c r="Y287" s="54" t="s">
        <v>91</v>
      </c>
      <c r="Z287" s="56"/>
      <c r="AA287" s="56"/>
      <c r="AB287" s="56"/>
      <c r="AC287" s="56"/>
      <c r="AD287" s="56"/>
      <c r="AE287" s="56"/>
      <c r="AF287" s="56">
        <v>0.0</v>
      </c>
      <c r="AG287" s="56">
        <v>0.0</v>
      </c>
      <c r="AH287" s="56">
        <v>363226.57</v>
      </c>
      <c r="AI287" s="56">
        <v>366392.92</v>
      </c>
      <c r="AJ287" s="56">
        <v>368988.46</v>
      </c>
      <c r="AK287" s="56">
        <v>371859.91</v>
      </c>
      <c r="AL287" s="56">
        <v>373297.73</v>
      </c>
      <c r="AM287" s="56">
        <v>373865.0</v>
      </c>
      <c r="AN287" s="56">
        <v>380177.08</v>
      </c>
      <c r="AO287" s="56">
        <v>385489.77</v>
      </c>
      <c r="AP287" s="56">
        <v>384570.08</v>
      </c>
      <c r="AQ287" s="55">
        <v>386416.47</v>
      </c>
      <c r="AR287" s="55">
        <v>390387.65</v>
      </c>
      <c r="AS287" s="55">
        <v>389403.06</v>
      </c>
      <c r="AT287" s="55">
        <f t="array" ref="AT287">XLOOKUP(C287,'PL TOTAL D0'!A:A,'PL TOTAL D0'!C:C,"")</f>
        <v>389327.6</v>
      </c>
    </row>
    <row r="288" ht="15.75" customHeight="1">
      <c r="A288" s="44" t="s">
        <v>36</v>
      </c>
      <c r="B288" s="66" t="s">
        <v>1043</v>
      </c>
      <c r="C288" s="171" t="s">
        <v>1044</v>
      </c>
      <c r="D288" s="9" t="s">
        <v>18</v>
      </c>
      <c r="E288" s="25" t="s">
        <v>29</v>
      </c>
      <c r="F288" s="9" t="s">
        <v>137</v>
      </c>
      <c r="G288" s="47" t="str">
        <f t="shared" si="1"/>
        <v>Augusto</v>
      </c>
      <c r="H288" s="53" t="s">
        <v>88</v>
      </c>
      <c r="I288" s="53" t="s">
        <v>24</v>
      </c>
      <c r="J288" s="47" t="str">
        <f t="shared" si="2"/>
        <v>Não</v>
      </c>
      <c r="K288" s="59">
        <v>45385.0</v>
      </c>
      <c r="L288" s="64"/>
      <c r="M288" s="25" t="s">
        <v>45</v>
      </c>
      <c r="N288" s="60">
        <v>0.0</v>
      </c>
      <c r="O288" s="9" t="s">
        <v>24</v>
      </c>
      <c r="P288" s="61">
        <v>0.0</v>
      </c>
      <c r="Q288" s="75"/>
      <c r="R288" s="75"/>
      <c r="S288" s="52"/>
      <c r="T288" s="25" t="s">
        <v>89</v>
      </c>
      <c r="U288" s="5" t="s">
        <v>1045</v>
      </c>
      <c r="V288" s="9" t="s">
        <v>29</v>
      </c>
      <c r="W288" s="53" t="str">
        <f t="shared" si="3"/>
        <v>Ativo</v>
      </c>
      <c r="X288" s="24"/>
      <c r="Y288" s="54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5"/>
      <c r="AR288" s="55"/>
      <c r="AS288" s="55">
        <v>53000.04</v>
      </c>
      <c r="AT288" s="55">
        <f t="array" ref="AT288">XLOOKUP(C288,'PL TOTAL D0'!A:A,'PL TOTAL D0'!C:C,"")</f>
        <v>52779.11</v>
      </c>
    </row>
    <row r="289" ht="15.75" customHeight="1">
      <c r="A289" s="44" t="s">
        <v>36</v>
      </c>
      <c r="B289" s="114" t="s">
        <v>1046</v>
      </c>
      <c r="C289" s="46" t="s">
        <v>1047</v>
      </c>
      <c r="D289" s="47" t="s">
        <v>18</v>
      </c>
      <c r="E289" s="24" t="s">
        <v>145</v>
      </c>
      <c r="F289" s="47" t="s">
        <v>146</v>
      </c>
      <c r="G289" s="47" t="str">
        <f t="shared" si="1"/>
        <v>Breno</v>
      </c>
      <c r="H289" s="48" t="s">
        <v>88</v>
      </c>
      <c r="I289" s="48" t="s">
        <v>24</v>
      </c>
      <c r="J289" s="47" t="str">
        <f t="shared" si="2"/>
        <v>Não</v>
      </c>
      <c r="K289" s="49">
        <v>45134.0</v>
      </c>
      <c r="L289" s="64"/>
      <c r="M289" s="24" t="s">
        <v>111</v>
      </c>
      <c r="N289" s="50">
        <v>0.016</v>
      </c>
      <c r="O289" s="47" t="s">
        <v>46</v>
      </c>
      <c r="P289" s="51">
        <v>0.2</v>
      </c>
      <c r="Q289" s="75"/>
      <c r="R289" s="75"/>
      <c r="S289" s="52"/>
      <c r="T289" s="24" t="s">
        <v>89</v>
      </c>
      <c r="U289" s="25" t="s">
        <v>1048</v>
      </c>
      <c r="V289" s="9" t="s">
        <v>149</v>
      </c>
      <c r="W289" s="53" t="str">
        <f t="shared" si="3"/>
        <v>Ativo</v>
      </c>
      <c r="X289" s="24"/>
      <c r="Y289" s="54" t="s">
        <v>91</v>
      </c>
      <c r="Z289" s="56"/>
      <c r="AA289" s="56"/>
      <c r="AB289" s="56"/>
      <c r="AC289" s="56"/>
      <c r="AD289" s="56"/>
      <c r="AE289" s="56"/>
      <c r="AF289" s="56"/>
      <c r="AG289" s="56">
        <v>0.0</v>
      </c>
      <c r="AH289" s="56">
        <v>0.0</v>
      </c>
      <c r="AI289" s="56">
        <v>0.0</v>
      </c>
      <c r="AJ289" s="56">
        <v>357015.53</v>
      </c>
      <c r="AK289" s="56">
        <v>360860.21</v>
      </c>
      <c r="AL289" s="56">
        <v>362504.3</v>
      </c>
      <c r="AM289" s="56">
        <v>362332.13</v>
      </c>
      <c r="AN289" s="56">
        <v>371141.9</v>
      </c>
      <c r="AO289" s="56">
        <v>378752.13</v>
      </c>
      <c r="AP289" s="56">
        <v>371962.12</v>
      </c>
      <c r="AQ289" s="55">
        <v>372998.45</v>
      </c>
      <c r="AR289" s="55">
        <v>421870.6</v>
      </c>
      <c r="AS289" s="55">
        <v>415883.5</v>
      </c>
      <c r="AT289" s="55">
        <f t="array" ref="AT289">XLOOKUP(C289,'PL TOTAL D0'!A:A,'PL TOTAL D0'!C:C,"")</f>
        <v>428356.1</v>
      </c>
    </row>
    <row r="290" ht="15.75" customHeight="1">
      <c r="A290" s="44" t="s">
        <v>36</v>
      </c>
      <c r="B290" s="57" t="s">
        <v>1046</v>
      </c>
      <c r="C290" s="77" t="s">
        <v>1049</v>
      </c>
      <c r="D290" s="47" t="s">
        <v>18</v>
      </c>
      <c r="E290" s="24" t="s">
        <v>145</v>
      </c>
      <c r="F290" s="47" t="s">
        <v>146</v>
      </c>
      <c r="G290" s="47" t="str">
        <f t="shared" si="1"/>
        <v>#N/A</v>
      </c>
      <c r="H290" s="53" t="s">
        <v>116</v>
      </c>
      <c r="I290" s="48" t="s">
        <v>161</v>
      </c>
      <c r="J290" s="47" t="str">
        <f t="shared" si="2"/>
        <v>Não</v>
      </c>
      <c r="K290" s="49">
        <v>45162.0</v>
      </c>
      <c r="L290" s="24"/>
      <c r="M290" s="24" t="s">
        <v>166</v>
      </c>
      <c r="N290" s="163">
        <v>0.008</v>
      </c>
      <c r="O290" s="47" t="s">
        <v>167</v>
      </c>
      <c r="P290" s="51">
        <v>0.1</v>
      </c>
      <c r="Q290" s="52"/>
      <c r="R290" s="52"/>
      <c r="S290" s="52"/>
      <c r="T290" s="24" t="s">
        <v>89</v>
      </c>
      <c r="U290" s="25" t="s">
        <v>1048</v>
      </c>
      <c r="V290" s="9" t="s">
        <v>149</v>
      </c>
      <c r="W290" s="53" t="str">
        <f t="shared" si="3"/>
        <v>Ativo</v>
      </c>
      <c r="X290" s="24"/>
      <c r="Y290" s="54" t="s">
        <v>91</v>
      </c>
      <c r="Z290" s="56"/>
      <c r="AA290" s="56"/>
      <c r="AB290" s="56"/>
      <c r="AC290" s="56"/>
      <c r="AD290" s="56"/>
      <c r="AE290" s="56"/>
      <c r="AF290" s="56"/>
      <c r="AG290" s="56"/>
      <c r="AH290" s="56"/>
      <c r="AI290" s="56">
        <v>0.0</v>
      </c>
      <c r="AJ290" s="56">
        <v>0.0</v>
      </c>
      <c r="AK290" s="56">
        <v>0.0</v>
      </c>
      <c r="AL290" s="56">
        <v>0.0</v>
      </c>
      <c r="AM290" s="56">
        <v>0.0</v>
      </c>
      <c r="AN290" s="56">
        <v>0.0</v>
      </c>
      <c r="AO290" s="56">
        <v>0.0</v>
      </c>
      <c r="AP290" s="56">
        <v>0.0</v>
      </c>
      <c r="AQ290" s="55">
        <v>0.0</v>
      </c>
      <c r="AR290" s="55">
        <v>0.0</v>
      </c>
      <c r="AS290" s="55">
        <v>0.0</v>
      </c>
      <c r="AT290" s="55" t="str">
        <f t="array" ref="AT290">XLOOKUP(C290,'PL TOTAL D0'!A:A,'PL TOTAL D0'!C:C,"")</f>
        <v/>
      </c>
    </row>
    <row r="291" ht="15.75" customHeight="1">
      <c r="A291" s="44" t="s">
        <v>36</v>
      </c>
      <c r="B291" s="45" t="s">
        <v>1050</v>
      </c>
      <c r="C291" s="46" t="s">
        <v>1051</v>
      </c>
      <c r="D291" s="47" t="s">
        <v>18</v>
      </c>
      <c r="E291" s="24" t="s">
        <v>19</v>
      </c>
      <c r="F291" s="47" t="s">
        <v>52</v>
      </c>
      <c r="G291" s="47" t="str">
        <f t="shared" si="1"/>
        <v>Augusto</v>
      </c>
      <c r="H291" s="48" t="s">
        <v>88</v>
      </c>
      <c r="I291" s="48" t="s">
        <v>24</v>
      </c>
      <c r="J291" s="47" t="str">
        <f t="shared" si="2"/>
        <v>Não</v>
      </c>
      <c r="K291" s="49">
        <v>44928.0</v>
      </c>
      <c r="L291" s="24"/>
      <c r="M291" s="24" t="s">
        <v>60</v>
      </c>
      <c r="N291" s="50">
        <v>0.01</v>
      </c>
      <c r="O291" s="47" t="s">
        <v>24</v>
      </c>
      <c r="P291" s="51">
        <v>0.0</v>
      </c>
      <c r="Q291" s="62"/>
      <c r="R291" s="52"/>
      <c r="S291" s="52"/>
      <c r="T291" s="24" t="s">
        <v>89</v>
      </c>
      <c r="U291" s="25" t="s">
        <v>1052</v>
      </c>
      <c r="V291" s="9" t="s">
        <v>19</v>
      </c>
      <c r="W291" s="53" t="str">
        <f t="shared" si="3"/>
        <v>Ativo</v>
      </c>
      <c r="X291" s="24"/>
      <c r="Y291" s="54" t="s">
        <v>95</v>
      </c>
      <c r="Z291" s="56"/>
      <c r="AA291" s="56"/>
      <c r="AB291" s="56"/>
      <c r="AC291" s="56">
        <v>60489.03</v>
      </c>
      <c r="AD291" s="56">
        <v>67871.16</v>
      </c>
      <c r="AE291" s="56">
        <v>68499.79</v>
      </c>
      <c r="AF291" s="56">
        <v>55128.26</v>
      </c>
      <c r="AG291" s="56">
        <v>137580.65</v>
      </c>
      <c r="AH291" s="56">
        <v>138871.22</v>
      </c>
      <c r="AI291" s="56">
        <v>133995.65</v>
      </c>
      <c r="AJ291" s="56">
        <v>84945.2</v>
      </c>
      <c r="AK291" s="56">
        <v>83654.29</v>
      </c>
      <c r="AL291" s="56">
        <v>75545.65</v>
      </c>
      <c r="AM291" s="56">
        <v>50485.35</v>
      </c>
      <c r="AN291" s="56">
        <v>31521.88</v>
      </c>
      <c r="AO291" s="56">
        <v>20080.36</v>
      </c>
      <c r="AP291" s="56">
        <v>32997.86</v>
      </c>
      <c r="AQ291" s="55">
        <v>27116.67</v>
      </c>
      <c r="AR291" s="55">
        <v>10117.07</v>
      </c>
      <c r="AS291" s="55">
        <v>1167.18</v>
      </c>
      <c r="AT291" s="55">
        <f t="array" ref="AT291">XLOOKUP(C291,'PL TOTAL D0'!A:A,'PL TOTAL D0'!C:C,"")</f>
        <v>1167.39</v>
      </c>
    </row>
    <row r="292" ht="15.75" customHeight="1">
      <c r="A292" s="44" t="s">
        <v>36</v>
      </c>
      <c r="B292" s="63" t="s">
        <v>1053</v>
      </c>
      <c r="C292" s="46" t="s">
        <v>1054</v>
      </c>
      <c r="D292" s="47" t="s">
        <v>18</v>
      </c>
      <c r="E292" s="24" t="s">
        <v>29</v>
      </c>
      <c r="F292" s="47" t="s">
        <v>44</v>
      </c>
      <c r="G292" s="47" t="str">
        <f t="shared" si="1"/>
        <v>Augusto</v>
      </c>
      <c r="H292" s="48" t="s">
        <v>88</v>
      </c>
      <c r="I292" s="48" t="s">
        <v>24</v>
      </c>
      <c r="J292" s="47" t="str">
        <f t="shared" si="2"/>
        <v>Não</v>
      </c>
      <c r="K292" s="49">
        <v>45014.0</v>
      </c>
      <c r="L292" s="24"/>
      <c r="M292" s="24" t="s">
        <v>60</v>
      </c>
      <c r="N292" s="50">
        <v>0.01</v>
      </c>
      <c r="O292" s="47" t="s">
        <v>24</v>
      </c>
      <c r="P292" s="51">
        <v>0.0</v>
      </c>
      <c r="Q292" s="52"/>
      <c r="R292" s="52"/>
      <c r="S292" s="52"/>
      <c r="T292" s="24" t="s">
        <v>89</v>
      </c>
      <c r="U292" s="25" t="s">
        <v>1055</v>
      </c>
      <c r="V292" s="9" t="s">
        <v>715</v>
      </c>
      <c r="W292" s="53" t="str">
        <f t="shared" si="3"/>
        <v>Ativo</v>
      </c>
      <c r="X292" s="24"/>
      <c r="Y292" s="54" t="s">
        <v>95</v>
      </c>
      <c r="Z292" s="56"/>
      <c r="AA292" s="56"/>
      <c r="AB292" s="56"/>
      <c r="AC292" s="56"/>
      <c r="AD292" s="56"/>
      <c r="AE292" s="56"/>
      <c r="AF292" s="56">
        <v>266535.1</v>
      </c>
      <c r="AG292" s="56">
        <v>268529.92</v>
      </c>
      <c r="AH292" s="56">
        <v>280076.21</v>
      </c>
      <c r="AI292" s="56">
        <v>282591.82</v>
      </c>
      <c r="AJ292" s="56">
        <v>423787.5</v>
      </c>
      <c r="AK292" s="56">
        <v>320550.36</v>
      </c>
      <c r="AL292" s="56">
        <v>323015.09</v>
      </c>
      <c r="AM292" s="56">
        <v>325639.68</v>
      </c>
      <c r="AN292" s="56">
        <v>328069.17</v>
      </c>
      <c r="AO292" s="56">
        <v>331670.26</v>
      </c>
      <c r="AP292" s="56">
        <v>336143.26</v>
      </c>
      <c r="AQ292" s="55">
        <v>339018.15</v>
      </c>
      <c r="AR292" s="55">
        <v>346764.92</v>
      </c>
      <c r="AS292" s="55">
        <v>352465.83</v>
      </c>
      <c r="AT292" s="55">
        <f t="array" ref="AT292">XLOOKUP(C292,'PL TOTAL D0'!A:A,'PL TOTAL D0'!C:C,"")</f>
        <v>353330</v>
      </c>
    </row>
    <row r="293" ht="15.75" customHeight="1">
      <c r="A293" s="44" t="s">
        <v>36</v>
      </c>
      <c r="B293" s="63" t="s">
        <v>1053</v>
      </c>
      <c r="C293" s="46" t="s">
        <v>1056</v>
      </c>
      <c r="D293" s="47" t="s">
        <v>18</v>
      </c>
      <c r="E293" s="24" t="s">
        <v>29</v>
      </c>
      <c r="F293" s="47" t="s">
        <v>44</v>
      </c>
      <c r="G293" s="47" t="str">
        <f t="shared" si="1"/>
        <v>Augusto</v>
      </c>
      <c r="H293" s="48" t="s">
        <v>88</v>
      </c>
      <c r="I293" s="48" t="s">
        <v>24</v>
      </c>
      <c r="J293" s="47" t="str">
        <f t="shared" si="2"/>
        <v>Não</v>
      </c>
      <c r="K293" s="49">
        <v>45155.0</v>
      </c>
      <c r="L293" s="24"/>
      <c r="M293" s="24" t="s">
        <v>111</v>
      </c>
      <c r="N293" s="50">
        <v>0.015</v>
      </c>
      <c r="O293" s="47" t="s">
        <v>46</v>
      </c>
      <c r="P293" s="51">
        <v>0.1</v>
      </c>
      <c r="Q293" s="52"/>
      <c r="R293" s="52"/>
      <c r="S293" s="52"/>
      <c r="T293" s="24" t="s">
        <v>89</v>
      </c>
      <c r="U293" s="25" t="s">
        <v>1055</v>
      </c>
      <c r="V293" s="9" t="s">
        <v>715</v>
      </c>
      <c r="W293" s="53" t="str">
        <f t="shared" si="3"/>
        <v>Ativo</v>
      </c>
      <c r="X293" s="24"/>
      <c r="Y293" s="54" t="s">
        <v>95</v>
      </c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>
        <v>0.0</v>
      </c>
      <c r="AK293" s="56">
        <v>105836.32</v>
      </c>
      <c r="AL293" s="56">
        <v>106490.87</v>
      </c>
      <c r="AM293" s="56">
        <v>106310.81</v>
      </c>
      <c r="AN293" s="56">
        <v>108368.87</v>
      </c>
      <c r="AO293" s="56">
        <v>111434.97</v>
      </c>
      <c r="AP293" s="56">
        <v>109846.93</v>
      </c>
      <c r="AQ293" s="55">
        <v>110817.33</v>
      </c>
      <c r="AR293" s="55">
        <v>111940.5</v>
      </c>
      <c r="AS293" s="55">
        <v>111118.47</v>
      </c>
      <c r="AT293" s="55">
        <f t="array" ref="AT293">XLOOKUP(C293,'PL TOTAL D0'!A:A,'PL TOTAL D0'!C:C,"")</f>
        <v>112103.4</v>
      </c>
    </row>
    <row r="294" ht="15.75" customHeight="1">
      <c r="A294" s="44" t="s">
        <v>36</v>
      </c>
      <c r="B294" s="45" t="s">
        <v>1057</v>
      </c>
      <c r="C294" s="46" t="s">
        <v>1058</v>
      </c>
      <c r="D294" s="47" t="s">
        <v>18</v>
      </c>
      <c r="E294" s="24" t="s">
        <v>19</v>
      </c>
      <c r="F294" s="47" t="s">
        <v>20</v>
      </c>
      <c r="G294" s="47" t="str">
        <f t="shared" si="1"/>
        <v>Breno</v>
      </c>
      <c r="H294" s="53" t="s">
        <v>116</v>
      </c>
      <c r="I294" s="48" t="s">
        <v>24</v>
      </c>
      <c r="J294" s="47" t="str">
        <f t="shared" si="2"/>
        <v>Sim</v>
      </c>
      <c r="K294" s="49">
        <v>44945.0</v>
      </c>
      <c r="L294" s="24"/>
      <c r="M294" s="24" t="s">
        <v>60</v>
      </c>
      <c r="N294" s="50">
        <v>0.012</v>
      </c>
      <c r="O294" s="47" t="s">
        <v>24</v>
      </c>
      <c r="P294" s="51">
        <v>0.0</v>
      </c>
      <c r="Q294" s="62" t="s">
        <v>1059</v>
      </c>
      <c r="R294" s="52"/>
      <c r="S294" s="52"/>
      <c r="T294" s="24" t="s">
        <v>89</v>
      </c>
      <c r="U294" s="25" t="s">
        <v>1060</v>
      </c>
      <c r="V294" s="9" t="s">
        <v>19</v>
      </c>
      <c r="W294" s="53" t="str">
        <f t="shared" si="3"/>
        <v>Ativo</v>
      </c>
      <c r="X294" s="24"/>
      <c r="Y294" s="54" t="s">
        <v>95</v>
      </c>
      <c r="Z294" s="56"/>
      <c r="AA294" s="56"/>
      <c r="AB294" s="56"/>
      <c r="AC294" s="56"/>
      <c r="AD294" s="56">
        <v>1922920.39</v>
      </c>
      <c r="AE294" s="56">
        <v>2493271.63</v>
      </c>
      <c r="AF294" s="56">
        <v>2520762.31</v>
      </c>
      <c r="AG294" s="56">
        <v>2538779.45</v>
      </c>
      <c r="AH294" s="56">
        <v>2566640.21</v>
      </c>
      <c r="AI294" s="56">
        <v>2590353.9</v>
      </c>
      <c r="AJ294" s="56">
        <v>2613104.75</v>
      </c>
      <c r="AK294" s="56">
        <v>2636690.92</v>
      </c>
      <c r="AL294" s="56">
        <v>2658373.0</v>
      </c>
      <c r="AM294" s="56">
        <v>2682028.77</v>
      </c>
      <c r="AN294" s="56">
        <v>2701699.72</v>
      </c>
      <c r="AO294" s="56">
        <v>2722116.52</v>
      </c>
      <c r="AP294" s="56">
        <v>2714748.31</v>
      </c>
      <c r="AQ294" s="55">
        <v>643021.64</v>
      </c>
      <c r="AR294" s="55">
        <v>648589.35</v>
      </c>
      <c r="AS294" s="55">
        <v>585320.19</v>
      </c>
      <c r="AT294" s="55">
        <f t="array" ref="AT294">XLOOKUP(C294,'PL TOTAL D0'!A:A,'PL TOTAL D0'!C:C,"")</f>
        <v>588098.3</v>
      </c>
    </row>
    <row r="295" ht="15.75" customHeight="1">
      <c r="A295" s="44" t="s">
        <v>36</v>
      </c>
      <c r="B295" s="45" t="s">
        <v>1061</v>
      </c>
      <c r="C295" s="46" t="s">
        <v>1062</v>
      </c>
      <c r="D295" s="47" t="s">
        <v>18</v>
      </c>
      <c r="E295" s="24" t="s">
        <v>145</v>
      </c>
      <c r="F295" s="47" t="s">
        <v>171</v>
      </c>
      <c r="G295" s="47" t="str">
        <f t="shared" si="1"/>
        <v>Breno</v>
      </c>
      <c r="H295" s="48" t="s">
        <v>88</v>
      </c>
      <c r="I295" s="48" t="s">
        <v>24</v>
      </c>
      <c r="J295" s="47" t="str">
        <f t="shared" si="2"/>
        <v>Não</v>
      </c>
      <c r="K295" s="49">
        <v>45028.0</v>
      </c>
      <c r="L295" s="24"/>
      <c r="M295" s="24" t="s">
        <v>111</v>
      </c>
      <c r="N295" s="50">
        <v>0.015</v>
      </c>
      <c r="O295" s="47" t="s">
        <v>46</v>
      </c>
      <c r="P295" s="51">
        <v>0.1</v>
      </c>
      <c r="Q295" s="106"/>
      <c r="R295" s="106"/>
      <c r="S295" s="106"/>
      <c r="T295" s="24" t="s">
        <v>89</v>
      </c>
      <c r="U295" s="25" t="s">
        <v>1063</v>
      </c>
      <c r="V295" s="9" t="s">
        <v>29</v>
      </c>
      <c r="W295" s="53" t="str">
        <f t="shared" si="3"/>
        <v>Ativo</v>
      </c>
      <c r="X295" s="24"/>
      <c r="Y295" s="54" t="s">
        <v>91</v>
      </c>
      <c r="Z295" s="56"/>
      <c r="AA295" s="56"/>
      <c r="AB295" s="56"/>
      <c r="AC295" s="56"/>
      <c r="AD295" s="56">
        <v>0.0</v>
      </c>
      <c r="AE295" s="56">
        <v>0.0</v>
      </c>
      <c r="AF295" s="56">
        <v>0.0</v>
      </c>
      <c r="AG295" s="56">
        <v>1257106.81</v>
      </c>
      <c r="AH295" s="56">
        <v>1279464.7</v>
      </c>
      <c r="AI295" s="56">
        <v>1303880.5</v>
      </c>
      <c r="AJ295" s="56">
        <v>1319712.68</v>
      </c>
      <c r="AK295" s="56">
        <v>1301655.48</v>
      </c>
      <c r="AL295" s="56">
        <v>1306517.9</v>
      </c>
      <c r="AM295" s="56">
        <v>1294721.43</v>
      </c>
      <c r="AN295" s="56">
        <v>1309541.25</v>
      </c>
      <c r="AO295" s="56">
        <v>1332806.55</v>
      </c>
      <c r="AP295" s="56">
        <v>935959.23</v>
      </c>
      <c r="AQ295" s="55">
        <v>939767.14</v>
      </c>
      <c r="AR295" s="55">
        <v>929335.64</v>
      </c>
      <c r="AS295" s="55">
        <v>915961.54</v>
      </c>
      <c r="AT295" s="55">
        <f t="array" ref="AT295">XLOOKUP(C295,'PL TOTAL D0'!A:A,'PL TOTAL D0'!C:C,"")</f>
        <v>911771</v>
      </c>
    </row>
    <row r="296" ht="15.75" customHeight="1">
      <c r="A296" s="44" t="s">
        <v>36</v>
      </c>
      <c r="B296" s="63" t="s">
        <v>1064</v>
      </c>
      <c r="C296" s="46" t="s">
        <v>1065</v>
      </c>
      <c r="D296" s="47" t="s">
        <v>18</v>
      </c>
      <c r="E296" s="24" t="s">
        <v>145</v>
      </c>
      <c r="F296" s="47" t="s">
        <v>146</v>
      </c>
      <c r="G296" s="47" t="str">
        <f t="shared" si="1"/>
        <v>Breno</v>
      </c>
      <c r="H296" s="48" t="s">
        <v>88</v>
      </c>
      <c r="I296" s="48" t="s">
        <v>24</v>
      </c>
      <c r="J296" s="47" t="str">
        <f t="shared" si="2"/>
        <v>Não</v>
      </c>
      <c r="K296" s="49">
        <v>45028.0</v>
      </c>
      <c r="L296" s="24"/>
      <c r="M296" s="24" t="s">
        <v>111</v>
      </c>
      <c r="N296" s="50">
        <v>0.015</v>
      </c>
      <c r="O296" s="47" t="s">
        <v>46</v>
      </c>
      <c r="P296" s="51">
        <v>0.1</v>
      </c>
      <c r="Q296" s="106"/>
      <c r="R296" s="106"/>
      <c r="S296" s="106"/>
      <c r="T296" s="24" t="s">
        <v>89</v>
      </c>
      <c r="U296" s="25" t="s">
        <v>1066</v>
      </c>
      <c r="V296" s="9" t="s">
        <v>149</v>
      </c>
      <c r="W296" s="53" t="str">
        <f t="shared" si="3"/>
        <v>Ativo</v>
      </c>
      <c r="X296" s="24"/>
      <c r="Y296" s="54" t="s">
        <v>91</v>
      </c>
      <c r="Z296" s="56"/>
      <c r="AA296" s="56"/>
      <c r="AB296" s="56"/>
      <c r="AC296" s="56"/>
      <c r="AD296" s="56"/>
      <c r="AE296" s="56"/>
      <c r="AF296" s="56">
        <v>0.0</v>
      </c>
      <c r="AG296" s="56">
        <v>355326.46</v>
      </c>
      <c r="AH296" s="56">
        <v>360391.21</v>
      </c>
      <c r="AI296" s="56">
        <v>366511.0</v>
      </c>
      <c r="AJ296" s="56">
        <v>370316.11</v>
      </c>
      <c r="AK296" s="56">
        <v>367855.05</v>
      </c>
      <c r="AL296" s="56">
        <v>369466.61</v>
      </c>
      <c r="AM296" s="56">
        <v>368762.06</v>
      </c>
      <c r="AN296" s="56">
        <v>376416.68</v>
      </c>
      <c r="AO296" s="56">
        <v>381656.46</v>
      </c>
      <c r="AP296" s="56">
        <v>375998.35</v>
      </c>
      <c r="AQ296" s="55">
        <v>378904.15</v>
      </c>
      <c r="AR296" s="55">
        <v>581827.86</v>
      </c>
      <c r="AS296" s="55">
        <v>577271.54</v>
      </c>
      <c r="AT296" s="55">
        <f t="array" ref="AT296">XLOOKUP(C296,'PL TOTAL D0'!A:A,'PL TOTAL D0'!C:C,"")</f>
        <v>582057.5</v>
      </c>
    </row>
    <row r="297" ht="15.75" customHeight="1">
      <c r="A297" s="44" t="s">
        <v>36</v>
      </c>
      <c r="B297" s="63" t="s">
        <v>1067</v>
      </c>
      <c r="C297" s="46" t="s">
        <v>1068</v>
      </c>
      <c r="D297" s="47" t="s">
        <v>18</v>
      </c>
      <c r="E297" s="24" t="s">
        <v>29</v>
      </c>
      <c r="F297" s="47" t="s">
        <v>58</v>
      </c>
      <c r="G297" s="47" t="str">
        <f t="shared" si="1"/>
        <v>Breno</v>
      </c>
      <c r="H297" s="48" t="s">
        <v>88</v>
      </c>
      <c r="I297" s="48" t="s">
        <v>24</v>
      </c>
      <c r="J297" s="47" t="str">
        <f t="shared" si="2"/>
        <v>Não</v>
      </c>
      <c r="K297" s="49">
        <v>45008.0</v>
      </c>
      <c r="L297" s="24"/>
      <c r="M297" s="24" t="s">
        <v>60</v>
      </c>
      <c r="N297" s="50">
        <v>0.012</v>
      </c>
      <c r="O297" s="47" t="s">
        <v>24</v>
      </c>
      <c r="P297" s="51">
        <v>0.0</v>
      </c>
      <c r="Q297" s="106"/>
      <c r="R297" s="106"/>
      <c r="S297" s="106"/>
      <c r="T297" s="24" t="s">
        <v>89</v>
      </c>
      <c r="U297" s="25" t="s">
        <v>1069</v>
      </c>
      <c r="V297" s="9" t="s">
        <v>715</v>
      </c>
      <c r="W297" s="53" t="str">
        <f t="shared" si="3"/>
        <v>Ativo</v>
      </c>
      <c r="X297" s="24"/>
      <c r="Y297" s="54" t="s">
        <v>95</v>
      </c>
      <c r="Z297" s="56"/>
      <c r="AA297" s="56"/>
      <c r="AB297" s="56"/>
      <c r="AC297" s="56"/>
      <c r="AD297" s="56"/>
      <c r="AE297" s="56"/>
      <c r="AF297" s="56">
        <v>501068.64</v>
      </c>
      <c r="AG297" s="56">
        <v>504869.41</v>
      </c>
      <c r="AH297" s="56">
        <v>510334.32</v>
      </c>
      <c r="AI297" s="56">
        <v>514928.52</v>
      </c>
      <c r="AJ297" s="56">
        <v>519371.42</v>
      </c>
      <c r="AK297" s="56">
        <v>524719.4</v>
      </c>
      <c r="AL297" s="56">
        <v>529041.09</v>
      </c>
      <c r="AM297" s="56">
        <v>533677.29</v>
      </c>
      <c r="AN297" s="56">
        <v>534608.02</v>
      </c>
      <c r="AO297" s="56">
        <v>538744.15</v>
      </c>
      <c r="AP297" s="56">
        <v>543769.68</v>
      </c>
      <c r="AQ297" s="55">
        <v>548219.32</v>
      </c>
      <c r="AR297" s="55">
        <v>550429.91</v>
      </c>
      <c r="AS297" s="55">
        <v>552172.42</v>
      </c>
      <c r="AT297" s="55">
        <f t="array" ref="AT297">XLOOKUP(C297,'PL TOTAL D0'!A:A,'PL TOTAL D0'!C:C,"")</f>
        <v>554688.8</v>
      </c>
    </row>
    <row r="298" ht="15.75" customHeight="1">
      <c r="A298" s="44" t="s">
        <v>36</v>
      </c>
      <c r="B298" s="45" t="s">
        <v>1070</v>
      </c>
      <c r="C298" s="46" t="s">
        <v>1071</v>
      </c>
      <c r="D298" s="47" t="s">
        <v>18</v>
      </c>
      <c r="E298" s="24" t="s">
        <v>19</v>
      </c>
      <c r="F298" s="47" t="s">
        <v>52</v>
      </c>
      <c r="G298" s="47" t="str">
        <f t="shared" si="1"/>
        <v>Breno</v>
      </c>
      <c r="H298" s="48" t="s">
        <v>88</v>
      </c>
      <c r="I298" s="48" t="s">
        <v>24</v>
      </c>
      <c r="J298" s="47" t="str">
        <f t="shared" si="2"/>
        <v>Não</v>
      </c>
      <c r="K298" s="49">
        <v>44909.0</v>
      </c>
      <c r="L298" s="24"/>
      <c r="M298" s="24" t="s">
        <v>60</v>
      </c>
      <c r="N298" s="50">
        <v>0.01</v>
      </c>
      <c r="O298" s="47" t="s">
        <v>24</v>
      </c>
      <c r="P298" s="51">
        <v>0.0</v>
      </c>
      <c r="Q298" s="106"/>
      <c r="R298" s="106"/>
      <c r="S298" s="106"/>
      <c r="T298" s="24" t="s">
        <v>329</v>
      </c>
      <c r="U298" s="25">
        <v>4.7341517000108E13</v>
      </c>
      <c r="V298" s="9" t="s">
        <v>19</v>
      </c>
      <c r="W298" s="53" t="str">
        <f t="shared" si="3"/>
        <v>Ativo</v>
      </c>
      <c r="X298" s="24"/>
      <c r="Y298" s="54" t="s">
        <v>95</v>
      </c>
      <c r="Z298" s="56"/>
      <c r="AA298" s="56"/>
      <c r="AB298" s="56"/>
      <c r="AC298" s="56">
        <v>1200247.58</v>
      </c>
      <c r="AD298" s="56">
        <v>1178447.93</v>
      </c>
      <c r="AE298" s="56">
        <v>1152279.75</v>
      </c>
      <c r="AF298" s="56">
        <v>1129848.76</v>
      </c>
      <c r="AG298" s="56">
        <v>1110519.6</v>
      </c>
      <c r="AH298" s="56">
        <v>1098123.19</v>
      </c>
      <c r="AI298" s="56">
        <v>1093084.04</v>
      </c>
      <c r="AJ298" s="56">
        <v>1090968.79</v>
      </c>
      <c r="AK298" s="56">
        <v>1064172.67</v>
      </c>
      <c r="AL298" s="56">
        <v>1072675.14</v>
      </c>
      <c r="AM298" s="56">
        <v>1067565.04</v>
      </c>
      <c r="AN298" s="56">
        <v>1053672.81</v>
      </c>
      <c r="AO298" s="56">
        <v>1045311.94</v>
      </c>
      <c r="AP298" s="56">
        <v>1037210.17</v>
      </c>
      <c r="AQ298" s="55">
        <v>896369.06</v>
      </c>
      <c r="AR298" s="55">
        <v>874087.61</v>
      </c>
      <c r="AS298" s="55">
        <v>797210.69</v>
      </c>
      <c r="AT298" s="55">
        <f t="array" ref="AT298">XLOOKUP(C298,'PL TOTAL D0'!A:A,'PL TOTAL D0'!C:C,"")</f>
        <v>725984.5</v>
      </c>
    </row>
    <row r="299" ht="15.75" customHeight="1">
      <c r="A299" s="44" t="s">
        <v>36</v>
      </c>
      <c r="B299" s="45" t="s">
        <v>1072</v>
      </c>
      <c r="C299" s="46" t="s">
        <v>1073</v>
      </c>
      <c r="D299" s="47" t="s">
        <v>18</v>
      </c>
      <c r="E299" s="24" t="s">
        <v>145</v>
      </c>
      <c r="F299" s="47" t="s">
        <v>146</v>
      </c>
      <c r="G299" s="47" t="str">
        <f t="shared" si="1"/>
        <v>Breno</v>
      </c>
      <c r="H299" s="48" t="s">
        <v>88</v>
      </c>
      <c r="I299" s="48" t="s">
        <v>24</v>
      </c>
      <c r="J299" s="47" t="str">
        <f t="shared" si="2"/>
        <v>Não</v>
      </c>
      <c r="K299" s="49">
        <v>45034.0</v>
      </c>
      <c r="L299" s="24"/>
      <c r="M299" s="24" t="s">
        <v>162</v>
      </c>
      <c r="N299" s="50">
        <v>0.015</v>
      </c>
      <c r="O299" s="47" t="s">
        <v>163</v>
      </c>
      <c r="P299" s="51">
        <v>0.2</v>
      </c>
      <c r="Q299" s="52"/>
      <c r="R299" s="52"/>
      <c r="S299" s="52"/>
      <c r="T299" s="24" t="s">
        <v>89</v>
      </c>
      <c r="U299" s="25" t="s">
        <v>1074</v>
      </c>
      <c r="V299" s="9" t="s">
        <v>149</v>
      </c>
      <c r="W299" s="53" t="str">
        <f t="shared" si="3"/>
        <v>Ativo</v>
      </c>
      <c r="X299" s="24"/>
      <c r="Y299" s="54" t="s">
        <v>91</v>
      </c>
      <c r="Z299" s="56"/>
      <c r="AA299" s="56"/>
      <c r="AB299" s="56"/>
      <c r="AC299" s="56"/>
      <c r="AD299" s="56"/>
      <c r="AE299" s="56"/>
      <c r="AF299" s="56">
        <v>0.0</v>
      </c>
      <c r="AG299" s="56">
        <v>14649.95</v>
      </c>
      <c r="AH299" s="56">
        <v>347561.87</v>
      </c>
      <c r="AI299" s="56">
        <v>375835.95</v>
      </c>
      <c r="AJ299" s="56">
        <v>460484.47</v>
      </c>
      <c r="AK299" s="56">
        <v>471049.81</v>
      </c>
      <c r="AL299" s="56">
        <v>499682.77</v>
      </c>
      <c r="AM299" s="56">
        <v>522608.53</v>
      </c>
      <c r="AN299" s="56">
        <v>572538.7</v>
      </c>
      <c r="AO299" s="56">
        <v>634632.13</v>
      </c>
      <c r="AP299" s="56">
        <v>593675.26</v>
      </c>
      <c r="AQ299" s="55">
        <v>602012.14</v>
      </c>
      <c r="AR299" s="55">
        <v>640051.07</v>
      </c>
      <c r="AS299" s="55">
        <v>614196.9</v>
      </c>
      <c r="AT299" s="55">
        <f t="array" ref="AT299">XLOOKUP(C299,'PL TOTAL D0'!A:A,'PL TOTAL D0'!C:C,"")</f>
        <v>645280.9</v>
      </c>
    </row>
    <row r="300" ht="15.75" customHeight="1">
      <c r="A300" s="44" t="s">
        <v>36</v>
      </c>
      <c r="B300" s="63" t="s">
        <v>1072</v>
      </c>
      <c r="C300" s="46" t="s">
        <v>1075</v>
      </c>
      <c r="D300" s="47" t="s">
        <v>18</v>
      </c>
      <c r="E300" s="24" t="s">
        <v>145</v>
      </c>
      <c r="F300" s="47" t="s">
        <v>146</v>
      </c>
      <c r="G300" s="47" t="str">
        <f t="shared" si="1"/>
        <v>Breno</v>
      </c>
      <c r="H300" s="48" t="s">
        <v>88</v>
      </c>
      <c r="I300" s="48" t="s">
        <v>24</v>
      </c>
      <c r="J300" s="47" t="str">
        <f t="shared" si="2"/>
        <v>Não</v>
      </c>
      <c r="K300" s="49">
        <v>45033.0</v>
      </c>
      <c r="L300" s="24"/>
      <c r="M300" s="24" t="s">
        <v>60</v>
      </c>
      <c r="N300" s="50">
        <v>0.012</v>
      </c>
      <c r="O300" s="47" t="s">
        <v>24</v>
      </c>
      <c r="P300" s="51">
        <v>0.0</v>
      </c>
      <c r="Q300" s="106"/>
      <c r="R300" s="106"/>
      <c r="S300" s="106"/>
      <c r="T300" s="24" t="s">
        <v>89</v>
      </c>
      <c r="U300" s="25" t="s">
        <v>1074</v>
      </c>
      <c r="V300" s="9" t="s">
        <v>149</v>
      </c>
      <c r="W300" s="53" t="str">
        <f t="shared" si="3"/>
        <v>Ativo</v>
      </c>
      <c r="X300" s="24"/>
      <c r="Y300" s="54" t="s">
        <v>91</v>
      </c>
      <c r="Z300" s="56"/>
      <c r="AA300" s="56"/>
      <c r="AB300" s="56"/>
      <c r="AC300" s="56"/>
      <c r="AD300" s="56"/>
      <c r="AE300" s="56"/>
      <c r="AF300" s="56">
        <v>0.0</v>
      </c>
      <c r="AG300" s="56">
        <v>15035.36</v>
      </c>
      <c r="AH300" s="56">
        <v>494989.38</v>
      </c>
      <c r="AI300" s="56">
        <v>493279.87</v>
      </c>
      <c r="AJ300" s="56">
        <v>532488.02</v>
      </c>
      <c r="AK300" s="56">
        <v>562884.98</v>
      </c>
      <c r="AL300" s="56">
        <v>592435.26</v>
      </c>
      <c r="AM300" s="56">
        <v>637936.48</v>
      </c>
      <c r="AN300" s="56">
        <v>672615.94</v>
      </c>
      <c r="AO300" s="56">
        <v>717838.38</v>
      </c>
      <c r="AP300" s="56">
        <v>724329.76</v>
      </c>
      <c r="AQ300" s="55">
        <v>729024.97</v>
      </c>
      <c r="AR300" s="55">
        <v>765575.63</v>
      </c>
      <c r="AS300" s="55">
        <v>771439.14</v>
      </c>
      <c r="AT300" s="55">
        <f t="array" ref="AT300">XLOOKUP(C300,'PL TOTAL D0'!A:A,'PL TOTAL D0'!C:C,"")</f>
        <v>791411.8</v>
      </c>
    </row>
    <row r="301" ht="15.75" customHeight="1">
      <c r="A301" s="44" t="s">
        <v>36</v>
      </c>
      <c r="B301" s="63" t="s">
        <v>1072</v>
      </c>
      <c r="C301" s="46" t="s">
        <v>1076</v>
      </c>
      <c r="D301" s="47" t="s">
        <v>18</v>
      </c>
      <c r="E301" s="24" t="s">
        <v>145</v>
      </c>
      <c r="F301" s="47" t="s">
        <v>146</v>
      </c>
      <c r="G301" s="47" t="str">
        <f t="shared" si="1"/>
        <v>#N/A</v>
      </c>
      <c r="H301" s="48" t="s">
        <v>157</v>
      </c>
      <c r="I301" s="48" t="s">
        <v>24</v>
      </c>
      <c r="J301" s="47" t="str">
        <f t="shared" si="2"/>
        <v>Não</v>
      </c>
      <c r="K301" s="49">
        <v>45077.0</v>
      </c>
      <c r="L301" s="74">
        <v>45036.0</v>
      </c>
      <c r="M301" s="24" t="s">
        <v>162</v>
      </c>
      <c r="N301" s="50">
        <v>0.015</v>
      </c>
      <c r="O301" s="47" t="s">
        <v>163</v>
      </c>
      <c r="P301" s="51">
        <v>0.2</v>
      </c>
      <c r="Q301" s="119"/>
      <c r="R301" s="119"/>
      <c r="S301" s="119"/>
      <c r="T301" s="24" t="s">
        <v>89</v>
      </c>
      <c r="U301" s="25" t="s">
        <v>1074</v>
      </c>
      <c r="V301" s="9" t="s">
        <v>149</v>
      </c>
      <c r="W301" s="53" t="str">
        <f t="shared" si="3"/>
        <v>Encerrado</v>
      </c>
      <c r="X301" s="24"/>
      <c r="Y301" s="54"/>
      <c r="Z301" s="56"/>
      <c r="AA301" s="56"/>
      <c r="AB301" s="56"/>
      <c r="AC301" s="56"/>
      <c r="AD301" s="56"/>
      <c r="AE301" s="56"/>
      <c r="AF301" s="56">
        <v>0.0</v>
      </c>
      <c r="AG301" s="56">
        <v>0.0</v>
      </c>
      <c r="AH301" s="56">
        <v>0.0</v>
      </c>
      <c r="AI301" s="56">
        <v>0.0</v>
      </c>
      <c r="AJ301" s="56">
        <v>0.0</v>
      </c>
      <c r="AK301" s="56">
        <v>0.0</v>
      </c>
      <c r="AL301" s="56">
        <v>0.0</v>
      </c>
      <c r="AM301" s="56">
        <v>0.0</v>
      </c>
      <c r="AN301" s="56">
        <v>0.0</v>
      </c>
      <c r="AO301" s="56">
        <v>0.0</v>
      </c>
      <c r="AP301" s="56">
        <v>0.0</v>
      </c>
      <c r="AQ301" s="55">
        <v>0.0</v>
      </c>
      <c r="AR301" s="55">
        <v>0.0</v>
      </c>
      <c r="AS301" s="55">
        <v>0.0</v>
      </c>
      <c r="AT301" s="55" t="str">
        <f t="array" ref="AT301">XLOOKUP(C301,'PL TOTAL D0'!A:A,'PL TOTAL D0'!C:C,"")</f>
        <v/>
      </c>
    </row>
    <row r="302" ht="15.75" customHeight="1">
      <c r="A302" s="44" t="s">
        <v>36</v>
      </c>
      <c r="B302" s="63" t="s">
        <v>1077</v>
      </c>
      <c r="C302" s="46" t="s">
        <v>1078</v>
      </c>
      <c r="D302" s="9" t="s">
        <v>18</v>
      </c>
      <c r="E302" s="24" t="s">
        <v>29</v>
      </c>
      <c r="F302" s="9" t="s">
        <v>110</v>
      </c>
      <c r="G302" s="47" t="str">
        <f t="shared" si="1"/>
        <v>Bruno</v>
      </c>
      <c r="H302" s="48" t="s">
        <v>88</v>
      </c>
      <c r="I302" s="48" t="s">
        <v>24</v>
      </c>
      <c r="J302" s="47" t="str">
        <f t="shared" si="2"/>
        <v>Não</v>
      </c>
      <c r="K302" s="49">
        <v>45063.0</v>
      </c>
      <c r="L302" s="64"/>
      <c r="M302" s="24" t="s">
        <v>60</v>
      </c>
      <c r="N302" s="50">
        <v>0.01</v>
      </c>
      <c r="O302" s="47" t="s">
        <v>24</v>
      </c>
      <c r="P302" s="51">
        <v>0.0</v>
      </c>
      <c r="Q302" s="119"/>
      <c r="R302" s="119"/>
      <c r="S302" s="119"/>
      <c r="T302" s="24" t="s">
        <v>329</v>
      </c>
      <c r="U302" s="25">
        <v>3.7057387000122E13</v>
      </c>
      <c r="V302" s="9" t="s">
        <v>29</v>
      </c>
      <c r="W302" s="53" t="str">
        <f t="shared" si="3"/>
        <v>Ativo</v>
      </c>
      <c r="X302" s="24"/>
      <c r="Y302" s="54" t="s">
        <v>91</v>
      </c>
      <c r="Z302" s="56"/>
      <c r="AA302" s="56"/>
      <c r="AB302" s="56"/>
      <c r="AC302" s="56"/>
      <c r="AD302" s="56"/>
      <c r="AE302" s="56"/>
      <c r="AF302" s="56"/>
      <c r="AG302" s="56">
        <v>0.0</v>
      </c>
      <c r="AH302" s="56">
        <v>0.0</v>
      </c>
      <c r="AI302" s="56">
        <v>1273091.45</v>
      </c>
      <c r="AJ302" s="56">
        <v>1283492.26</v>
      </c>
      <c r="AK302" s="56">
        <v>1291270.0</v>
      </c>
      <c r="AL302" s="56">
        <v>1297464.97</v>
      </c>
      <c r="AM302" s="56">
        <v>1337778.23</v>
      </c>
      <c r="AN302" s="56">
        <v>1347751.78</v>
      </c>
      <c r="AO302" s="56">
        <v>1357641.77</v>
      </c>
      <c r="AP302" s="56">
        <v>1366302.01</v>
      </c>
      <c r="AQ302" s="55">
        <v>1376805.84</v>
      </c>
      <c r="AR302" s="55">
        <v>1384069.46</v>
      </c>
      <c r="AS302" s="55">
        <v>1384590.58</v>
      </c>
      <c r="AT302" s="55">
        <f t="array" ref="AT302">XLOOKUP(C302,'PL TOTAL D0'!A:A,'PL TOTAL D0'!C:C,"")</f>
        <v>1382829</v>
      </c>
    </row>
    <row r="303" ht="15.75" customHeight="1">
      <c r="A303" s="44" t="s">
        <v>36</v>
      </c>
      <c r="B303" s="57" t="s">
        <v>1079</v>
      </c>
      <c r="C303" s="46" t="s">
        <v>1080</v>
      </c>
      <c r="D303" s="47" t="s">
        <v>18</v>
      </c>
      <c r="E303" s="24" t="s">
        <v>19</v>
      </c>
      <c r="F303" s="24" t="s">
        <v>230</v>
      </c>
      <c r="G303" s="47" t="str">
        <f t="shared" si="1"/>
        <v>Augusto</v>
      </c>
      <c r="H303" s="48" t="s">
        <v>88</v>
      </c>
      <c r="I303" s="53" t="s">
        <v>24</v>
      </c>
      <c r="J303" s="47" t="str">
        <f t="shared" si="2"/>
        <v>Não</v>
      </c>
      <c r="K303" s="64">
        <v>45163.0</v>
      </c>
      <c r="L303" s="44"/>
      <c r="M303" s="24" t="s">
        <v>60</v>
      </c>
      <c r="N303" s="116">
        <v>0.012</v>
      </c>
      <c r="O303" s="47" t="s">
        <v>24</v>
      </c>
      <c r="P303" s="51">
        <v>0.0</v>
      </c>
      <c r="Q303" s="76"/>
      <c r="R303" s="75"/>
      <c r="S303" s="75"/>
      <c r="T303" s="24" t="s">
        <v>329</v>
      </c>
      <c r="U303" s="25" t="s">
        <v>1081</v>
      </c>
      <c r="V303" s="25" t="s">
        <v>19</v>
      </c>
      <c r="W303" s="53" t="str">
        <f t="shared" si="3"/>
        <v>Ativo</v>
      </c>
      <c r="X303" s="24"/>
      <c r="Y303" s="54" t="s">
        <v>91</v>
      </c>
      <c r="Z303" s="172"/>
      <c r="AA303" s="172"/>
      <c r="AB303" s="172"/>
      <c r="AC303" s="172"/>
      <c r="AD303" s="56"/>
      <c r="AE303" s="56"/>
      <c r="AF303" s="56"/>
      <c r="AG303" s="56"/>
      <c r="AH303" s="56"/>
      <c r="AI303" s="56"/>
      <c r="AJ303" s="56">
        <v>0.0</v>
      </c>
      <c r="AK303" s="56">
        <v>0.0</v>
      </c>
      <c r="AL303" s="56">
        <v>0.0</v>
      </c>
      <c r="AM303" s="56">
        <v>0.0</v>
      </c>
      <c r="AN303" s="56">
        <v>0.0</v>
      </c>
      <c r="AO303" s="56">
        <v>100000.0</v>
      </c>
      <c r="AP303" s="56">
        <v>302510.1</v>
      </c>
      <c r="AQ303" s="55">
        <v>284642.17</v>
      </c>
      <c r="AR303" s="55">
        <v>53523.46</v>
      </c>
      <c r="AS303" s="55">
        <v>9670.62</v>
      </c>
      <c r="AT303" s="55">
        <f t="array" ref="AT303">XLOOKUP(C303,'PL TOTAL D0'!A:A,'PL TOTAL D0'!C:C,"")</f>
        <v>9706.62</v>
      </c>
    </row>
    <row r="304" ht="15.75" customHeight="1">
      <c r="A304" s="44" t="s">
        <v>36</v>
      </c>
      <c r="B304" s="57" t="s">
        <v>1079</v>
      </c>
      <c r="C304" s="46" t="s">
        <v>1082</v>
      </c>
      <c r="D304" s="47" t="s">
        <v>18</v>
      </c>
      <c r="E304" s="24" t="s">
        <v>19</v>
      </c>
      <c r="F304" s="47" t="s">
        <v>230</v>
      </c>
      <c r="G304" s="47" t="str">
        <f t="shared" si="1"/>
        <v>Bruno</v>
      </c>
      <c r="H304" s="48" t="s">
        <v>88</v>
      </c>
      <c r="I304" s="48" t="s">
        <v>24</v>
      </c>
      <c r="J304" s="47" t="str">
        <f t="shared" si="2"/>
        <v>Sim</v>
      </c>
      <c r="K304" s="49">
        <v>44964.0</v>
      </c>
      <c r="L304" s="24"/>
      <c r="M304" s="24" t="s">
        <v>45</v>
      </c>
      <c r="N304" s="50">
        <v>0.012</v>
      </c>
      <c r="O304" s="47" t="s">
        <v>24</v>
      </c>
      <c r="P304" s="51">
        <v>0.0</v>
      </c>
      <c r="Q304" s="62" t="s">
        <v>1083</v>
      </c>
      <c r="R304" s="52"/>
      <c r="S304" s="52"/>
      <c r="T304" s="24" t="s">
        <v>329</v>
      </c>
      <c r="U304" s="25" t="s">
        <v>1084</v>
      </c>
      <c r="V304" s="9" t="s">
        <v>19</v>
      </c>
      <c r="W304" s="53" t="str">
        <f t="shared" si="3"/>
        <v>Ativo</v>
      </c>
      <c r="X304" s="24"/>
      <c r="Y304" s="54" t="s">
        <v>91</v>
      </c>
      <c r="Z304" s="56"/>
      <c r="AA304" s="56"/>
      <c r="AB304" s="56"/>
      <c r="AC304" s="56"/>
      <c r="AD304" s="56">
        <v>0.0</v>
      </c>
      <c r="AE304" s="56">
        <v>1.590662459E7</v>
      </c>
      <c r="AF304" s="56">
        <v>1.591476817E7</v>
      </c>
      <c r="AG304" s="56">
        <v>1.604461861E7</v>
      </c>
      <c r="AH304" s="56">
        <v>1.589627726E7</v>
      </c>
      <c r="AI304" s="56">
        <v>1.605861637E7</v>
      </c>
      <c r="AJ304" s="56">
        <v>1.609982012E7</v>
      </c>
      <c r="AK304" s="56">
        <v>1.614164387E7</v>
      </c>
      <c r="AL304" s="56">
        <v>1.602877065E7</v>
      </c>
      <c r="AM304" s="56">
        <v>1.605470201E7</v>
      </c>
      <c r="AN304" s="56">
        <v>1.62120854E7</v>
      </c>
      <c r="AO304" s="56">
        <v>1.637399143E7</v>
      </c>
      <c r="AP304" s="56">
        <v>1.638818682E7</v>
      </c>
      <c r="AQ304" s="55">
        <v>1.652078305E7</v>
      </c>
      <c r="AR304" s="55">
        <v>1.652389002E7</v>
      </c>
      <c r="AS304" s="55">
        <v>1.632882182E7</v>
      </c>
      <c r="AT304" s="55">
        <f t="array" ref="AT304">XLOOKUP(C304,'PL TOTAL D0'!A:A,'PL TOTAL D0'!C:C,"")</f>
        <v>16407251</v>
      </c>
    </row>
    <row r="305" ht="15.75" customHeight="1">
      <c r="A305" s="44" t="s">
        <v>36</v>
      </c>
      <c r="B305" s="57" t="s">
        <v>1079</v>
      </c>
      <c r="C305" s="46" t="s">
        <v>1085</v>
      </c>
      <c r="D305" s="47" t="s">
        <v>18</v>
      </c>
      <c r="E305" s="24" t="s">
        <v>19</v>
      </c>
      <c r="F305" s="24" t="s">
        <v>230</v>
      </c>
      <c r="G305" s="47" t="str">
        <f t="shared" si="1"/>
        <v>Breno</v>
      </c>
      <c r="H305" s="48" t="s">
        <v>88</v>
      </c>
      <c r="I305" s="48" t="s">
        <v>24</v>
      </c>
      <c r="J305" s="47" t="str">
        <f t="shared" si="2"/>
        <v>Não</v>
      </c>
      <c r="K305" s="64">
        <v>44965.0</v>
      </c>
      <c r="L305" s="44"/>
      <c r="M305" s="24" t="s">
        <v>45</v>
      </c>
      <c r="N305" s="116">
        <v>0.012</v>
      </c>
      <c r="O305" s="47" t="s">
        <v>24</v>
      </c>
      <c r="P305" s="51">
        <v>0.0</v>
      </c>
      <c r="Q305" s="75"/>
      <c r="R305" s="75"/>
      <c r="S305" s="75"/>
      <c r="T305" s="24" t="s">
        <v>329</v>
      </c>
      <c r="U305" s="25" t="s">
        <v>1086</v>
      </c>
      <c r="V305" s="25" t="s">
        <v>19</v>
      </c>
      <c r="W305" s="53" t="str">
        <f t="shared" si="3"/>
        <v>Ativo</v>
      </c>
      <c r="X305" s="24"/>
      <c r="Y305" s="54" t="s">
        <v>91</v>
      </c>
      <c r="Z305" s="172"/>
      <c r="AA305" s="172"/>
      <c r="AB305" s="172"/>
      <c r="AC305" s="172"/>
      <c r="AD305" s="56">
        <v>0.0</v>
      </c>
      <c r="AE305" s="56">
        <v>1138799.16</v>
      </c>
      <c r="AF305" s="56">
        <v>1152760.38</v>
      </c>
      <c r="AG305" s="56">
        <v>1159316.29</v>
      </c>
      <c r="AH305" s="56">
        <v>1160229.71</v>
      </c>
      <c r="AI305" s="56">
        <v>1171602.83</v>
      </c>
      <c r="AJ305" s="56">
        <v>1139042.65</v>
      </c>
      <c r="AK305" s="56">
        <v>1117404.69</v>
      </c>
      <c r="AL305" s="56">
        <v>1092085.04</v>
      </c>
      <c r="AM305" s="56">
        <v>1066207.24</v>
      </c>
      <c r="AN305" s="56">
        <v>1039388.49</v>
      </c>
      <c r="AO305" s="56">
        <v>1013924.21</v>
      </c>
      <c r="AP305" s="56">
        <v>994627.3</v>
      </c>
      <c r="AQ305" s="55">
        <v>967761.19</v>
      </c>
      <c r="AR305" s="55">
        <v>955552.47</v>
      </c>
      <c r="AS305" s="55">
        <v>962906.76</v>
      </c>
      <c r="AT305" s="55">
        <f t="array" ref="AT305">XLOOKUP(C305,'PL TOTAL D0'!A:A,'PL TOTAL D0'!C:C,"")</f>
        <v>967304.1</v>
      </c>
    </row>
    <row r="306" ht="15.75" customHeight="1">
      <c r="A306" s="44" t="s">
        <v>36</v>
      </c>
      <c r="B306" s="68" t="s">
        <v>1087</v>
      </c>
      <c r="C306" s="73" t="s">
        <v>1088</v>
      </c>
      <c r="D306" s="47" t="s">
        <v>86</v>
      </c>
      <c r="E306" s="24" t="s">
        <v>29</v>
      </c>
      <c r="F306" s="24" t="s">
        <v>87</v>
      </c>
      <c r="G306" s="47" t="str">
        <f t="shared" si="1"/>
        <v>Breno</v>
      </c>
      <c r="H306" s="48" t="s">
        <v>88</v>
      </c>
      <c r="I306" s="48" t="s">
        <v>24</v>
      </c>
      <c r="J306" s="47" t="str">
        <f t="shared" si="2"/>
        <v>Não</v>
      </c>
      <c r="K306" s="64">
        <v>45229.0</v>
      </c>
      <c r="L306" s="44"/>
      <c r="M306" s="24" t="s">
        <v>45</v>
      </c>
      <c r="N306" s="116">
        <v>0.012</v>
      </c>
      <c r="O306" s="47" t="s">
        <v>46</v>
      </c>
      <c r="P306" s="51">
        <v>0.1</v>
      </c>
      <c r="Q306" s="75"/>
      <c r="R306" s="75"/>
      <c r="S306" s="75"/>
      <c r="T306" s="24" t="s">
        <v>89</v>
      </c>
      <c r="U306" s="25" t="s">
        <v>1089</v>
      </c>
      <c r="V306" s="25" t="s">
        <v>180</v>
      </c>
      <c r="W306" s="53" t="str">
        <f t="shared" si="3"/>
        <v>Ativo</v>
      </c>
      <c r="X306" s="24"/>
      <c r="Y306" s="54" t="s">
        <v>95</v>
      </c>
      <c r="Z306" s="172"/>
      <c r="AA306" s="172"/>
      <c r="AB306" s="172"/>
      <c r="AC306" s="172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>
        <v>904514.02</v>
      </c>
      <c r="AN306" s="56">
        <v>915017.5</v>
      </c>
      <c r="AO306" s="56">
        <v>966258.68</v>
      </c>
      <c r="AP306" s="56">
        <v>963443.81</v>
      </c>
      <c r="AQ306" s="55">
        <v>939249.23</v>
      </c>
      <c r="AR306" s="55">
        <v>948513.33</v>
      </c>
      <c r="AS306" s="55">
        <v>946014.79</v>
      </c>
      <c r="AT306" s="55">
        <f t="array" ref="AT306">XLOOKUP(C306,'PL TOTAL D0'!A:A,'PL TOTAL D0'!C:C,"")</f>
        <v>952631.3</v>
      </c>
    </row>
    <row r="307" ht="15.75" customHeight="1">
      <c r="A307" s="44" t="s">
        <v>36</v>
      </c>
      <c r="B307" s="57" t="s">
        <v>1090</v>
      </c>
      <c r="C307" s="46" t="s">
        <v>1091</v>
      </c>
      <c r="D307" s="47" t="s">
        <v>18</v>
      </c>
      <c r="E307" s="24" t="s">
        <v>19</v>
      </c>
      <c r="F307" s="47" t="s">
        <v>20</v>
      </c>
      <c r="G307" s="47" t="str">
        <f t="shared" si="1"/>
        <v>Bruno</v>
      </c>
      <c r="H307" s="48" t="s">
        <v>88</v>
      </c>
      <c r="I307" s="48" t="s">
        <v>24</v>
      </c>
      <c r="J307" s="47" t="str">
        <f t="shared" si="2"/>
        <v>Sim</v>
      </c>
      <c r="K307" s="49">
        <v>44607.0</v>
      </c>
      <c r="L307" s="24"/>
      <c r="M307" s="25" t="s">
        <v>106</v>
      </c>
      <c r="N307" s="50">
        <v>0.012</v>
      </c>
      <c r="O307" s="47" t="s">
        <v>46</v>
      </c>
      <c r="P307" s="51">
        <v>0.1</v>
      </c>
      <c r="Q307" s="173" t="s">
        <v>1092</v>
      </c>
      <c r="R307" s="52"/>
      <c r="S307" s="62" t="s">
        <v>1093</v>
      </c>
      <c r="T307" s="24" t="s">
        <v>89</v>
      </c>
      <c r="U307" s="25" t="s">
        <v>1094</v>
      </c>
      <c r="V307" s="9" t="s">
        <v>19</v>
      </c>
      <c r="W307" s="53" t="str">
        <f t="shared" si="3"/>
        <v>Ativo</v>
      </c>
      <c r="X307" s="24"/>
      <c r="Y307" s="54" t="s">
        <v>95</v>
      </c>
      <c r="Z307" s="56"/>
      <c r="AA307" s="56"/>
      <c r="AB307" s="56"/>
      <c r="AC307" s="56"/>
      <c r="AD307" s="56">
        <v>0.0</v>
      </c>
      <c r="AE307" s="56">
        <v>1174012.95</v>
      </c>
      <c r="AF307" s="56">
        <v>1278337.14</v>
      </c>
      <c r="AG307" s="56">
        <v>1277504.53</v>
      </c>
      <c r="AH307" s="56">
        <v>1309970.99</v>
      </c>
      <c r="AI307" s="56">
        <v>1337693.54</v>
      </c>
      <c r="AJ307" s="56">
        <v>1349842.02</v>
      </c>
      <c r="AK307" s="56">
        <v>1345337.41</v>
      </c>
      <c r="AL307" s="56">
        <v>1346431.58</v>
      </c>
      <c r="AM307" s="56">
        <v>1330950.57</v>
      </c>
      <c r="AN307" s="56">
        <v>1492941.21</v>
      </c>
      <c r="AO307" s="56">
        <v>1513517.47</v>
      </c>
      <c r="AP307" s="56">
        <v>1523641.36</v>
      </c>
      <c r="AQ307" s="55">
        <v>1563944.12</v>
      </c>
      <c r="AR307" s="55">
        <v>1596659.71</v>
      </c>
      <c r="AS307" s="55">
        <v>1600539.36</v>
      </c>
      <c r="AT307" s="55">
        <f t="array" ref="AT307">XLOOKUP(C307,'PL TOTAL D0'!A:A,'PL TOTAL D0'!C:C,"")</f>
        <v>1626874</v>
      </c>
    </row>
    <row r="308" ht="15.75" customHeight="1">
      <c r="A308" s="44" t="s">
        <v>36</v>
      </c>
      <c r="B308" s="63" t="s">
        <v>1095</v>
      </c>
      <c r="C308" s="46" t="s">
        <v>1096</v>
      </c>
      <c r="D308" s="47" t="s">
        <v>18</v>
      </c>
      <c r="E308" s="24" t="s">
        <v>29</v>
      </c>
      <c r="F308" s="47" t="s">
        <v>137</v>
      </c>
      <c r="G308" s="47" t="str">
        <f t="shared" si="1"/>
        <v>Augusto</v>
      </c>
      <c r="H308" s="48" t="s">
        <v>88</v>
      </c>
      <c r="I308" s="48" t="s">
        <v>24</v>
      </c>
      <c r="J308" s="47" t="str">
        <f t="shared" si="2"/>
        <v>Não</v>
      </c>
      <c r="K308" s="49">
        <v>45036.0</v>
      </c>
      <c r="L308" s="24"/>
      <c r="M308" s="24" t="s">
        <v>54</v>
      </c>
      <c r="N308" s="50">
        <v>0.003</v>
      </c>
      <c r="O308" s="47" t="s">
        <v>24</v>
      </c>
      <c r="P308" s="51">
        <v>0.0</v>
      </c>
      <c r="Q308" s="52"/>
      <c r="R308" s="52"/>
      <c r="S308" s="52"/>
      <c r="T308" s="24" t="s">
        <v>329</v>
      </c>
      <c r="U308" s="25" t="s">
        <v>1097</v>
      </c>
      <c r="V308" s="9" t="s">
        <v>29</v>
      </c>
      <c r="W308" s="53" t="str">
        <f t="shared" si="3"/>
        <v>Ativo</v>
      </c>
      <c r="X308" s="24"/>
      <c r="Y308" s="54" t="s">
        <v>95</v>
      </c>
      <c r="Z308" s="56"/>
      <c r="AA308" s="56"/>
      <c r="AB308" s="56"/>
      <c r="AC308" s="56"/>
      <c r="AD308" s="56"/>
      <c r="AE308" s="56"/>
      <c r="AF308" s="56">
        <v>0.0</v>
      </c>
      <c r="AG308" s="56">
        <v>332686.07</v>
      </c>
      <c r="AH308" s="56">
        <v>276198.08</v>
      </c>
      <c r="AI308" s="56">
        <v>277203.64</v>
      </c>
      <c r="AJ308" s="56">
        <v>280072.57</v>
      </c>
      <c r="AK308" s="56">
        <v>383540.6</v>
      </c>
      <c r="AL308" s="56">
        <v>386603.64</v>
      </c>
      <c r="AM308" s="56">
        <v>389507.22</v>
      </c>
      <c r="AN308" s="56">
        <v>393323.7</v>
      </c>
      <c r="AO308" s="56">
        <v>697637.75</v>
      </c>
      <c r="AP308" s="56">
        <v>35204.2</v>
      </c>
      <c r="AQ308" s="55">
        <v>35324.09</v>
      </c>
      <c r="AR308" s="55">
        <v>85768.99</v>
      </c>
      <c r="AS308" s="55">
        <v>85896.69</v>
      </c>
      <c r="AT308" s="55">
        <f t="array" ref="AT308">XLOOKUP(C308,'PL TOTAL D0'!A:A,'PL TOTAL D0'!C:C,"")</f>
        <v>86447.22</v>
      </c>
    </row>
    <row r="309" ht="15.75" customHeight="1">
      <c r="A309" s="44" t="s">
        <v>36</v>
      </c>
      <c r="B309" s="45" t="s">
        <v>1098</v>
      </c>
      <c r="C309" s="46" t="s">
        <v>1099</v>
      </c>
      <c r="D309" s="47" t="s">
        <v>18</v>
      </c>
      <c r="E309" s="24" t="s">
        <v>29</v>
      </c>
      <c r="F309" s="47" t="s">
        <v>137</v>
      </c>
      <c r="G309" s="47" t="str">
        <f t="shared" si="1"/>
        <v>Augusto</v>
      </c>
      <c r="H309" s="48" t="s">
        <v>88</v>
      </c>
      <c r="I309" s="48" t="s">
        <v>24</v>
      </c>
      <c r="J309" s="47" t="str">
        <f t="shared" si="2"/>
        <v>Não</v>
      </c>
      <c r="K309" s="49">
        <v>44981.0</v>
      </c>
      <c r="L309" s="24"/>
      <c r="M309" s="24" t="s">
        <v>60</v>
      </c>
      <c r="N309" s="50">
        <v>0.007</v>
      </c>
      <c r="O309" s="47" t="s">
        <v>24</v>
      </c>
      <c r="P309" s="51">
        <v>0.0</v>
      </c>
      <c r="Q309" s="106"/>
      <c r="R309" s="106"/>
      <c r="S309" s="106"/>
      <c r="T309" s="24" t="s">
        <v>89</v>
      </c>
      <c r="U309" s="25" t="s">
        <v>1100</v>
      </c>
      <c r="V309" s="9" t="s">
        <v>29</v>
      </c>
      <c r="W309" s="53" t="str">
        <f t="shared" si="3"/>
        <v>Ativo</v>
      </c>
      <c r="X309" s="24"/>
      <c r="Y309" s="54" t="s">
        <v>95</v>
      </c>
      <c r="Z309" s="56"/>
      <c r="AA309" s="56"/>
      <c r="AB309" s="56"/>
      <c r="AC309" s="56"/>
      <c r="AD309" s="56">
        <v>0.0</v>
      </c>
      <c r="AE309" s="56">
        <v>682529.36</v>
      </c>
      <c r="AF309" s="56">
        <v>695807.82</v>
      </c>
      <c r="AG309" s="56">
        <v>700054.09</v>
      </c>
      <c r="AH309" s="56">
        <v>707734.86</v>
      </c>
      <c r="AI309" s="56">
        <v>714716.36</v>
      </c>
      <c r="AJ309" s="56">
        <v>721538.05</v>
      </c>
      <c r="AK309" s="56">
        <v>729037.97</v>
      </c>
      <c r="AL309" s="56">
        <v>734751.36</v>
      </c>
      <c r="AM309" s="56">
        <v>740955.26</v>
      </c>
      <c r="AN309" s="56">
        <v>747605.34</v>
      </c>
      <c r="AO309" s="56">
        <v>754218.37</v>
      </c>
      <c r="AP309" s="56">
        <v>26930.08</v>
      </c>
      <c r="AQ309" s="55">
        <v>26721.29</v>
      </c>
      <c r="AR309" s="55">
        <v>26929.96</v>
      </c>
      <c r="AS309" s="55">
        <v>27030.13</v>
      </c>
      <c r="AT309" s="55">
        <f t="array" ref="AT309">XLOOKUP(C309,'PL TOTAL D0'!A:A,'PL TOTAL D0'!C:C,"")</f>
        <v>27150.95</v>
      </c>
    </row>
    <row r="310" ht="15.75" customHeight="1">
      <c r="A310" s="44" t="s">
        <v>36</v>
      </c>
      <c r="B310" s="57" t="s">
        <v>1101</v>
      </c>
      <c r="C310" s="46" t="s">
        <v>1102</v>
      </c>
      <c r="D310" s="47" t="s">
        <v>18</v>
      </c>
      <c r="E310" s="24" t="s">
        <v>19</v>
      </c>
      <c r="F310" s="47" t="s">
        <v>201</v>
      </c>
      <c r="G310" s="47" t="str">
        <f t="shared" si="1"/>
        <v>Augusto</v>
      </c>
      <c r="H310" s="48" t="s">
        <v>88</v>
      </c>
      <c r="I310" s="48" t="s">
        <v>24</v>
      </c>
      <c r="J310" s="47" t="str">
        <f t="shared" si="2"/>
        <v>Não</v>
      </c>
      <c r="K310" s="49">
        <v>44974.0</v>
      </c>
      <c r="L310" s="24"/>
      <c r="M310" s="24" t="s">
        <v>45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4" t="s">
        <v>89</v>
      </c>
      <c r="U310" s="25" t="s">
        <v>1103</v>
      </c>
      <c r="V310" s="9" t="s">
        <v>19</v>
      </c>
      <c r="W310" s="53" t="str">
        <f t="shared" si="3"/>
        <v>Ativo</v>
      </c>
      <c r="X310" s="24"/>
      <c r="Y310" s="54" t="s">
        <v>95</v>
      </c>
      <c r="Z310" s="56"/>
      <c r="AA310" s="56"/>
      <c r="AB310" s="56"/>
      <c r="AC310" s="56"/>
      <c r="AD310" s="56">
        <v>0.0</v>
      </c>
      <c r="AE310" s="56">
        <v>198564.62</v>
      </c>
      <c r="AF310" s="56">
        <v>218727.87</v>
      </c>
      <c r="AG310" s="56">
        <v>220678.08</v>
      </c>
      <c r="AH310" s="56">
        <v>223209.27</v>
      </c>
      <c r="AI310" s="56">
        <v>223725.03</v>
      </c>
      <c r="AJ310" s="56">
        <v>225654.51</v>
      </c>
      <c r="AK310" s="56">
        <v>227507.52</v>
      </c>
      <c r="AL310" s="56">
        <v>228719.24</v>
      </c>
      <c r="AM310" s="56">
        <v>229311.73</v>
      </c>
      <c r="AN310" s="56">
        <v>232522.65</v>
      </c>
      <c r="AO310" s="56">
        <v>234023.54</v>
      </c>
      <c r="AP310" s="56">
        <v>233431.32</v>
      </c>
      <c r="AQ310" s="55">
        <v>235521.53</v>
      </c>
      <c r="AR310" s="55">
        <v>237902.88</v>
      </c>
      <c r="AS310" s="55">
        <v>237983.6</v>
      </c>
      <c r="AT310" s="55">
        <f t="array" ref="AT310">XLOOKUP(C310,'PL TOTAL D0'!A:A,'PL TOTAL D0'!C:C,"")</f>
        <v>294620.3</v>
      </c>
    </row>
    <row r="311" ht="15.75" customHeight="1">
      <c r="A311" s="44" t="s">
        <v>36</v>
      </c>
      <c r="B311" s="45" t="s">
        <v>1104</v>
      </c>
      <c r="C311" s="46" t="s">
        <v>1105</v>
      </c>
      <c r="D311" s="47" t="s">
        <v>18</v>
      </c>
      <c r="E311" s="24" t="s">
        <v>29</v>
      </c>
      <c r="F311" s="47" t="s">
        <v>110</v>
      </c>
      <c r="G311" s="47" t="str">
        <f t="shared" si="1"/>
        <v>Augusto</v>
      </c>
      <c r="H311" s="48" t="s">
        <v>88</v>
      </c>
      <c r="I311" s="48" t="s">
        <v>24</v>
      </c>
      <c r="J311" s="47" t="str">
        <f t="shared" si="2"/>
        <v>Não</v>
      </c>
      <c r="K311" s="49">
        <v>45049.0</v>
      </c>
      <c r="L311" s="24"/>
      <c r="M311" s="24" t="s">
        <v>60</v>
      </c>
      <c r="N311" s="50">
        <v>0.012</v>
      </c>
      <c r="O311" s="47" t="s">
        <v>24</v>
      </c>
      <c r="P311" s="51">
        <v>0.0</v>
      </c>
      <c r="Q311" s="106"/>
      <c r="R311" s="106"/>
      <c r="S311" s="106"/>
      <c r="T311" s="24" t="s">
        <v>89</v>
      </c>
      <c r="U311" s="25" t="s">
        <v>1106</v>
      </c>
      <c r="V311" s="9" t="s">
        <v>29</v>
      </c>
      <c r="W311" s="53" t="str">
        <f t="shared" si="3"/>
        <v>Ativo</v>
      </c>
      <c r="X311" s="24"/>
      <c r="Y311" s="54" t="s">
        <v>95</v>
      </c>
      <c r="Z311" s="56"/>
      <c r="AA311" s="56"/>
      <c r="AB311" s="56"/>
      <c r="AC311" s="56"/>
      <c r="AD311" s="56"/>
      <c r="AE311" s="56"/>
      <c r="AF311" s="56">
        <v>0.0</v>
      </c>
      <c r="AG311" s="56">
        <v>0.0</v>
      </c>
      <c r="AH311" s="56">
        <v>121930.35</v>
      </c>
      <c r="AI311" s="56">
        <v>123227.77</v>
      </c>
      <c r="AJ311" s="56">
        <v>124208.62</v>
      </c>
      <c r="AK311" s="56">
        <v>125034.68</v>
      </c>
      <c r="AL311" s="56">
        <v>125505.87</v>
      </c>
      <c r="AM311" s="56">
        <v>126058.34</v>
      </c>
      <c r="AN311" s="56">
        <v>127439.03</v>
      </c>
      <c r="AO311" s="56">
        <v>128225.21</v>
      </c>
      <c r="AP311" s="56">
        <v>129283.53</v>
      </c>
      <c r="AQ311" s="55">
        <v>129992.96</v>
      </c>
      <c r="AR311" s="55">
        <v>129147.12</v>
      </c>
      <c r="AS311" s="55">
        <v>259932.89</v>
      </c>
      <c r="AT311" s="55">
        <f t="array" ref="AT311">XLOOKUP(C311,'PL TOTAL D0'!A:A,'PL TOTAL D0'!C:C,"")</f>
        <v>261234.8</v>
      </c>
    </row>
    <row r="312" ht="15.75" customHeight="1">
      <c r="A312" s="44" t="s">
        <v>36</v>
      </c>
      <c r="B312" s="45" t="s">
        <v>1107</v>
      </c>
      <c r="C312" s="46" t="s">
        <v>1108</v>
      </c>
      <c r="D312" s="47" t="s">
        <v>18</v>
      </c>
      <c r="E312" s="24" t="s">
        <v>145</v>
      </c>
      <c r="F312" s="47" t="s">
        <v>146</v>
      </c>
      <c r="G312" s="47" t="str">
        <f t="shared" si="1"/>
        <v>Augusto</v>
      </c>
      <c r="H312" s="48" t="s">
        <v>88</v>
      </c>
      <c r="I312" s="48" t="s">
        <v>24</v>
      </c>
      <c r="J312" s="47" t="str">
        <f t="shared" si="2"/>
        <v>Não</v>
      </c>
      <c r="K312" s="49">
        <v>44907.0</v>
      </c>
      <c r="L312" s="24"/>
      <c r="M312" s="24" t="s">
        <v>60</v>
      </c>
      <c r="N312" s="50">
        <v>0.01</v>
      </c>
      <c r="O312" s="47" t="s">
        <v>24</v>
      </c>
      <c r="P312" s="51">
        <v>0.0</v>
      </c>
      <c r="Q312" s="106"/>
      <c r="R312" s="106"/>
      <c r="S312" s="106"/>
      <c r="T312" s="24" t="s">
        <v>89</v>
      </c>
      <c r="U312" s="25" t="s">
        <v>1109</v>
      </c>
      <c r="V312" s="9" t="s">
        <v>149</v>
      </c>
      <c r="W312" s="53" t="str">
        <f t="shared" si="3"/>
        <v>Ativo</v>
      </c>
      <c r="X312" s="24"/>
      <c r="Y312" s="54" t="s">
        <v>91</v>
      </c>
      <c r="Z312" s="56"/>
      <c r="AA312" s="56"/>
      <c r="AB312" s="56"/>
      <c r="AC312" s="56">
        <v>100701.58</v>
      </c>
      <c r="AD312" s="56">
        <v>137089.41</v>
      </c>
      <c r="AE312" s="56">
        <v>198714.47</v>
      </c>
      <c r="AF312" s="56">
        <v>200875.49</v>
      </c>
      <c r="AG312" s="56">
        <v>202443.78</v>
      </c>
      <c r="AH312" s="56">
        <v>204655.88</v>
      </c>
      <c r="AI312" s="56">
        <v>206621.5</v>
      </c>
      <c r="AJ312" s="56">
        <v>208460.87</v>
      </c>
      <c r="AK312" s="56">
        <v>210444.58</v>
      </c>
      <c r="AL312" s="56">
        <v>212200.92</v>
      </c>
      <c r="AM312" s="56">
        <v>214129.11</v>
      </c>
      <c r="AN312" s="56">
        <v>215668.41</v>
      </c>
      <c r="AO312" s="56">
        <v>240628.91</v>
      </c>
      <c r="AP312" s="56">
        <v>242446.82</v>
      </c>
      <c r="AQ312" s="55">
        <v>244187.75</v>
      </c>
      <c r="AR312" s="55">
        <v>245889.8</v>
      </c>
      <c r="AS312" s="55">
        <v>247888.35</v>
      </c>
      <c r="AT312" s="55">
        <f t="array" ref="AT312">XLOOKUP(C312,'PL TOTAL D0'!A:A,'PL TOTAL D0'!C:C,"")</f>
        <v>248932</v>
      </c>
    </row>
    <row r="313" ht="15.75" customHeight="1">
      <c r="A313" s="44" t="s">
        <v>36</v>
      </c>
      <c r="B313" s="45" t="s">
        <v>1110</v>
      </c>
      <c r="C313" s="46" t="s">
        <v>1111</v>
      </c>
      <c r="D313" s="47" t="s">
        <v>18</v>
      </c>
      <c r="E313" s="24" t="s">
        <v>145</v>
      </c>
      <c r="F313" s="47" t="s">
        <v>146</v>
      </c>
      <c r="G313" s="47" t="str">
        <f t="shared" si="1"/>
        <v>Augusto</v>
      </c>
      <c r="H313" s="48" t="s">
        <v>88</v>
      </c>
      <c r="I313" s="48" t="s">
        <v>24</v>
      </c>
      <c r="J313" s="47" t="str">
        <f t="shared" si="2"/>
        <v>Não</v>
      </c>
      <c r="K313" s="49">
        <v>45096.0</v>
      </c>
      <c r="L313" s="64"/>
      <c r="M313" s="24" t="s">
        <v>162</v>
      </c>
      <c r="N313" s="50">
        <v>0.015</v>
      </c>
      <c r="O313" s="47" t="s">
        <v>163</v>
      </c>
      <c r="P313" s="51">
        <v>0.2</v>
      </c>
      <c r="Q313" s="106"/>
      <c r="R313" s="106"/>
      <c r="S313" s="106"/>
      <c r="T313" s="24" t="s">
        <v>89</v>
      </c>
      <c r="U313" s="25" t="s">
        <v>1109</v>
      </c>
      <c r="V313" s="9" t="s">
        <v>149</v>
      </c>
      <c r="W313" s="53" t="str">
        <f t="shared" si="3"/>
        <v>Ativo</v>
      </c>
      <c r="X313" s="24"/>
      <c r="Y313" s="54" t="s">
        <v>91</v>
      </c>
      <c r="Z313" s="56"/>
      <c r="AA313" s="56"/>
      <c r="AB313" s="56"/>
      <c r="AC313" s="56"/>
      <c r="AD313" s="56"/>
      <c r="AE313" s="56"/>
      <c r="AF313" s="56"/>
      <c r="AG313" s="56"/>
      <c r="AH313" s="56"/>
      <c r="AI313" s="56">
        <v>50012.0</v>
      </c>
      <c r="AJ313" s="56">
        <v>52613.31</v>
      </c>
      <c r="AK313" s="56">
        <v>52357.9</v>
      </c>
      <c r="AL313" s="56">
        <v>51291.39</v>
      </c>
      <c r="AM313" s="56">
        <v>49034.53</v>
      </c>
      <c r="AN313" s="56">
        <v>52727.17</v>
      </c>
      <c r="AO313" s="56">
        <v>81625.76</v>
      </c>
      <c r="AP313" s="56">
        <v>75028.81</v>
      </c>
      <c r="AQ313" s="55">
        <v>76155.46</v>
      </c>
      <c r="AR313" s="55">
        <v>77351.94</v>
      </c>
      <c r="AS313" s="55">
        <v>74113.97</v>
      </c>
      <c r="AT313" s="55">
        <f t="array" ref="AT313">XLOOKUP(C313,'PL TOTAL D0'!A:A,'PL TOTAL D0'!C:C,"")</f>
        <v>75541.33</v>
      </c>
    </row>
    <row r="314" ht="15.75" customHeight="1">
      <c r="A314" s="44" t="s">
        <v>36</v>
      </c>
      <c r="B314" s="63" t="s">
        <v>1112</v>
      </c>
      <c r="C314" s="46" t="s">
        <v>1113</v>
      </c>
      <c r="D314" s="47" t="s">
        <v>18</v>
      </c>
      <c r="E314" s="24" t="s">
        <v>29</v>
      </c>
      <c r="F314" s="47" t="s">
        <v>58</v>
      </c>
      <c r="G314" s="47" t="str">
        <f t="shared" si="1"/>
        <v>Augusto</v>
      </c>
      <c r="H314" s="48" t="s">
        <v>116</v>
      </c>
      <c r="I314" s="53" t="s">
        <v>161</v>
      </c>
      <c r="J314" s="47" t="str">
        <f t="shared" si="2"/>
        <v>Não</v>
      </c>
      <c r="K314" s="49">
        <v>45020.0</v>
      </c>
      <c r="L314" s="24"/>
      <c r="M314" s="24" t="s">
        <v>111</v>
      </c>
      <c r="N314" s="50">
        <v>0.015</v>
      </c>
      <c r="O314" s="47" t="s">
        <v>46</v>
      </c>
      <c r="P314" s="51">
        <v>0.1</v>
      </c>
      <c r="Q314" s="174"/>
      <c r="R314" s="106"/>
      <c r="S314" s="106"/>
      <c r="T314" s="24" t="s">
        <v>89</v>
      </c>
      <c r="U314" s="25" t="s">
        <v>1114</v>
      </c>
      <c r="V314" s="9" t="s">
        <v>29</v>
      </c>
      <c r="W314" s="53" t="str">
        <f t="shared" si="3"/>
        <v>Ativo</v>
      </c>
      <c r="X314" s="24"/>
      <c r="Y314" s="54" t="s">
        <v>95</v>
      </c>
      <c r="Z314" s="56"/>
      <c r="AA314" s="56"/>
      <c r="AB314" s="56"/>
      <c r="AC314" s="56"/>
      <c r="AD314" s="56"/>
      <c r="AE314" s="56"/>
      <c r="AF314" s="56">
        <v>0.0</v>
      </c>
      <c r="AG314" s="56">
        <v>30115.64</v>
      </c>
      <c r="AH314" s="56">
        <v>31014.04</v>
      </c>
      <c r="AI314" s="56">
        <v>31904.55</v>
      </c>
      <c r="AJ314" s="56">
        <v>32117.36</v>
      </c>
      <c r="AK314" s="56">
        <v>34059.66</v>
      </c>
      <c r="AL314" s="56">
        <v>34005.36</v>
      </c>
      <c r="AM314" s="56">
        <v>15733.96</v>
      </c>
      <c r="AN314" s="56">
        <v>0.0</v>
      </c>
      <c r="AO314" s="56">
        <v>0.0</v>
      </c>
      <c r="AP314" s="56">
        <v>0.0</v>
      </c>
      <c r="AQ314" s="55">
        <v>0.39</v>
      </c>
      <c r="AR314" s="55">
        <v>0.39</v>
      </c>
      <c r="AS314" s="55">
        <v>0.39</v>
      </c>
      <c r="AT314" s="55">
        <f t="array" ref="AT314">XLOOKUP(C314,'PL TOTAL D0'!A:A,'PL TOTAL D0'!C:C,"")</f>
        <v>0.39</v>
      </c>
    </row>
    <row r="315" ht="15.75" customHeight="1">
      <c r="A315" s="44" t="s">
        <v>36</v>
      </c>
      <c r="B315" s="45" t="s">
        <v>1115</v>
      </c>
      <c r="C315" s="46" t="s">
        <v>1116</v>
      </c>
      <c r="D315" s="47" t="s">
        <v>86</v>
      </c>
      <c r="E315" s="24" t="s">
        <v>29</v>
      </c>
      <c r="F315" s="47" t="s">
        <v>87</v>
      </c>
      <c r="G315" s="47" t="str">
        <f t="shared" si="1"/>
        <v>Augusto</v>
      </c>
      <c r="H315" s="53" t="s">
        <v>88</v>
      </c>
      <c r="I315" s="48" t="s">
        <v>24</v>
      </c>
      <c r="J315" s="47" t="str">
        <f t="shared" si="2"/>
        <v>Não</v>
      </c>
      <c r="K315" s="49">
        <v>45271.0</v>
      </c>
      <c r="L315" s="24"/>
      <c r="M315" s="92" t="s">
        <v>45</v>
      </c>
      <c r="N315" s="93">
        <v>0.012</v>
      </c>
      <c r="O315" s="94" t="s">
        <v>46</v>
      </c>
      <c r="P315" s="95">
        <v>0.1</v>
      </c>
      <c r="Q315" s="109"/>
      <c r="R315" s="106"/>
      <c r="S315" s="106"/>
      <c r="T315" s="24" t="s">
        <v>89</v>
      </c>
      <c r="U315" s="25" t="s">
        <v>1117</v>
      </c>
      <c r="V315" s="9" t="s">
        <v>29</v>
      </c>
      <c r="W315" s="53" t="str">
        <f t="shared" si="3"/>
        <v>Ativo</v>
      </c>
      <c r="X315" s="24"/>
      <c r="Y315" s="54" t="s">
        <v>95</v>
      </c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>
        <v>62254.58</v>
      </c>
      <c r="AP315" s="56">
        <v>62568.4</v>
      </c>
      <c r="AQ315" s="55">
        <v>63356.81</v>
      </c>
      <c r="AR315" s="55">
        <v>63760.24</v>
      </c>
      <c r="AS315" s="55">
        <v>63121.26</v>
      </c>
      <c r="AT315" s="55">
        <f t="array" ref="AT315">XLOOKUP(C315,'PL TOTAL D0'!A:A,'PL TOTAL D0'!C:C,"")</f>
        <v>63651.86</v>
      </c>
    </row>
    <row r="316" ht="15.75" customHeight="1">
      <c r="A316" s="44" t="s">
        <v>36</v>
      </c>
      <c r="B316" s="45" t="s">
        <v>1118</v>
      </c>
      <c r="C316" s="77" t="s">
        <v>1119</v>
      </c>
      <c r="D316" s="47" t="s">
        <v>18</v>
      </c>
      <c r="E316" s="24" t="s">
        <v>19</v>
      </c>
      <c r="F316" s="47" t="s">
        <v>20</v>
      </c>
      <c r="G316" s="47" t="str">
        <f t="shared" si="1"/>
        <v>Augusto</v>
      </c>
      <c r="H316" s="53" t="s">
        <v>88</v>
      </c>
      <c r="I316" s="53" t="s">
        <v>24</v>
      </c>
      <c r="J316" s="47" t="str">
        <f t="shared" si="2"/>
        <v>Não</v>
      </c>
      <c r="K316" s="49">
        <v>45166.0</v>
      </c>
      <c r="L316" s="64"/>
      <c r="M316" s="25" t="s">
        <v>106</v>
      </c>
      <c r="N316" s="50">
        <v>0.012</v>
      </c>
      <c r="O316" s="9" t="s">
        <v>46</v>
      </c>
      <c r="P316" s="61">
        <v>0.1</v>
      </c>
      <c r="Q316" s="106"/>
      <c r="R316" s="106"/>
      <c r="S316" s="62" t="s">
        <v>1120</v>
      </c>
      <c r="T316" s="24" t="s">
        <v>89</v>
      </c>
      <c r="U316" s="25" t="s">
        <v>1121</v>
      </c>
      <c r="V316" s="9" t="s">
        <v>19</v>
      </c>
      <c r="W316" s="53" t="str">
        <f t="shared" si="3"/>
        <v>Ativo</v>
      </c>
      <c r="X316" s="24"/>
      <c r="Y316" s="54" t="s">
        <v>95</v>
      </c>
      <c r="Z316" s="56"/>
      <c r="AA316" s="56"/>
      <c r="AB316" s="56"/>
      <c r="AC316" s="56"/>
      <c r="AD316" s="56"/>
      <c r="AE316" s="56"/>
      <c r="AF316" s="56"/>
      <c r="AG316" s="56">
        <v>0.0</v>
      </c>
      <c r="AH316" s="56">
        <v>0.0</v>
      </c>
      <c r="AI316" s="56">
        <v>0.0</v>
      </c>
      <c r="AJ316" s="56">
        <v>0.0</v>
      </c>
      <c r="AK316" s="56">
        <v>0.0</v>
      </c>
      <c r="AL316" s="56">
        <v>22511.16</v>
      </c>
      <c r="AM316" s="56">
        <v>22687.8</v>
      </c>
      <c r="AN316" s="56">
        <v>32876.65</v>
      </c>
      <c r="AO316" s="56">
        <v>33120.57</v>
      </c>
      <c r="AP316" s="56">
        <v>33420.7</v>
      </c>
      <c r="AQ316" s="55">
        <v>33692.45</v>
      </c>
      <c r="AR316" s="55">
        <v>33992.91</v>
      </c>
      <c r="AS316" s="55">
        <v>34191.93</v>
      </c>
      <c r="AT316" s="55">
        <f t="array" ref="AT316">XLOOKUP(C316,'PL TOTAL D0'!A:A,'PL TOTAL D0'!C:C,"")</f>
        <v>34324.41</v>
      </c>
    </row>
    <row r="317" ht="15.75" customHeight="1">
      <c r="A317" s="44" t="s">
        <v>36</v>
      </c>
      <c r="B317" s="45" t="s">
        <v>1122</v>
      </c>
      <c r="C317" s="46" t="s">
        <v>1123</v>
      </c>
      <c r="D317" s="47" t="s">
        <v>18</v>
      </c>
      <c r="E317" s="24" t="s">
        <v>145</v>
      </c>
      <c r="F317" s="47" t="s">
        <v>146</v>
      </c>
      <c r="G317" s="47" t="str">
        <f t="shared" si="1"/>
        <v>Breno</v>
      </c>
      <c r="H317" s="48" t="s">
        <v>88</v>
      </c>
      <c r="I317" s="48" t="s">
        <v>24</v>
      </c>
      <c r="J317" s="47" t="str">
        <f t="shared" si="2"/>
        <v>Sim</v>
      </c>
      <c r="K317" s="49">
        <v>45029.0</v>
      </c>
      <c r="L317" s="24"/>
      <c r="M317" s="24" t="s">
        <v>60</v>
      </c>
      <c r="N317" s="50">
        <v>0.007</v>
      </c>
      <c r="O317" s="47" t="s">
        <v>24</v>
      </c>
      <c r="P317" s="51">
        <v>0.0</v>
      </c>
      <c r="Q317" s="169" t="s">
        <v>1124</v>
      </c>
      <c r="R317" s="106"/>
      <c r="S317" s="106"/>
      <c r="T317" s="24" t="s">
        <v>89</v>
      </c>
      <c r="U317" s="25" t="s">
        <v>1125</v>
      </c>
      <c r="V317" s="9" t="s">
        <v>149</v>
      </c>
      <c r="W317" s="53" t="str">
        <f t="shared" si="3"/>
        <v>Ativo</v>
      </c>
      <c r="X317" s="24"/>
      <c r="Y317" s="54" t="s">
        <v>91</v>
      </c>
      <c r="Z317" s="56"/>
      <c r="AA317" s="56"/>
      <c r="AB317" s="56"/>
      <c r="AC317" s="56"/>
      <c r="AD317" s="56"/>
      <c r="AE317" s="56"/>
      <c r="AF317" s="56">
        <v>0.0</v>
      </c>
      <c r="AG317" s="56">
        <v>451821.82</v>
      </c>
      <c r="AH317" s="56">
        <v>525755.99</v>
      </c>
      <c r="AI317" s="56">
        <v>577636.93</v>
      </c>
      <c r="AJ317" s="56">
        <v>572321.15</v>
      </c>
      <c r="AK317" s="56">
        <v>577848.45</v>
      </c>
      <c r="AL317" s="56">
        <v>581436.87</v>
      </c>
      <c r="AM317" s="56">
        <v>585277.97</v>
      </c>
      <c r="AN317" s="56">
        <v>569347.56</v>
      </c>
      <c r="AO317" s="56">
        <v>574345.37</v>
      </c>
      <c r="AP317" s="56">
        <v>566283.76</v>
      </c>
      <c r="AQ317" s="55">
        <v>570317.22</v>
      </c>
      <c r="AR317" s="55">
        <v>574327.63</v>
      </c>
      <c r="AS317" s="55">
        <v>574185.27</v>
      </c>
      <c r="AT317" s="55">
        <f t="array" ref="AT317">XLOOKUP(C317,'PL TOTAL D0'!A:A,'PL TOTAL D0'!C:C,"")</f>
        <v>576282.6</v>
      </c>
    </row>
    <row r="318" ht="15.75" customHeight="1">
      <c r="A318" s="44" t="s">
        <v>36</v>
      </c>
      <c r="B318" s="45" t="s">
        <v>1126</v>
      </c>
      <c r="C318" s="46" t="s">
        <v>1127</v>
      </c>
      <c r="D318" s="47" t="s">
        <v>18</v>
      </c>
      <c r="E318" s="24" t="s">
        <v>29</v>
      </c>
      <c r="F318" s="47" t="s">
        <v>333</v>
      </c>
      <c r="G318" s="47" t="str">
        <f t="shared" si="1"/>
        <v>#N/A</v>
      </c>
      <c r="H318" s="48" t="s">
        <v>116</v>
      </c>
      <c r="I318" s="48" t="s">
        <v>161</v>
      </c>
      <c r="J318" s="47" t="str">
        <f t="shared" si="2"/>
        <v>Não</v>
      </c>
      <c r="K318" s="49">
        <v>45163.0</v>
      </c>
      <c r="L318" s="64"/>
      <c r="M318" s="24" t="s">
        <v>60</v>
      </c>
      <c r="N318" s="50">
        <v>0.012</v>
      </c>
      <c r="O318" s="47" t="s">
        <v>24</v>
      </c>
      <c r="P318" s="51">
        <v>0.0</v>
      </c>
      <c r="Q318" s="106"/>
      <c r="R318" s="106"/>
      <c r="S318" s="52" t="s">
        <v>1128</v>
      </c>
      <c r="T318" s="24" t="s">
        <v>329</v>
      </c>
      <c r="U318" s="25" t="s">
        <v>1129</v>
      </c>
      <c r="V318" s="9" t="s">
        <v>121</v>
      </c>
      <c r="W318" s="53" t="str">
        <f t="shared" si="3"/>
        <v>Inativo</v>
      </c>
      <c r="X318" s="24"/>
      <c r="Y318" s="54" t="s">
        <v>95</v>
      </c>
      <c r="Z318" s="56"/>
      <c r="AA318" s="56"/>
      <c r="AB318" s="56"/>
      <c r="AC318" s="56"/>
      <c r="AD318" s="56">
        <v>0.0</v>
      </c>
      <c r="AE318" s="56">
        <v>0.0</v>
      </c>
      <c r="AF318" s="56">
        <v>0.0</v>
      </c>
      <c r="AG318" s="56">
        <v>0.0</v>
      </c>
      <c r="AH318" s="56">
        <v>0.0</v>
      </c>
      <c r="AI318" s="56">
        <v>0.0</v>
      </c>
      <c r="AJ318" s="56">
        <v>0.0</v>
      </c>
      <c r="AK318" s="56">
        <v>0.0</v>
      </c>
      <c r="AL318" s="56">
        <v>0.0</v>
      </c>
      <c r="AM318" s="56">
        <v>0.0</v>
      </c>
      <c r="AN318" s="56">
        <v>0.0</v>
      </c>
      <c r="AO318" s="56">
        <v>0.0</v>
      </c>
      <c r="AP318" s="56">
        <v>0.0</v>
      </c>
      <c r="AQ318" s="55">
        <v>0.0</v>
      </c>
      <c r="AR318" s="55">
        <v>0.0</v>
      </c>
      <c r="AS318" s="55">
        <v>0.0</v>
      </c>
      <c r="AT318" s="55" t="str">
        <f t="array" ref="AT318">XLOOKUP(C318,'PL TOTAL D0'!A:A,'PL TOTAL D0'!C:C,"")</f>
        <v/>
      </c>
    </row>
    <row r="319" ht="15.75" customHeight="1">
      <c r="A319" s="44" t="s">
        <v>36</v>
      </c>
      <c r="B319" s="45" t="s">
        <v>1130</v>
      </c>
      <c r="C319" s="46" t="s">
        <v>1131</v>
      </c>
      <c r="D319" s="47" t="s">
        <v>86</v>
      </c>
      <c r="E319" s="24" t="s">
        <v>29</v>
      </c>
      <c r="F319" s="47" t="s">
        <v>371</v>
      </c>
      <c r="G319" s="47" t="str">
        <f t="shared" si="1"/>
        <v>Augusto</v>
      </c>
      <c r="H319" s="48" t="s">
        <v>88</v>
      </c>
      <c r="I319" s="48" t="s">
        <v>24</v>
      </c>
      <c r="J319" s="47" t="str">
        <f t="shared" si="2"/>
        <v>Não</v>
      </c>
      <c r="K319" s="49">
        <v>45125.0</v>
      </c>
      <c r="L319" s="64"/>
      <c r="M319" s="24" t="s">
        <v>818</v>
      </c>
      <c r="N319" s="50">
        <v>0.01</v>
      </c>
      <c r="O319" s="47" t="s">
        <v>46</v>
      </c>
      <c r="P319" s="51">
        <v>0.1</v>
      </c>
      <c r="Q319" s="75"/>
      <c r="R319" s="75" t="s">
        <v>1132</v>
      </c>
      <c r="S319" s="75"/>
      <c r="T319" s="24" t="s">
        <v>89</v>
      </c>
      <c r="U319" s="25" t="s">
        <v>1133</v>
      </c>
      <c r="V319" s="9" t="s">
        <v>29</v>
      </c>
      <c r="W319" s="53" t="str">
        <f t="shared" si="3"/>
        <v>Ativo</v>
      </c>
      <c r="X319" s="24"/>
      <c r="Y319" s="54" t="s">
        <v>91</v>
      </c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>
        <v>598857.52</v>
      </c>
      <c r="AK319" s="56">
        <v>582943.23</v>
      </c>
      <c r="AL319" s="56">
        <v>595331.78</v>
      </c>
      <c r="AM319" s="56">
        <v>554795.52</v>
      </c>
      <c r="AN319" s="56">
        <v>468559.04</v>
      </c>
      <c r="AO319" s="56">
        <v>421965.61</v>
      </c>
      <c r="AP319" s="56">
        <v>405700.58</v>
      </c>
      <c r="AQ319" s="55">
        <v>357600.93</v>
      </c>
      <c r="AR319" s="55">
        <v>364082.52</v>
      </c>
      <c r="AS319" s="55">
        <v>366752.35</v>
      </c>
      <c r="AT319" s="55">
        <f t="array" ref="AT319">XLOOKUP(C319,'PL TOTAL D0'!A:A,'PL TOTAL D0'!C:C,"")</f>
        <v>319570.4</v>
      </c>
    </row>
    <row r="320" ht="15.75" customHeight="1">
      <c r="A320" s="44" t="s">
        <v>36</v>
      </c>
      <c r="B320" s="57" t="s">
        <v>1134</v>
      </c>
      <c r="C320" s="46" t="s">
        <v>1135</v>
      </c>
      <c r="D320" s="47" t="s">
        <v>18</v>
      </c>
      <c r="E320" s="24" t="s">
        <v>19</v>
      </c>
      <c r="F320" s="47" t="s">
        <v>201</v>
      </c>
      <c r="G320" s="47" t="str">
        <f t="shared" si="1"/>
        <v>Augusto</v>
      </c>
      <c r="H320" s="48" t="s">
        <v>88</v>
      </c>
      <c r="I320" s="48" t="s">
        <v>24</v>
      </c>
      <c r="J320" s="47" t="str">
        <f t="shared" si="2"/>
        <v>Não</v>
      </c>
      <c r="K320" s="49">
        <v>44949.0</v>
      </c>
      <c r="L320" s="24"/>
      <c r="M320" s="24" t="s">
        <v>45</v>
      </c>
      <c r="N320" s="50">
        <v>0.012</v>
      </c>
      <c r="O320" s="47" t="s">
        <v>24</v>
      </c>
      <c r="P320" s="51">
        <v>0.0</v>
      </c>
      <c r="Q320" s="106"/>
      <c r="R320" s="106"/>
      <c r="S320" s="106"/>
      <c r="T320" s="24" t="s">
        <v>89</v>
      </c>
      <c r="U320" s="25" t="s">
        <v>1136</v>
      </c>
      <c r="V320" s="9" t="s">
        <v>19</v>
      </c>
      <c r="W320" s="53" t="str">
        <f t="shared" si="3"/>
        <v>Ativo</v>
      </c>
      <c r="X320" s="24"/>
      <c r="Y320" s="54" t="s">
        <v>95</v>
      </c>
      <c r="Z320" s="56"/>
      <c r="AA320" s="56"/>
      <c r="AB320" s="56"/>
      <c r="AC320" s="56"/>
      <c r="AD320" s="56">
        <v>162070.18</v>
      </c>
      <c r="AE320" s="56">
        <v>190654.57</v>
      </c>
      <c r="AF320" s="56">
        <v>192722.37</v>
      </c>
      <c r="AG320" s="56">
        <v>194185.27</v>
      </c>
      <c r="AH320" s="56">
        <v>196237.19</v>
      </c>
      <c r="AI320" s="56">
        <v>197994.45</v>
      </c>
      <c r="AJ320" s="56">
        <v>199122.82</v>
      </c>
      <c r="AK320" s="56">
        <v>200583.37</v>
      </c>
      <c r="AL320" s="56">
        <v>201330.28</v>
      </c>
      <c r="AM320" s="56">
        <v>196972.77</v>
      </c>
      <c r="AN320" s="56">
        <v>199889.21</v>
      </c>
      <c r="AO320" s="56">
        <v>200441.61</v>
      </c>
      <c r="AP320" s="56">
        <v>199574.03</v>
      </c>
      <c r="AQ320" s="55">
        <v>201296.68</v>
      </c>
      <c r="AR320" s="55">
        <v>203143.75</v>
      </c>
      <c r="AS320" s="55">
        <v>203171.29</v>
      </c>
      <c r="AT320" s="55">
        <f t="array" ref="AT320">XLOOKUP(C320,'PL TOTAL D0'!A:A,'PL TOTAL D0'!C:C,"")</f>
        <v>204578.1</v>
      </c>
    </row>
    <row r="321" ht="15.75" customHeight="1">
      <c r="A321" s="6" t="s">
        <v>36</v>
      </c>
      <c r="B321" s="57" t="s">
        <v>1137</v>
      </c>
      <c r="C321" s="58" t="s">
        <v>1138</v>
      </c>
      <c r="D321" s="9" t="s">
        <v>18</v>
      </c>
      <c r="E321" s="25" t="s">
        <v>145</v>
      </c>
      <c r="F321" s="9" t="s">
        <v>146</v>
      </c>
      <c r="G321" s="47" t="str">
        <f t="shared" si="1"/>
        <v>#N/A</v>
      </c>
      <c r="H321" s="53" t="s">
        <v>116</v>
      </c>
      <c r="I321" s="53" t="s">
        <v>427</v>
      </c>
      <c r="J321" s="47" t="str">
        <f t="shared" si="2"/>
        <v>Não</v>
      </c>
      <c r="K321" s="59">
        <v>45313.0</v>
      </c>
      <c r="L321" s="24"/>
      <c r="M321" s="11" t="s">
        <v>45</v>
      </c>
      <c r="N321" s="12">
        <v>0.012</v>
      </c>
      <c r="O321" s="13" t="s">
        <v>46</v>
      </c>
      <c r="P321" s="14">
        <v>0.1</v>
      </c>
      <c r="Q321" s="106"/>
      <c r="R321" s="106"/>
      <c r="S321" s="106"/>
      <c r="T321" s="25" t="s">
        <v>89</v>
      </c>
      <c r="U321" s="25" t="s">
        <v>1139</v>
      </c>
      <c r="V321" s="9" t="s">
        <v>149</v>
      </c>
      <c r="W321" s="53" t="str">
        <f t="shared" si="3"/>
        <v>Ativo</v>
      </c>
      <c r="X321" s="24"/>
      <c r="Y321" s="54" t="s">
        <v>91</v>
      </c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>
        <v>0.0</v>
      </c>
      <c r="AQ321" s="55">
        <v>0.0</v>
      </c>
      <c r="AR321" s="55">
        <v>0.0</v>
      </c>
      <c r="AS321" s="55">
        <v>0.0</v>
      </c>
      <c r="AT321" s="55" t="str">
        <f t="array" ref="AT321">XLOOKUP(C321,'PL TOTAL D0'!A:A,'PL TOTAL D0'!C:C,"")</f>
        <v/>
      </c>
    </row>
    <row r="322" ht="15.75" customHeight="1">
      <c r="A322" s="44" t="s">
        <v>36</v>
      </c>
      <c r="B322" s="45" t="s">
        <v>1140</v>
      </c>
      <c r="C322" s="46" t="s">
        <v>1141</v>
      </c>
      <c r="D322" s="47" t="s">
        <v>18</v>
      </c>
      <c r="E322" s="24" t="s">
        <v>19</v>
      </c>
      <c r="F322" s="47" t="s">
        <v>20</v>
      </c>
      <c r="G322" s="47" t="str">
        <f t="shared" si="1"/>
        <v>Augusto</v>
      </c>
      <c r="H322" s="48" t="s">
        <v>116</v>
      </c>
      <c r="I322" s="53" t="s">
        <v>161</v>
      </c>
      <c r="J322" s="47" t="str">
        <f t="shared" si="2"/>
        <v>Não</v>
      </c>
      <c r="K322" s="49">
        <v>45082.0</v>
      </c>
      <c r="L322" s="24"/>
      <c r="M322" s="24" t="s">
        <v>243</v>
      </c>
      <c r="N322" s="50">
        <v>0.02</v>
      </c>
      <c r="O322" s="47" t="s">
        <v>46</v>
      </c>
      <c r="P322" s="51">
        <v>0.2</v>
      </c>
      <c r="Q322" s="75"/>
      <c r="R322" s="75"/>
      <c r="S322" s="76" t="s">
        <v>1142</v>
      </c>
      <c r="T322" s="24" t="s">
        <v>89</v>
      </c>
      <c r="U322" s="25" t="s">
        <v>1143</v>
      </c>
      <c r="V322" s="9" t="s">
        <v>1144</v>
      </c>
      <c r="W322" s="53" t="str">
        <f t="shared" si="3"/>
        <v>Ativo</v>
      </c>
      <c r="X322" s="24"/>
      <c r="Y322" s="54" t="s">
        <v>95</v>
      </c>
      <c r="Z322" s="56"/>
      <c r="AA322" s="56"/>
      <c r="AB322" s="56"/>
      <c r="AC322" s="56"/>
      <c r="AD322" s="56">
        <v>0.0</v>
      </c>
      <c r="AE322" s="56">
        <v>0.0</v>
      </c>
      <c r="AF322" s="56">
        <v>0.0</v>
      </c>
      <c r="AG322" s="56">
        <v>0.0</v>
      </c>
      <c r="AH322" s="56">
        <v>0.0</v>
      </c>
      <c r="AI322" s="56">
        <v>69759.11</v>
      </c>
      <c r="AJ322" s="56">
        <v>69957.42</v>
      </c>
      <c r="AK322" s="56">
        <v>31355.16</v>
      </c>
      <c r="AL322" s="56">
        <v>953.24</v>
      </c>
      <c r="AM322" s="56">
        <v>433.82</v>
      </c>
      <c r="AN322" s="56">
        <v>433.82</v>
      </c>
      <c r="AO322" s="56">
        <v>435.68</v>
      </c>
      <c r="AP322" s="56">
        <v>435.68</v>
      </c>
      <c r="AQ322" s="55">
        <v>435.94</v>
      </c>
      <c r="AR322" s="55">
        <v>435.94</v>
      </c>
      <c r="AS322" s="55">
        <v>435.94</v>
      </c>
      <c r="AT322" s="55">
        <f t="array" ref="AT322">XLOOKUP(C322,'PL TOTAL D0'!A:A,'PL TOTAL D0'!C:C,"")</f>
        <v>435.94</v>
      </c>
    </row>
    <row r="323" ht="15.75" customHeight="1">
      <c r="A323" s="44" t="s">
        <v>36</v>
      </c>
      <c r="B323" s="45" t="s">
        <v>1145</v>
      </c>
      <c r="C323" s="46" t="s">
        <v>1146</v>
      </c>
      <c r="D323" s="47" t="s">
        <v>18</v>
      </c>
      <c r="E323" s="24" t="s">
        <v>145</v>
      </c>
      <c r="F323" s="47" t="s">
        <v>146</v>
      </c>
      <c r="G323" s="47" t="str">
        <f t="shared" si="1"/>
        <v>Augusto</v>
      </c>
      <c r="H323" s="48" t="s">
        <v>88</v>
      </c>
      <c r="I323" s="48" t="s">
        <v>24</v>
      </c>
      <c r="J323" s="47" t="str">
        <f t="shared" si="2"/>
        <v>Não</v>
      </c>
      <c r="K323" s="49">
        <v>45128.0</v>
      </c>
      <c r="L323" s="64"/>
      <c r="M323" s="24" t="s">
        <v>111</v>
      </c>
      <c r="N323" s="50">
        <v>0.015</v>
      </c>
      <c r="O323" s="47" t="s">
        <v>46</v>
      </c>
      <c r="P323" s="51">
        <v>0.1</v>
      </c>
      <c r="Q323" s="75"/>
      <c r="R323" s="75"/>
      <c r="S323" s="52"/>
      <c r="T323" s="24" t="s">
        <v>89</v>
      </c>
      <c r="U323" s="25" t="s">
        <v>1147</v>
      </c>
      <c r="V323" s="9" t="s">
        <v>149</v>
      </c>
      <c r="W323" s="53" t="str">
        <f t="shared" si="3"/>
        <v>Ativo</v>
      </c>
      <c r="X323" s="24"/>
      <c r="Y323" s="54" t="s">
        <v>95</v>
      </c>
      <c r="Z323" s="56"/>
      <c r="AA323" s="56"/>
      <c r="AB323" s="56"/>
      <c r="AC323" s="56"/>
      <c r="AD323" s="56"/>
      <c r="AE323" s="56"/>
      <c r="AF323" s="56">
        <v>0.0</v>
      </c>
      <c r="AG323" s="56">
        <v>0.0</v>
      </c>
      <c r="AH323" s="56">
        <v>0.0</v>
      </c>
      <c r="AI323" s="56">
        <v>0.0</v>
      </c>
      <c r="AJ323" s="56">
        <v>302770.32</v>
      </c>
      <c r="AK323" s="56">
        <v>319984.74</v>
      </c>
      <c r="AL323" s="56">
        <v>321276.02</v>
      </c>
      <c r="AM323" s="56">
        <v>320370.19</v>
      </c>
      <c r="AN323" s="56">
        <v>327308.85</v>
      </c>
      <c r="AO323" s="56">
        <v>333739.21</v>
      </c>
      <c r="AP323" s="56">
        <v>329468.33</v>
      </c>
      <c r="AQ323" s="55">
        <v>331760.87</v>
      </c>
      <c r="AR323" s="55">
        <v>334298.87</v>
      </c>
      <c r="AS323" s="55">
        <v>331338.23</v>
      </c>
      <c r="AT323" s="55">
        <f t="array" ref="AT323">XLOOKUP(C323,'PL TOTAL D0'!A:A,'PL TOTAL D0'!C:C,"")</f>
        <v>333553.2</v>
      </c>
    </row>
    <row r="324" ht="15.75" customHeight="1">
      <c r="A324" s="6" t="s">
        <v>36</v>
      </c>
      <c r="B324" s="20" t="s">
        <v>1148</v>
      </c>
      <c r="C324" s="21" t="s">
        <v>1149</v>
      </c>
      <c r="D324" s="9" t="s">
        <v>18</v>
      </c>
      <c r="E324" s="25" t="s">
        <v>29</v>
      </c>
      <c r="F324" s="9" t="s">
        <v>865</v>
      </c>
      <c r="G324" s="47" t="str">
        <f t="shared" si="1"/>
        <v>Augusto</v>
      </c>
      <c r="H324" s="53" t="s">
        <v>88</v>
      </c>
      <c r="I324" s="53" t="s">
        <v>24</v>
      </c>
      <c r="J324" s="47" t="str">
        <f t="shared" si="2"/>
        <v>Não</v>
      </c>
      <c r="K324" s="59">
        <v>45362.0</v>
      </c>
      <c r="L324" s="24"/>
      <c r="M324" s="25" t="s">
        <v>243</v>
      </c>
      <c r="N324" s="60">
        <v>0.02</v>
      </c>
      <c r="O324" s="9" t="s">
        <v>46</v>
      </c>
      <c r="P324" s="61">
        <v>0.2</v>
      </c>
      <c r="Q324" s="106"/>
      <c r="R324" s="106"/>
      <c r="S324" s="106"/>
      <c r="T324" s="25" t="s">
        <v>89</v>
      </c>
      <c r="U324" s="23" t="s">
        <v>1150</v>
      </c>
      <c r="V324" s="9" t="s">
        <v>180</v>
      </c>
      <c r="W324" s="53" t="str">
        <f t="shared" si="3"/>
        <v>Ativo</v>
      </c>
      <c r="X324" s="24"/>
      <c r="Y324" s="54" t="s">
        <v>1151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5"/>
      <c r="AR324" s="55">
        <v>302703.59</v>
      </c>
      <c r="AS324" s="55">
        <v>298173.01</v>
      </c>
      <c r="AT324" s="55">
        <f t="array" ref="AT324">XLOOKUP(C324,'PL TOTAL D0'!A:A,'PL TOTAL D0'!C:C,"")</f>
        <v>301366.3</v>
      </c>
    </row>
    <row r="325" ht="15.75" customHeight="1">
      <c r="A325" s="44" t="s">
        <v>36</v>
      </c>
      <c r="B325" s="57" t="s">
        <v>1152</v>
      </c>
      <c r="C325" s="46" t="s">
        <v>1153</v>
      </c>
      <c r="D325" s="47" t="s">
        <v>18</v>
      </c>
      <c r="E325" s="24" t="s">
        <v>19</v>
      </c>
      <c r="F325" s="47" t="s">
        <v>230</v>
      </c>
      <c r="G325" s="47" t="str">
        <f t="shared" si="1"/>
        <v>Augusto</v>
      </c>
      <c r="H325" s="53" t="s">
        <v>116</v>
      </c>
      <c r="I325" s="53" t="s">
        <v>161</v>
      </c>
      <c r="J325" s="47" t="str">
        <f t="shared" si="2"/>
        <v>Não</v>
      </c>
      <c r="K325" s="49">
        <v>44950.0</v>
      </c>
      <c r="L325" s="24"/>
      <c r="M325" s="24" t="s">
        <v>60</v>
      </c>
      <c r="N325" s="50">
        <v>0.01</v>
      </c>
      <c r="O325" s="47" t="s">
        <v>24</v>
      </c>
      <c r="P325" s="51">
        <v>0.0</v>
      </c>
      <c r="Q325" s="52"/>
      <c r="R325" s="52" t="s">
        <v>1154</v>
      </c>
      <c r="S325" s="52"/>
      <c r="T325" s="24" t="s">
        <v>89</v>
      </c>
      <c r="U325" s="25" t="s">
        <v>1155</v>
      </c>
      <c r="V325" s="9" t="s">
        <v>19</v>
      </c>
      <c r="W325" s="53" t="str">
        <f t="shared" si="3"/>
        <v>Ativo</v>
      </c>
      <c r="X325" s="24"/>
      <c r="Y325" s="54" t="s">
        <v>95</v>
      </c>
      <c r="Z325" s="56"/>
      <c r="AA325" s="56"/>
      <c r="AB325" s="56"/>
      <c r="AC325" s="56"/>
      <c r="AD325" s="56">
        <v>212431.18</v>
      </c>
      <c r="AE325" s="56">
        <v>218921.92</v>
      </c>
      <c r="AF325" s="56">
        <v>221085.4</v>
      </c>
      <c r="AG325" s="56">
        <v>222967.51</v>
      </c>
      <c r="AH325" s="56">
        <v>225285.35</v>
      </c>
      <c r="AI325" s="56">
        <v>226496.4</v>
      </c>
      <c r="AJ325" s="56">
        <v>228050.04</v>
      </c>
      <c r="AK325" s="56">
        <v>75990.57</v>
      </c>
      <c r="AL325" s="56">
        <v>76616.57</v>
      </c>
      <c r="AM325" s="56">
        <v>100.0</v>
      </c>
      <c r="AN325" s="56">
        <v>86.38</v>
      </c>
      <c r="AO325" s="56">
        <v>86.38</v>
      </c>
      <c r="AP325" s="56">
        <v>86.38</v>
      </c>
      <c r="AQ325" s="55">
        <v>86.38</v>
      </c>
      <c r="AR325" s="55">
        <v>86.38</v>
      </c>
      <c r="AS325" s="55">
        <v>86.38</v>
      </c>
      <c r="AT325" s="55">
        <f t="array" ref="AT325">XLOOKUP(C325,'PL TOTAL D0'!A:A,'PL TOTAL D0'!C:C,"")</f>
        <v>86.38</v>
      </c>
    </row>
    <row r="326" ht="15.75" customHeight="1">
      <c r="A326" s="44" t="s">
        <v>36</v>
      </c>
      <c r="B326" s="45" t="s">
        <v>1156</v>
      </c>
      <c r="C326" s="46" t="s">
        <v>1157</v>
      </c>
      <c r="D326" s="47" t="s">
        <v>18</v>
      </c>
      <c r="E326" s="24" t="s">
        <v>145</v>
      </c>
      <c r="F326" s="47" t="s">
        <v>171</v>
      </c>
      <c r="G326" s="47" t="str">
        <f t="shared" si="1"/>
        <v>Augusto</v>
      </c>
      <c r="H326" s="48" t="s">
        <v>88</v>
      </c>
      <c r="I326" s="48" t="s">
        <v>24</v>
      </c>
      <c r="J326" s="47" t="str">
        <f t="shared" si="2"/>
        <v>Sim</v>
      </c>
      <c r="K326" s="49">
        <v>45043.0</v>
      </c>
      <c r="L326" s="24"/>
      <c r="M326" s="24" t="s">
        <v>704</v>
      </c>
      <c r="N326" s="50">
        <v>0.02</v>
      </c>
      <c r="O326" s="47" t="s">
        <v>163</v>
      </c>
      <c r="P326" s="51">
        <v>0.2</v>
      </c>
      <c r="Q326" s="62" t="s">
        <v>1158</v>
      </c>
      <c r="R326" s="106"/>
      <c r="S326" s="106"/>
      <c r="T326" s="24" t="s">
        <v>89</v>
      </c>
      <c r="U326" s="25" t="s">
        <v>1159</v>
      </c>
      <c r="V326" s="9" t="s">
        <v>149</v>
      </c>
      <c r="W326" s="53" t="str">
        <f t="shared" si="3"/>
        <v>Ativo</v>
      </c>
      <c r="X326" s="24"/>
      <c r="Y326" s="54" t="s">
        <v>91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16010.84</v>
      </c>
      <c r="AH326" s="56">
        <v>107737.05</v>
      </c>
      <c r="AI326" s="56">
        <v>84997.63</v>
      </c>
      <c r="AJ326" s="56">
        <v>83477.75</v>
      </c>
      <c r="AK326" s="56">
        <v>84810.25</v>
      </c>
      <c r="AL326" s="56">
        <v>87027.22</v>
      </c>
      <c r="AM326" s="56">
        <v>89078.46</v>
      </c>
      <c r="AN326" s="56">
        <v>94239.27</v>
      </c>
      <c r="AO326" s="56">
        <v>97783.65</v>
      </c>
      <c r="AP326" s="56">
        <v>96678.81</v>
      </c>
      <c r="AQ326" s="55">
        <v>97510.39</v>
      </c>
      <c r="AR326" s="55">
        <v>58668.22</v>
      </c>
      <c r="AS326" s="55">
        <v>56642.04</v>
      </c>
      <c r="AT326" s="55">
        <f t="array" ref="AT326">XLOOKUP(C326,'PL TOTAL D0'!A:A,'PL TOTAL D0'!C:C,"")</f>
        <v>57851.56</v>
      </c>
    </row>
    <row r="327" ht="15.75" customHeight="1">
      <c r="A327" s="44" t="s">
        <v>36</v>
      </c>
      <c r="B327" s="45" t="s">
        <v>1160</v>
      </c>
      <c r="C327" s="46" t="s">
        <v>1161</v>
      </c>
      <c r="D327" s="47" t="s">
        <v>18</v>
      </c>
      <c r="E327" s="24" t="s">
        <v>145</v>
      </c>
      <c r="F327" s="47" t="s">
        <v>171</v>
      </c>
      <c r="G327" s="47" t="str">
        <f t="shared" si="1"/>
        <v>Breno</v>
      </c>
      <c r="H327" s="48" t="s">
        <v>88</v>
      </c>
      <c r="I327" s="48" t="s">
        <v>24</v>
      </c>
      <c r="J327" s="47" t="str">
        <f t="shared" si="2"/>
        <v>Não</v>
      </c>
      <c r="K327" s="49">
        <v>45042.0</v>
      </c>
      <c r="L327" s="24"/>
      <c r="M327" s="24" t="s">
        <v>111</v>
      </c>
      <c r="N327" s="50">
        <v>0.015</v>
      </c>
      <c r="O327" s="47" t="s">
        <v>46</v>
      </c>
      <c r="P327" s="51">
        <v>0.1</v>
      </c>
      <c r="Q327" s="106"/>
      <c r="R327" s="106"/>
      <c r="S327" s="106"/>
      <c r="T327" s="24" t="s">
        <v>89</v>
      </c>
      <c r="U327" s="25" t="s">
        <v>1162</v>
      </c>
      <c r="V327" s="9" t="s">
        <v>149</v>
      </c>
      <c r="W327" s="53" t="str">
        <f t="shared" si="3"/>
        <v>Ativo</v>
      </c>
      <c r="X327" s="24"/>
      <c r="Y327" s="54" t="s">
        <v>91</v>
      </c>
      <c r="Z327" s="56"/>
      <c r="AA327" s="56"/>
      <c r="AB327" s="56"/>
      <c r="AC327" s="56"/>
      <c r="AD327" s="56">
        <v>0.0</v>
      </c>
      <c r="AE327" s="56">
        <v>0.0</v>
      </c>
      <c r="AF327" s="56">
        <v>0.0</v>
      </c>
      <c r="AG327" s="56">
        <v>423185.18</v>
      </c>
      <c r="AH327" s="56">
        <v>433492.38</v>
      </c>
      <c r="AI327" s="56">
        <v>450372.33</v>
      </c>
      <c r="AJ327" s="56">
        <v>453576.53</v>
      </c>
      <c r="AK327" s="56">
        <v>488861.8</v>
      </c>
      <c r="AL327" s="56">
        <v>491793.38</v>
      </c>
      <c r="AM327" s="56">
        <v>492271.0</v>
      </c>
      <c r="AN327" s="56">
        <v>502707.52</v>
      </c>
      <c r="AO327" s="56">
        <v>512479.56</v>
      </c>
      <c r="AP327" s="56">
        <v>504882.8</v>
      </c>
      <c r="AQ327" s="55">
        <v>504794.79</v>
      </c>
      <c r="AR327" s="55">
        <v>510606.55</v>
      </c>
      <c r="AS327" s="55">
        <v>505960.57</v>
      </c>
      <c r="AT327" s="55">
        <f t="array" ref="AT327">XLOOKUP(C327,'PL TOTAL D0'!A:A,'PL TOTAL D0'!C:C,"")</f>
        <v>510031.9</v>
      </c>
    </row>
    <row r="328" ht="15.75" customHeight="1">
      <c r="A328" s="44" t="s">
        <v>36</v>
      </c>
      <c r="B328" s="45" t="s">
        <v>1163</v>
      </c>
      <c r="C328" s="46" t="s">
        <v>1164</v>
      </c>
      <c r="D328" s="47" t="s">
        <v>18</v>
      </c>
      <c r="E328" s="24" t="s">
        <v>29</v>
      </c>
      <c r="F328" s="47" t="s">
        <v>58</v>
      </c>
      <c r="G328" s="47" t="str">
        <f t="shared" si="1"/>
        <v>Augusto</v>
      </c>
      <c r="H328" s="53" t="s">
        <v>116</v>
      </c>
      <c r="I328" s="53" t="s">
        <v>161</v>
      </c>
      <c r="J328" s="47" t="str">
        <f t="shared" si="2"/>
        <v>Não</v>
      </c>
      <c r="K328" s="49">
        <v>44959.0</v>
      </c>
      <c r="L328" s="24"/>
      <c r="M328" s="24" t="s">
        <v>99</v>
      </c>
      <c r="N328" s="50">
        <v>0.0</v>
      </c>
      <c r="O328" s="47" t="s">
        <v>24</v>
      </c>
      <c r="P328" s="51">
        <v>0.0</v>
      </c>
      <c r="Q328" s="96"/>
      <c r="R328" s="75"/>
      <c r="S328" s="62" t="s">
        <v>1165</v>
      </c>
      <c r="T328" s="24" t="s">
        <v>89</v>
      </c>
      <c r="U328" s="25" t="s">
        <v>1166</v>
      </c>
      <c r="V328" s="9" t="s">
        <v>29</v>
      </c>
      <c r="W328" s="53" t="str">
        <f t="shared" si="3"/>
        <v>Ativo</v>
      </c>
      <c r="X328" s="24"/>
      <c r="Y328" s="54" t="s">
        <v>95</v>
      </c>
      <c r="Z328" s="56"/>
      <c r="AA328" s="56"/>
      <c r="AB328" s="56"/>
      <c r="AC328" s="56"/>
      <c r="AD328" s="56">
        <v>0.0</v>
      </c>
      <c r="AE328" s="56">
        <v>1060.5</v>
      </c>
      <c r="AF328" s="56">
        <v>1594.06</v>
      </c>
      <c r="AG328" s="56">
        <v>2130.62</v>
      </c>
      <c r="AH328" s="56">
        <v>2151.04</v>
      </c>
      <c r="AI328" s="56">
        <v>3226.35</v>
      </c>
      <c r="AJ328" s="56">
        <v>3764.58</v>
      </c>
      <c r="AK328" s="56">
        <v>4321.99</v>
      </c>
      <c r="AL328" s="56">
        <v>4880.82</v>
      </c>
      <c r="AM328" s="56">
        <v>5969.88</v>
      </c>
      <c r="AN328" s="56">
        <v>0.0</v>
      </c>
      <c r="AO328" s="56">
        <v>0.0</v>
      </c>
      <c r="AP328" s="56">
        <v>0.0</v>
      </c>
      <c r="AQ328" s="55">
        <v>0.15</v>
      </c>
      <c r="AR328" s="55">
        <v>0.15</v>
      </c>
      <c r="AS328" s="55">
        <v>0.15</v>
      </c>
      <c r="AT328" s="55">
        <f t="array" ref="AT328">XLOOKUP(C328,'PL TOTAL D0'!A:A,'PL TOTAL D0'!C:C,"")</f>
        <v>0.15</v>
      </c>
    </row>
    <row r="329" ht="15.75" customHeight="1">
      <c r="A329" s="44" t="s">
        <v>36</v>
      </c>
      <c r="B329" s="45" t="s">
        <v>1167</v>
      </c>
      <c r="C329" s="46" t="s">
        <v>1168</v>
      </c>
      <c r="D329" s="47" t="s">
        <v>18</v>
      </c>
      <c r="E329" s="24" t="s">
        <v>19</v>
      </c>
      <c r="F329" s="47" t="s">
        <v>201</v>
      </c>
      <c r="G329" s="47" t="str">
        <f t="shared" si="1"/>
        <v>Augusto</v>
      </c>
      <c r="H329" s="48" t="s">
        <v>88</v>
      </c>
      <c r="I329" s="48" t="s">
        <v>24</v>
      </c>
      <c r="J329" s="47" t="str">
        <f t="shared" si="2"/>
        <v>Não</v>
      </c>
      <c r="K329" s="49">
        <v>44946.0</v>
      </c>
      <c r="L329" s="24"/>
      <c r="M329" s="24" t="s">
        <v>111</v>
      </c>
      <c r="N329" s="50">
        <v>0.015</v>
      </c>
      <c r="O329" s="47" t="s">
        <v>46</v>
      </c>
      <c r="P329" s="51">
        <v>0.1</v>
      </c>
      <c r="Q329" s="106"/>
      <c r="R329" s="106"/>
      <c r="S329" s="175"/>
      <c r="T329" s="24" t="s">
        <v>89</v>
      </c>
      <c r="U329" s="25" t="s">
        <v>1169</v>
      </c>
      <c r="V329" s="9" t="s">
        <v>19</v>
      </c>
      <c r="W329" s="53" t="str">
        <f t="shared" si="3"/>
        <v>Ativo</v>
      </c>
      <c r="X329" s="24"/>
      <c r="Y329" s="54" t="s">
        <v>95</v>
      </c>
      <c r="Z329" s="56"/>
      <c r="AA329" s="56"/>
      <c r="AB329" s="56"/>
      <c r="AC329" s="56"/>
      <c r="AD329" s="56">
        <v>108265.42</v>
      </c>
      <c r="AE329" s="56">
        <v>124741.99</v>
      </c>
      <c r="AF329" s="56">
        <v>140217.14</v>
      </c>
      <c r="AG329" s="56">
        <v>144114.28</v>
      </c>
      <c r="AH329" s="56">
        <v>148461.24</v>
      </c>
      <c r="AI329" s="56">
        <v>153522.02</v>
      </c>
      <c r="AJ329" s="56">
        <v>157547.3</v>
      </c>
      <c r="AK329" s="56">
        <v>166402.01</v>
      </c>
      <c r="AL329" s="56">
        <v>168811.3</v>
      </c>
      <c r="AM329" s="56">
        <v>164502.06</v>
      </c>
      <c r="AN329" s="56">
        <v>203285.42</v>
      </c>
      <c r="AO329" s="56">
        <v>206882.78</v>
      </c>
      <c r="AP329" s="56">
        <v>204753.59</v>
      </c>
      <c r="AQ329" s="55">
        <v>201508.77</v>
      </c>
      <c r="AR329" s="55">
        <v>204538.43</v>
      </c>
      <c r="AS329" s="55">
        <v>204516.88</v>
      </c>
      <c r="AT329" s="55">
        <f t="array" ref="AT329">XLOOKUP(C329,'PL TOTAL D0'!A:A,'PL TOTAL D0'!C:C,"")</f>
        <v>208431.8</v>
      </c>
    </row>
    <row r="330" ht="15.75" customHeight="1">
      <c r="A330" s="44" t="s">
        <v>36</v>
      </c>
      <c r="B330" s="63" t="s">
        <v>1170</v>
      </c>
      <c r="C330" s="46" t="s">
        <v>1171</v>
      </c>
      <c r="D330" s="47" t="s">
        <v>18</v>
      </c>
      <c r="E330" s="24" t="s">
        <v>29</v>
      </c>
      <c r="F330" s="47" t="s">
        <v>58</v>
      </c>
      <c r="G330" s="47" t="str">
        <f t="shared" si="1"/>
        <v>Augusto</v>
      </c>
      <c r="H330" s="48" t="s">
        <v>116</v>
      </c>
      <c r="I330" s="48" t="s">
        <v>161</v>
      </c>
      <c r="J330" s="47" t="str">
        <f t="shared" si="2"/>
        <v>Não</v>
      </c>
      <c r="K330" s="49">
        <v>45020.0</v>
      </c>
      <c r="L330" s="24"/>
      <c r="M330" s="24" t="s">
        <v>60</v>
      </c>
      <c r="N330" s="50">
        <v>0.012</v>
      </c>
      <c r="O330" s="47" t="s">
        <v>24</v>
      </c>
      <c r="P330" s="51">
        <v>0.0</v>
      </c>
      <c r="Q330" s="106"/>
      <c r="R330" s="106"/>
      <c r="S330" s="176" t="s">
        <v>1172</v>
      </c>
      <c r="T330" s="24" t="s">
        <v>89</v>
      </c>
      <c r="U330" s="25" t="s">
        <v>1173</v>
      </c>
      <c r="V330" s="9" t="s">
        <v>29</v>
      </c>
      <c r="W330" s="53" t="str">
        <f t="shared" si="3"/>
        <v>Ativo</v>
      </c>
      <c r="X330" s="24"/>
      <c r="Y330" s="54" t="s">
        <v>95</v>
      </c>
      <c r="Z330" s="56"/>
      <c r="AA330" s="56"/>
      <c r="AB330" s="56"/>
      <c r="AC330" s="56"/>
      <c r="AD330" s="56"/>
      <c r="AE330" s="56"/>
      <c r="AF330" s="56">
        <v>4290.59</v>
      </c>
      <c r="AG330" s="56">
        <v>4346.31</v>
      </c>
      <c r="AH330" s="56">
        <v>4384.53</v>
      </c>
      <c r="AI330" s="56">
        <v>4422.04</v>
      </c>
      <c r="AJ330" s="56">
        <v>4473.34</v>
      </c>
      <c r="AK330" s="56">
        <v>5.55</v>
      </c>
      <c r="AL330" s="56">
        <v>5.55</v>
      </c>
      <c r="AM330" s="56">
        <v>5.55</v>
      </c>
      <c r="AN330" s="56">
        <v>5.55</v>
      </c>
      <c r="AO330" s="56">
        <v>5.55</v>
      </c>
      <c r="AP330" s="56">
        <v>5.55</v>
      </c>
      <c r="AQ330" s="55">
        <v>5.55</v>
      </c>
      <c r="AR330" s="55">
        <v>5.55</v>
      </c>
      <c r="AS330" s="55">
        <v>5.55</v>
      </c>
      <c r="AT330" s="55">
        <f t="array" ref="AT330">XLOOKUP(C330,'PL TOTAL D0'!A:A,'PL TOTAL D0'!C:C,"")</f>
        <v>5.55</v>
      </c>
    </row>
    <row r="331" ht="15.75" customHeight="1">
      <c r="A331" s="44" t="s">
        <v>36</v>
      </c>
      <c r="B331" s="66" t="s">
        <v>1174</v>
      </c>
      <c r="C331" s="67" t="s">
        <v>1175</v>
      </c>
      <c r="D331" s="9" t="s">
        <v>18</v>
      </c>
      <c r="E331" s="25" t="s">
        <v>19</v>
      </c>
      <c r="F331" s="9" t="s">
        <v>201</v>
      </c>
      <c r="G331" s="47" t="str">
        <f t="shared" si="1"/>
        <v>Augusto</v>
      </c>
      <c r="H331" s="53" t="s">
        <v>178</v>
      </c>
      <c r="I331" s="53" t="s">
        <v>161</v>
      </c>
      <c r="J331" s="47" t="str">
        <f t="shared" si="2"/>
        <v>Não</v>
      </c>
      <c r="K331" s="59">
        <v>45426.0</v>
      </c>
      <c r="L331" s="24"/>
      <c r="M331" s="25" t="s">
        <v>60</v>
      </c>
      <c r="N331" s="60">
        <v>0.012</v>
      </c>
      <c r="O331" s="9" t="s">
        <v>24</v>
      </c>
      <c r="P331" s="61">
        <v>0.0</v>
      </c>
      <c r="Q331" s="106"/>
      <c r="R331" s="106"/>
      <c r="S331" s="176"/>
      <c r="T331" s="25" t="s">
        <v>89</v>
      </c>
      <c r="U331" s="5" t="s">
        <v>1176</v>
      </c>
      <c r="V331" s="9" t="s">
        <v>19</v>
      </c>
      <c r="W331" s="53" t="str">
        <f t="shared" si="3"/>
        <v>Ativo</v>
      </c>
      <c r="X331" s="25" t="s">
        <v>48</v>
      </c>
      <c r="Y331" s="54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5"/>
      <c r="AR331" s="55"/>
      <c r="AS331" s="55"/>
      <c r="AT331" s="55"/>
    </row>
    <row r="332" ht="15.75" customHeight="1">
      <c r="A332" s="44" t="s">
        <v>36</v>
      </c>
      <c r="B332" s="45" t="s">
        <v>1177</v>
      </c>
      <c r="C332" s="46" t="s">
        <v>1178</v>
      </c>
      <c r="D332" s="9" t="s">
        <v>18</v>
      </c>
      <c r="E332" s="24" t="s">
        <v>29</v>
      </c>
      <c r="F332" s="9" t="s">
        <v>110</v>
      </c>
      <c r="G332" s="47" t="str">
        <f t="shared" si="1"/>
        <v>Breno</v>
      </c>
      <c r="H332" s="48" t="s">
        <v>88</v>
      </c>
      <c r="I332" s="48" t="s">
        <v>24</v>
      </c>
      <c r="J332" s="47" t="str">
        <f t="shared" si="2"/>
        <v>Não</v>
      </c>
      <c r="K332" s="49">
        <v>44998.0</v>
      </c>
      <c r="L332" s="24"/>
      <c r="M332" s="24" t="s">
        <v>243</v>
      </c>
      <c r="N332" s="50">
        <v>0.02</v>
      </c>
      <c r="O332" s="47" t="s">
        <v>46</v>
      </c>
      <c r="P332" s="51">
        <v>0.2</v>
      </c>
      <c r="Q332" s="106"/>
      <c r="R332" s="106"/>
      <c r="S332" s="106"/>
      <c r="T332" s="24" t="s">
        <v>89</v>
      </c>
      <c r="U332" s="25" t="s">
        <v>1179</v>
      </c>
      <c r="V332" s="9" t="s">
        <v>29</v>
      </c>
      <c r="W332" s="53" t="str">
        <f t="shared" si="3"/>
        <v>Ativo</v>
      </c>
      <c r="X332" s="24"/>
      <c r="Y332" s="54" t="s">
        <v>1151</v>
      </c>
      <c r="Z332" s="56"/>
      <c r="AA332" s="56"/>
      <c r="AB332" s="56"/>
      <c r="AC332" s="56"/>
      <c r="AD332" s="56">
        <v>0.0</v>
      </c>
      <c r="AE332" s="56">
        <v>0.0</v>
      </c>
      <c r="AF332" s="56">
        <v>155653.14</v>
      </c>
      <c r="AG332" s="56">
        <v>793813.54</v>
      </c>
      <c r="AH332" s="56">
        <v>804596.25</v>
      </c>
      <c r="AI332" s="56">
        <v>870034.71</v>
      </c>
      <c r="AJ332" s="56">
        <v>888211.88</v>
      </c>
      <c r="AK332" s="56">
        <v>866431.26</v>
      </c>
      <c r="AL332" s="56">
        <v>866906.14</v>
      </c>
      <c r="AM332" s="56">
        <v>856971.53</v>
      </c>
      <c r="AN332" s="56">
        <v>884834.02</v>
      </c>
      <c r="AO332" s="56">
        <v>907780.95</v>
      </c>
      <c r="AP332" s="56">
        <v>885576.29</v>
      </c>
      <c r="AQ332" s="55">
        <v>894205.06</v>
      </c>
      <c r="AR332" s="55">
        <v>904444.35</v>
      </c>
      <c r="AS332" s="55">
        <v>887189.53</v>
      </c>
      <c r="AT332" s="55">
        <f t="array" ref="AT332">XLOOKUP(C332,'PL TOTAL D0'!A:A,'PL TOTAL D0'!C:C,"")</f>
        <v>897954.9</v>
      </c>
    </row>
    <row r="333" ht="15.75" customHeight="1">
      <c r="A333" s="44" t="s">
        <v>36</v>
      </c>
      <c r="B333" s="96" t="s">
        <v>1180</v>
      </c>
      <c r="C333" s="97" t="s">
        <v>1181</v>
      </c>
      <c r="D333" s="47" t="s">
        <v>18</v>
      </c>
      <c r="E333" s="24" t="s">
        <v>145</v>
      </c>
      <c r="F333" s="47" t="s">
        <v>171</v>
      </c>
      <c r="G333" s="47" t="str">
        <f t="shared" si="1"/>
        <v>Augusto</v>
      </c>
      <c r="H333" s="53" t="s">
        <v>88</v>
      </c>
      <c r="I333" s="53" t="s">
        <v>24</v>
      </c>
      <c r="J333" s="47" t="str">
        <f t="shared" si="2"/>
        <v>Não</v>
      </c>
      <c r="K333" s="49">
        <v>45230.0</v>
      </c>
      <c r="L333" s="24"/>
      <c r="M333" s="24" t="s">
        <v>45</v>
      </c>
      <c r="N333" s="50">
        <v>0.012</v>
      </c>
      <c r="O333" s="47" t="s">
        <v>46</v>
      </c>
      <c r="P333" s="51">
        <v>0.1</v>
      </c>
      <c r="Q333" s="106"/>
      <c r="R333" s="106"/>
      <c r="S333" s="106"/>
      <c r="T333" s="24" t="s">
        <v>89</v>
      </c>
      <c r="U333" s="25" t="s">
        <v>1182</v>
      </c>
      <c r="V333" s="9" t="s">
        <v>149</v>
      </c>
      <c r="W333" s="53" t="str">
        <f t="shared" si="3"/>
        <v>Ativo</v>
      </c>
      <c r="X333" s="24"/>
      <c r="Y333" s="54" t="s">
        <v>91</v>
      </c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>
        <v>0.0</v>
      </c>
      <c r="AN333" s="56">
        <v>0.0</v>
      </c>
      <c r="AO333" s="56">
        <v>0.0</v>
      </c>
      <c r="AP333" s="56">
        <v>100558.71</v>
      </c>
      <c r="AQ333" s="55">
        <v>101436.11</v>
      </c>
      <c r="AR333" s="55">
        <v>102329.32</v>
      </c>
      <c r="AS333" s="55">
        <v>102208.11</v>
      </c>
      <c r="AT333" s="55">
        <f t="array" ref="AT333">XLOOKUP(C333,'PL TOTAL D0'!A:A,'PL TOTAL D0'!C:C,"")</f>
        <v>102823</v>
      </c>
    </row>
    <row r="334" ht="15.75" customHeight="1">
      <c r="A334" s="44" t="s">
        <v>36</v>
      </c>
      <c r="B334" s="177" t="s">
        <v>1183</v>
      </c>
      <c r="C334" s="178" t="s">
        <v>1184</v>
      </c>
      <c r="D334" s="47" t="s">
        <v>18</v>
      </c>
      <c r="E334" s="24" t="s">
        <v>19</v>
      </c>
      <c r="F334" s="47" t="s">
        <v>20</v>
      </c>
      <c r="G334" s="47" t="str">
        <f t="shared" si="1"/>
        <v>#N/A</v>
      </c>
      <c r="H334" s="48" t="s">
        <v>116</v>
      </c>
      <c r="I334" s="48" t="s">
        <v>130</v>
      </c>
      <c r="J334" s="47" t="str">
        <f t="shared" si="2"/>
        <v>Não</v>
      </c>
      <c r="K334" s="49">
        <v>45166.0</v>
      </c>
      <c r="L334" s="64"/>
      <c r="M334" s="24" t="s">
        <v>60</v>
      </c>
      <c r="N334" s="50">
        <v>0.012</v>
      </c>
      <c r="O334" s="47" t="s">
        <v>24</v>
      </c>
      <c r="P334" s="51">
        <v>0.0</v>
      </c>
      <c r="Q334" s="106"/>
      <c r="R334" s="106"/>
      <c r="S334" s="106"/>
      <c r="T334" s="24" t="s">
        <v>89</v>
      </c>
      <c r="U334" s="25" t="s">
        <v>1185</v>
      </c>
      <c r="V334" s="9" t="s">
        <v>19</v>
      </c>
      <c r="W334" s="53" t="str">
        <f t="shared" si="3"/>
        <v>Ativo</v>
      </c>
      <c r="X334" s="24"/>
      <c r="Y334" s="54" t="s">
        <v>95</v>
      </c>
      <c r="Z334" s="56"/>
      <c r="AA334" s="56"/>
      <c r="AB334" s="56"/>
      <c r="AC334" s="56"/>
      <c r="AD334" s="56"/>
      <c r="AE334" s="56"/>
      <c r="AF334" s="56"/>
      <c r="AG334" s="56">
        <v>0.0</v>
      </c>
      <c r="AH334" s="56">
        <v>0.0</v>
      </c>
      <c r="AI334" s="56">
        <v>0.0</v>
      </c>
      <c r="AJ334" s="56">
        <v>0.0</v>
      </c>
      <c r="AK334" s="56">
        <v>0.0</v>
      </c>
      <c r="AL334" s="56">
        <v>0.0</v>
      </c>
      <c r="AM334" s="56">
        <v>0.0</v>
      </c>
      <c r="AN334" s="56">
        <v>0.0</v>
      </c>
      <c r="AO334" s="56">
        <v>0.0</v>
      </c>
      <c r="AP334" s="56">
        <v>0.0</v>
      </c>
      <c r="AQ334" s="55">
        <v>0.0</v>
      </c>
      <c r="AR334" s="55">
        <v>0.0</v>
      </c>
      <c r="AS334" s="55">
        <v>0.0</v>
      </c>
      <c r="AT334" s="55" t="str">
        <f t="array" ref="AT334">XLOOKUP(C334,'PL TOTAL D0'!A:A,'PL TOTAL D0'!C:C,"")</f>
        <v/>
      </c>
    </row>
    <row r="335" ht="15.75" customHeight="1">
      <c r="A335" s="44" t="s">
        <v>36</v>
      </c>
      <c r="B335" s="45" t="s">
        <v>1186</v>
      </c>
      <c r="C335" s="46" t="s">
        <v>1187</v>
      </c>
      <c r="D335" s="47" t="s">
        <v>18</v>
      </c>
      <c r="E335" s="24" t="s">
        <v>29</v>
      </c>
      <c r="F335" s="47" t="s">
        <v>110</v>
      </c>
      <c r="G335" s="47" t="str">
        <f t="shared" si="1"/>
        <v>Breno</v>
      </c>
      <c r="H335" s="53" t="s">
        <v>116</v>
      </c>
      <c r="I335" s="53" t="s">
        <v>609</v>
      </c>
      <c r="J335" s="47" t="str">
        <f t="shared" si="2"/>
        <v>Não</v>
      </c>
      <c r="K335" s="49">
        <v>45254.0</v>
      </c>
      <c r="L335" s="64"/>
      <c r="M335" s="24" t="s">
        <v>45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4" t="s">
        <v>89</v>
      </c>
      <c r="U335" s="25" t="s">
        <v>1188</v>
      </c>
      <c r="V335" s="9" t="s">
        <v>29</v>
      </c>
      <c r="W335" s="53" t="str">
        <f t="shared" si="3"/>
        <v>Ativo</v>
      </c>
      <c r="X335" s="24"/>
      <c r="Y335" s="54" t="s">
        <v>95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>
        <v>630538.56</v>
      </c>
      <c r="AO335" s="56">
        <v>639097.07</v>
      </c>
      <c r="AP335" s="56">
        <v>1001615.77</v>
      </c>
      <c r="AQ335" s="55">
        <v>1010202.22</v>
      </c>
      <c r="AR335" s="55">
        <v>1426979.35</v>
      </c>
      <c r="AS335" s="55">
        <v>1127841.4</v>
      </c>
      <c r="AT335" s="55">
        <f t="array" ref="AT335">XLOOKUP(C335,'PL TOTAL D0'!A:A,'PL TOTAL D0'!C:C,"")</f>
        <v>514921.2</v>
      </c>
    </row>
    <row r="336" ht="15.75" customHeight="1">
      <c r="A336" s="44" t="s">
        <v>36</v>
      </c>
      <c r="B336" s="45" t="s">
        <v>1186</v>
      </c>
      <c r="C336" s="179" t="s">
        <v>1189</v>
      </c>
      <c r="D336" s="47" t="s">
        <v>18</v>
      </c>
      <c r="E336" s="24" t="s">
        <v>29</v>
      </c>
      <c r="F336" s="47" t="s">
        <v>110</v>
      </c>
      <c r="G336" s="47" t="str">
        <f t="shared" si="1"/>
        <v>Augusto</v>
      </c>
      <c r="H336" s="53" t="s">
        <v>116</v>
      </c>
      <c r="I336" s="53" t="s">
        <v>609</v>
      </c>
      <c r="J336" s="47" t="str">
        <f t="shared" si="2"/>
        <v>Não</v>
      </c>
      <c r="K336" s="49">
        <v>45255.0</v>
      </c>
      <c r="L336" s="64"/>
      <c r="M336" s="24" t="s">
        <v>45</v>
      </c>
      <c r="N336" s="50">
        <v>0.012</v>
      </c>
      <c r="O336" s="47" t="s">
        <v>24</v>
      </c>
      <c r="P336" s="51">
        <v>0.1</v>
      </c>
      <c r="Q336" s="106"/>
      <c r="R336" s="106"/>
      <c r="S336" s="106"/>
      <c r="T336" s="24" t="s">
        <v>89</v>
      </c>
      <c r="U336" s="25" t="s">
        <v>1188</v>
      </c>
      <c r="V336" s="9" t="s">
        <v>29</v>
      </c>
      <c r="W336" s="53" t="str">
        <f t="shared" si="3"/>
        <v>Ativo</v>
      </c>
      <c r="X336" s="24"/>
      <c r="Y336" s="54" t="s">
        <v>95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>
        <v>765438.48</v>
      </c>
      <c r="AR336" s="55">
        <v>773226.21</v>
      </c>
      <c r="AS336" s="55">
        <v>204111.84</v>
      </c>
      <c r="AT336" s="55">
        <f t="array" ref="AT336">XLOOKUP(C336,'PL TOTAL D0'!A:A,'PL TOTAL D0'!C:C,"")</f>
        <v>142375</v>
      </c>
    </row>
    <row r="337" ht="15.75" customHeight="1">
      <c r="A337" s="44" t="s">
        <v>36</v>
      </c>
      <c r="B337" s="66" t="s">
        <v>1190</v>
      </c>
      <c r="C337" s="67" t="s">
        <v>1191</v>
      </c>
      <c r="D337" s="47" t="s">
        <v>18</v>
      </c>
      <c r="E337" s="24" t="s">
        <v>29</v>
      </c>
      <c r="F337" s="47" t="s">
        <v>110</v>
      </c>
      <c r="G337" s="47" t="str">
        <f t="shared" si="1"/>
        <v>Augusto</v>
      </c>
      <c r="H337" s="53" t="s">
        <v>116</v>
      </c>
      <c r="I337" s="53" t="s">
        <v>427</v>
      </c>
      <c r="J337" s="47" t="str">
        <f t="shared" si="2"/>
        <v>Não</v>
      </c>
      <c r="K337" s="59">
        <v>45422.0</v>
      </c>
      <c r="L337" s="64"/>
      <c r="M337" s="25" t="s">
        <v>45</v>
      </c>
      <c r="N337" s="60">
        <v>0.012</v>
      </c>
      <c r="O337" s="9" t="s">
        <v>46</v>
      </c>
      <c r="P337" s="61">
        <v>0.1</v>
      </c>
      <c r="Q337" s="106"/>
      <c r="R337" s="106"/>
      <c r="S337" s="106"/>
      <c r="T337" s="25" t="s">
        <v>89</v>
      </c>
      <c r="U337" s="25" t="s">
        <v>1188</v>
      </c>
      <c r="V337" s="9" t="s">
        <v>29</v>
      </c>
      <c r="W337" s="53" t="str">
        <f t="shared" si="3"/>
        <v>Ativo</v>
      </c>
      <c r="X337" s="25" t="s">
        <v>318</v>
      </c>
      <c r="Y337" s="54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5"/>
      <c r="AR337" s="55"/>
      <c r="AS337" s="55"/>
      <c r="AT337" s="55"/>
    </row>
    <row r="338" ht="15.75" customHeight="1">
      <c r="A338" s="44" t="s">
        <v>36</v>
      </c>
      <c r="B338" s="63" t="s">
        <v>1192</v>
      </c>
      <c r="C338" s="46" t="s">
        <v>1193</v>
      </c>
      <c r="D338" s="47" t="s">
        <v>18</v>
      </c>
      <c r="E338" s="24" t="s">
        <v>29</v>
      </c>
      <c r="F338" s="24" t="s">
        <v>137</v>
      </c>
      <c r="G338" s="47" t="str">
        <f t="shared" si="1"/>
        <v>Augusto</v>
      </c>
      <c r="H338" s="48" t="s">
        <v>88</v>
      </c>
      <c r="I338" s="48" t="s">
        <v>24</v>
      </c>
      <c r="J338" s="47" t="str">
        <f t="shared" si="2"/>
        <v>Não</v>
      </c>
      <c r="K338" s="64">
        <v>44994.0</v>
      </c>
      <c r="L338" s="24"/>
      <c r="M338" s="24" t="s">
        <v>60</v>
      </c>
      <c r="N338" s="50">
        <v>0.012</v>
      </c>
      <c r="O338" s="47" t="s">
        <v>24</v>
      </c>
      <c r="P338" s="51">
        <v>0.0</v>
      </c>
      <c r="Q338" s="119"/>
      <c r="R338" s="119"/>
      <c r="S338" s="119"/>
      <c r="T338" s="24" t="s">
        <v>89</v>
      </c>
      <c r="U338" s="25" t="s">
        <v>1194</v>
      </c>
      <c r="V338" s="25" t="s">
        <v>195</v>
      </c>
      <c r="W338" s="53" t="str">
        <f t="shared" si="3"/>
        <v>Ativo</v>
      </c>
      <c r="X338" s="24"/>
      <c r="Y338" s="25" t="s">
        <v>95</v>
      </c>
      <c r="Z338" s="24"/>
      <c r="AA338" s="24"/>
      <c r="AB338" s="24"/>
      <c r="AC338" s="24"/>
      <c r="AD338" s="24"/>
      <c r="AE338" s="24"/>
      <c r="AF338" s="56">
        <v>215098.7</v>
      </c>
      <c r="AG338" s="56">
        <v>216876.15</v>
      </c>
      <c r="AH338" s="56">
        <v>299873.01</v>
      </c>
      <c r="AI338" s="56">
        <v>302577.74</v>
      </c>
      <c r="AJ338" s="56">
        <v>304671.28</v>
      </c>
      <c r="AK338" s="56">
        <v>307519.42</v>
      </c>
      <c r="AL338" s="56">
        <v>309326.29</v>
      </c>
      <c r="AM338" s="56">
        <v>312072.35</v>
      </c>
      <c r="AN338" s="56">
        <v>314391.69</v>
      </c>
      <c r="AO338" s="56">
        <v>316725.61</v>
      </c>
      <c r="AP338" s="56">
        <v>309359.8</v>
      </c>
      <c r="AQ338" s="55">
        <v>310418.82</v>
      </c>
      <c r="AR338" s="55">
        <v>313290.9</v>
      </c>
      <c r="AS338" s="55">
        <v>315659.78</v>
      </c>
      <c r="AT338" s="55">
        <f t="array" ref="AT338">XLOOKUP(C338,'PL TOTAL D0'!A:A,'PL TOTAL D0'!C:C,"")</f>
        <v>317070.5</v>
      </c>
    </row>
    <row r="339" ht="15.75" customHeight="1">
      <c r="A339" s="44" t="s">
        <v>36</v>
      </c>
      <c r="B339" s="57" t="s">
        <v>1195</v>
      </c>
      <c r="C339" s="82" t="s">
        <v>1196</v>
      </c>
      <c r="D339" s="47" t="s">
        <v>86</v>
      </c>
      <c r="E339" s="24" t="s">
        <v>29</v>
      </c>
      <c r="F339" s="47" t="s">
        <v>613</v>
      </c>
      <c r="G339" s="47" t="str">
        <f t="shared" si="1"/>
        <v>#N/A</v>
      </c>
      <c r="H339" s="53" t="s">
        <v>116</v>
      </c>
      <c r="I339" s="48" t="s">
        <v>24</v>
      </c>
      <c r="J339" s="47" t="str">
        <f t="shared" si="2"/>
        <v>Sim</v>
      </c>
      <c r="K339" s="49">
        <v>44928.0</v>
      </c>
      <c r="L339" s="24"/>
      <c r="M339" s="24" t="s">
        <v>45</v>
      </c>
      <c r="N339" s="50">
        <v>0.012</v>
      </c>
      <c r="O339" s="47" t="s">
        <v>24</v>
      </c>
      <c r="P339" s="51">
        <v>0.0</v>
      </c>
      <c r="Q339" s="62" t="s">
        <v>1197</v>
      </c>
      <c r="R339" s="106"/>
      <c r="S339" s="106"/>
      <c r="T339" s="24" t="s">
        <v>89</v>
      </c>
      <c r="U339" s="25" t="s">
        <v>1198</v>
      </c>
      <c r="V339" s="9" t="s">
        <v>29</v>
      </c>
      <c r="W339" s="53" t="str">
        <f t="shared" si="3"/>
        <v>Ativo</v>
      </c>
      <c r="X339" s="24"/>
      <c r="Y339" s="54" t="s">
        <v>95</v>
      </c>
      <c r="Z339" s="56"/>
      <c r="AA339" s="56"/>
      <c r="AB339" s="56"/>
      <c r="AC339" s="56">
        <v>358813.41</v>
      </c>
      <c r="AD339" s="56">
        <v>377876.36</v>
      </c>
      <c r="AE339" s="56">
        <v>392773.39</v>
      </c>
      <c r="AF339" s="56">
        <v>397012.49</v>
      </c>
      <c r="AG339" s="56">
        <v>651770.08</v>
      </c>
      <c r="AH339" s="56">
        <v>631261.12</v>
      </c>
      <c r="AI339" s="56">
        <v>670333.7</v>
      </c>
      <c r="AJ339" s="56">
        <v>655818.74</v>
      </c>
      <c r="AK339" s="56">
        <v>662208.82</v>
      </c>
      <c r="AL339" s="56">
        <v>667585.98</v>
      </c>
      <c r="AM339" s="56">
        <v>670425.23</v>
      </c>
      <c r="AN339" s="56">
        <v>679113.46</v>
      </c>
      <c r="AO339" s="56">
        <v>666577.12</v>
      </c>
      <c r="AP339" s="56">
        <v>668120.67</v>
      </c>
      <c r="AQ339" s="55">
        <v>0.0</v>
      </c>
      <c r="AR339" s="55">
        <v>0.0</v>
      </c>
      <c r="AS339" s="55">
        <v>0.0</v>
      </c>
      <c r="AT339" s="55" t="str">
        <f t="array" ref="AT339">XLOOKUP(C339,'PL TOTAL D0'!A:A,'PL TOTAL D0'!C:C,"")</f>
        <v/>
      </c>
    </row>
    <row r="340" ht="15.75" customHeight="1">
      <c r="A340" s="44" t="s">
        <v>36</v>
      </c>
      <c r="B340" s="45" t="s">
        <v>1199</v>
      </c>
      <c r="C340" s="46" t="s">
        <v>1200</v>
      </c>
      <c r="D340" s="47" t="s">
        <v>18</v>
      </c>
      <c r="E340" s="24" t="s">
        <v>29</v>
      </c>
      <c r="F340" s="47" t="s">
        <v>44</v>
      </c>
      <c r="G340" s="47" t="str">
        <f t="shared" si="1"/>
        <v>Bruno</v>
      </c>
      <c r="H340" s="48" t="s">
        <v>88</v>
      </c>
      <c r="I340" s="48" t="s">
        <v>24</v>
      </c>
      <c r="J340" s="47" t="str">
        <f t="shared" si="2"/>
        <v>Não</v>
      </c>
      <c r="K340" s="49">
        <v>45040.0</v>
      </c>
      <c r="L340" s="24"/>
      <c r="M340" s="24" t="s">
        <v>60</v>
      </c>
      <c r="N340" s="50">
        <v>0.01</v>
      </c>
      <c r="O340" s="47" t="s">
        <v>24</v>
      </c>
      <c r="P340" s="51">
        <v>0.0</v>
      </c>
      <c r="Q340" s="106"/>
      <c r="R340" s="106"/>
      <c r="S340" s="106"/>
      <c r="T340" s="24" t="s">
        <v>89</v>
      </c>
      <c r="U340" s="25" t="s">
        <v>1201</v>
      </c>
      <c r="V340" s="9" t="s">
        <v>29</v>
      </c>
      <c r="W340" s="53" t="str">
        <f t="shared" si="3"/>
        <v>Ativo</v>
      </c>
      <c r="X340" s="24"/>
      <c r="Y340" s="54" t="s">
        <v>91</v>
      </c>
      <c r="Z340" s="56"/>
      <c r="AA340" s="56"/>
      <c r="AB340" s="56"/>
      <c r="AC340" s="56"/>
      <c r="AD340" s="56"/>
      <c r="AE340" s="56"/>
      <c r="AF340" s="56"/>
      <c r="AG340" s="56">
        <v>397508.34</v>
      </c>
      <c r="AH340" s="56">
        <v>714697.76</v>
      </c>
      <c r="AI340" s="56">
        <v>732005.28</v>
      </c>
      <c r="AJ340" s="56">
        <v>770449.99</v>
      </c>
      <c r="AK340" s="56">
        <v>1085256.77</v>
      </c>
      <c r="AL340" s="56">
        <v>1152688.1</v>
      </c>
      <c r="AM340" s="56">
        <v>1163013.64</v>
      </c>
      <c r="AN340" s="56">
        <v>1170919.64</v>
      </c>
      <c r="AO340" s="56">
        <v>1200138.58</v>
      </c>
      <c r="AP340" s="56">
        <v>1221032.6</v>
      </c>
      <c r="AQ340" s="55">
        <v>1230255.33</v>
      </c>
      <c r="AR340" s="55">
        <v>1346659.3</v>
      </c>
      <c r="AS340" s="55">
        <v>1382587.72</v>
      </c>
      <c r="AT340" s="55">
        <f t="array" ref="AT340">XLOOKUP(C340,'PL TOTAL D0'!A:A,'PL TOTAL D0'!C:C,"")</f>
        <v>1409331</v>
      </c>
    </row>
    <row r="341" ht="15.75" customHeight="1">
      <c r="A341" s="44" t="s">
        <v>36</v>
      </c>
      <c r="B341" s="66" t="s">
        <v>1202</v>
      </c>
      <c r="C341" s="67" t="s">
        <v>1203</v>
      </c>
      <c r="D341" s="9" t="s">
        <v>822</v>
      </c>
      <c r="E341" s="25" t="s">
        <v>19</v>
      </c>
      <c r="F341" s="9" t="s">
        <v>823</v>
      </c>
      <c r="G341" s="47" t="str">
        <f t="shared" si="1"/>
        <v>Breno</v>
      </c>
      <c r="H341" s="53" t="s">
        <v>88</v>
      </c>
      <c r="I341" s="53" t="s">
        <v>24</v>
      </c>
      <c r="J341" s="47" t="str">
        <f t="shared" si="2"/>
        <v>Não</v>
      </c>
      <c r="K341" s="59">
        <v>45391.0</v>
      </c>
      <c r="L341" s="24"/>
      <c r="M341" s="25" t="s">
        <v>45</v>
      </c>
      <c r="N341" s="60">
        <v>0.012</v>
      </c>
      <c r="O341" s="9" t="s">
        <v>46</v>
      </c>
      <c r="P341" s="61">
        <v>0.1</v>
      </c>
      <c r="Q341" s="106"/>
      <c r="R341" s="106"/>
      <c r="S341" s="106"/>
      <c r="T341" s="25" t="s">
        <v>89</v>
      </c>
      <c r="U341" s="5" t="s">
        <v>1204</v>
      </c>
      <c r="V341" s="9" t="s">
        <v>19</v>
      </c>
      <c r="W341" s="53" t="str">
        <f t="shared" si="3"/>
        <v>Ativo</v>
      </c>
      <c r="X341" s="25" t="s">
        <v>48</v>
      </c>
      <c r="Y341" s="54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5"/>
      <c r="AR341" s="55"/>
      <c r="AS341" s="55">
        <v>395578.13</v>
      </c>
      <c r="AT341" s="55">
        <f t="array" ref="AT341">XLOOKUP(C341,'PL TOTAL D0'!A:A,'PL TOTAL D0'!C:C,"")</f>
        <v>425425.8</v>
      </c>
    </row>
    <row r="342" ht="15.75" customHeight="1">
      <c r="A342" s="44" t="s">
        <v>36</v>
      </c>
      <c r="B342" s="45" t="s">
        <v>1205</v>
      </c>
      <c r="C342" s="46" t="s">
        <v>1206</v>
      </c>
      <c r="D342" s="47" t="s">
        <v>86</v>
      </c>
      <c r="E342" s="24" t="s">
        <v>29</v>
      </c>
      <c r="F342" s="47" t="s">
        <v>87</v>
      </c>
      <c r="G342" s="47" t="str">
        <f t="shared" si="1"/>
        <v>Augusto</v>
      </c>
      <c r="H342" s="48" t="s">
        <v>88</v>
      </c>
      <c r="I342" s="48" t="s">
        <v>24</v>
      </c>
      <c r="J342" s="47" t="str">
        <f t="shared" si="2"/>
        <v>Sim</v>
      </c>
      <c r="K342" s="49">
        <v>45166.0</v>
      </c>
      <c r="L342" s="24"/>
      <c r="M342" s="24" t="s">
        <v>111</v>
      </c>
      <c r="N342" s="50">
        <v>0.016</v>
      </c>
      <c r="O342" s="47" t="s">
        <v>46</v>
      </c>
      <c r="P342" s="51">
        <v>0.2</v>
      </c>
      <c r="Q342" s="169" t="s">
        <v>1207</v>
      </c>
      <c r="R342" s="106"/>
      <c r="S342" s="106"/>
      <c r="T342" s="24" t="s">
        <v>89</v>
      </c>
      <c r="U342" s="25" t="s">
        <v>1208</v>
      </c>
      <c r="V342" s="9" t="s">
        <v>29</v>
      </c>
      <c r="W342" s="53" t="str">
        <f t="shared" si="3"/>
        <v>Ativo</v>
      </c>
      <c r="X342" s="24"/>
      <c r="Y342" s="54" t="s">
        <v>91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>
        <v>71148.86</v>
      </c>
      <c r="AL342" s="56">
        <v>71552.49</v>
      </c>
      <c r="AM342" s="56">
        <v>71993.83</v>
      </c>
      <c r="AN342" s="56">
        <v>72378.33</v>
      </c>
      <c r="AO342" s="56">
        <v>72798.95</v>
      </c>
      <c r="AP342" s="56">
        <v>73289.24</v>
      </c>
      <c r="AQ342" s="55">
        <v>73727.41</v>
      </c>
      <c r="AR342" s="55">
        <v>74163.19</v>
      </c>
      <c r="AS342" s="55">
        <v>74603.1</v>
      </c>
      <c r="AT342" s="55">
        <f t="array" ref="AT342">XLOOKUP(C342,'PL TOTAL D0'!A:A,'PL TOTAL D0'!C:C,"")</f>
        <v>74878.8</v>
      </c>
    </row>
    <row r="343" ht="15.75" customHeight="1">
      <c r="A343" s="44" t="s">
        <v>36</v>
      </c>
      <c r="B343" s="45" t="s">
        <v>1209</v>
      </c>
      <c r="C343" s="46" t="s">
        <v>1210</v>
      </c>
      <c r="D343" s="47" t="s">
        <v>18</v>
      </c>
      <c r="E343" s="24" t="s">
        <v>29</v>
      </c>
      <c r="F343" s="47" t="s">
        <v>58</v>
      </c>
      <c r="G343" s="47" t="str">
        <f t="shared" si="1"/>
        <v>Augusto</v>
      </c>
      <c r="H343" s="53" t="s">
        <v>88</v>
      </c>
      <c r="I343" s="53" t="s">
        <v>24</v>
      </c>
      <c r="J343" s="47" t="str">
        <f t="shared" si="2"/>
        <v>Não</v>
      </c>
      <c r="K343" s="49">
        <v>45267.0</v>
      </c>
      <c r="L343" s="24"/>
      <c r="M343" s="92" t="s">
        <v>99</v>
      </c>
      <c r="N343" s="93">
        <v>0.0</v>
      </c>
      <c r="O343" s="94" t="s">
        <v>24</v>
      </c>
      <c r="P343" s="95">
        <v>0.0</v>
      </c>
      <c r="Q343" s="106"/>
      <c r="R343" s="106"/>
      <c r="S343" s="106"/>
      <c r="T343" s="24" t="s">
        <v>329</v>
      </c>
      <c r="U343" s="25" t="s">
        <v>1211</v>
      </c>
      <c r="V343" s="9" t="s">
        <v>29</v>
      </c>
      <c r="W343" s="53" t="str">
        <f t="shared" si="3"/>
        <v>Ativo</v>
      </c>
      <c r="X343" s="24"/>
      <c r="Y343" s="54" t="s">
        <v>95</v>
      </c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>
        <v>0.0</v>
      </c>
      <c r="AP343" s="56">
        <v>80064.81</v>
      </c>
      <c r="AQ343" s="55">
        <v>80563.06</v>
      </c>
      <c r="AR343" s="55">
        <v>81039.79</v>
      </c>
      <c r="AS343" s="55">
        <v>81408.34</v>
      </c>
      <c r="AT343" s="55">
        <f t="array" ref="AT343">XLOOKUP(C343,'PL TOTAL D0'!A:A,'PL TOTAL D0'!C:C,"")</f>
        <v>81813.98</v>
      </c>
    </row>
    <row r="344" ht="15.75" customHeight="1">
      <c r="A344" s="44" t="s">
        <v>36</v>
      </c>
      <c r="B344" s="45" t="s">
        <v>1212</v>
      </c>
      <c r="C344" s="46" t="s">
        <v>1213</v>
      </c>
      <c r="D344" s="47" t="s">
        <v>86</v>
      </c>
      <c r="E344" s="24" t="s">
        <v>29</v>
      </c>
      <c r="F344" s="47" t="s">
        <v>87</v>
      </c>
      <c r="G344" s="47" t="str">
        <f t="shared" si="1"/>
        <v>Bruno</v>
      </c>
      <c r="H344" s="48" t="s">
        <v>88</v>
      </c>
      <c r="I344" s="48" t="s">
        <v>24</v>
      </c>
      <c r="J344" s="47" t="str">
        <f t="shared" si="2"/>
        <v>Não</v>
      </c>
      <c r="K344" s="49">
        <v>45163.0</v>
      </c>
      <c r="L344" s="64"/>
      <c r="M344" s="24" t="s">
        <v>60</v>
      </c>
      <c r="N344" s="50">
        <v>0.01</v>
      </c>
      <c r="O344" s="47" t="s">
        <v>24</v>
      </c>
      <c r="P344" s="51">
        <v>0.0</v>
      </c>
      <c r="Q344" s="52"/>
      <c r="R344" s="52"/>
      <c r="S344" s="52"/>
      <c r="T344" s="24" t="s">
        <v>89</v>
      </c>
      <c r="U344" s="25" t="s">
        <v>1211</v>
      </c>
      <c r="V344" s="9" t="s">
        <v>29</v>
      </c>
      <c r="W344" s="53" t="str">
        <f t="shared" si="3"/>
        <v>Ativo</v>
      </c>
      <c r="X344" s="24"/>
      <c r="Y344" s="54" t="s">
        <v>91</v>
      </c>
      <c r="Z344" s="56"/>
      <c r="AA344" s="56"/>
      <c r="AB344" s="56"/>
      <c r="AC344" s="56"/>
      <c r="AD344" s="56"/>
      <c r="AE344" s="56"/>
      <c r="AF344" s="56"/>
      <c r="AG344" s="56">
        <v>0.0</v>
      </c>
      <c r="AH344" s="56">
        <v>0.0</v>
      </c>
      <c r="AI344" s="56">
        <v>0.0</v>
      </c>
      <c r="AJ344" s="56">
        <v>0.0</v>
      </c>
      <c r="AK344" s="56">
        <v>0.0</v>
      </c>
      <c r="AL344" s="56">
        <v>770341.47</v>
      </c>
      <c r="AM344" s="56">
        <v>774767.0</v>
      </c>
      <c r="AN344" s="56">
        <v>780858.65</v>
      </c>
      <c r="AO344" s="56">
        <v>786142.8</v>
      </c>
      <c r="AP344" s="56">
        <v>791149.87</v>
      </c>
      <c r="AQ344" s="55">
        <v>796697.82</v>
      </c>
      <c r="AR344" s="55">
        <v>992536.72</v>
      </c>
      <c r="AS344" s="55">
        <v>1038174.97</v>
      </c>
      <c r="AT344" s="55">
        <f t="array" ref="AT344">XLOOKUP(C344,'PL TOTAL D0'!A:A,'PL TOTAL D0'!C:C,"")</f>
        <v>1060740</v>
      </c>
    </row>
    <row r="345" ht="15.75" customHeight="1">
      <c r="A345" s="44" t="s">
        <v>36</v>
      </c>
      <c r="B345" s="45" t="s">
        <v>1214</v>
      </c>
      <c r="C345" s="46" t="s">
        <v>1215</v>
      </c>
      <c r="D345" s="47" t="s">
        <v>18</v>
      </c>
      <c r="E345" s="24" t="s">
        <v>180</v>
      </c>
      <c r="F345" s="24" t="s">
        <v>512</v>
      </c>
      <c r="G345" s="47" t="str">
        <f t="shared" si="1"/>
        <v>Breno</v>
      </c>
      <c r="H345" s="48" t="s">
        <v>88</v>
      </c>
      <c r="I345" s="48" t="s">
        <v>24</v>
      </c>
      <c r="J345" s="47" t="str">
        <f t="shared" si="2"/>
        <v>Não</v>
      </c>
      <c r="K345" s="64">
        <v>44973.0</v>
      </c>
      <c r="L345" s="44"/>
      <c r="M345" s="24" t="s">
        <v>111</v>
      </c>
      <c r="N345" s="180">
        <v>0.015</v>
      </c>
      <c r="O345" s="24" t="s">
        <v>46</v>
      </c>
      <c r="P345" s="51">
        <v>0.1</v>
      </c>
      <c r="Q345" s="75"/>
      <c r="R345" s="75"/>
      <c r="S345" s="75"/>
      <c r="T345" s="24" t="s">
        <v>89</v>
      </c>
      <c r="U345" s="58" t="s">
        <v>1216</v>
      </c>
      <c r="V345" s="25" t="s">
        <v>1217</v>
      </c>
      <c r="W345" s="53" t="str">
        <f t="shared" si="3"/>
        <v>Ativo</v>
      </c>
      <c r="X345" s="24"/>
      <c r="Y345" s="25" t="s">
        <v>91</v>
      </c>
      <c r="Z345" s="44"/>
      <c r="AA345" s="44"/>
      <c r="AB345" s="44"/>
      <c r="AC345" s="44"/>
      <c r="AD345" s="181"/>
      <c r="AE345" s="172">
        <v>689994.38</v>
      </c>
      <c r="AF345" s="172">
        <v>685952.92</v>
      </c>
      <c r="AG345" s="182">
        <v>687270.9</v>
      </c>
      <c r="AH345" s="172">
        <v>697627.07</v>
      </c>
      <c r="AI345" s="172">
        <v>911550.56</v>
      </c>
      <c r="AJ345" s="56">
        <v>923030.07</v>
      </c>
      <c r="AK345" s="56">
        <v>927788.28</v>
      </c>
      <c r="AL345" s="56">
        <v>932100.04</v>
      </c>
      <c r="AM345" s="56">
        <v>804260.81</v>
      </c>
      <c r="AN345" s="56">
        <v>812554.67</v>
      </c>
      <c r="AO345" s="56">
        <v>820967.38</v>
      </c>
      <c r="AP345" s="56">
        <v>817404.64</v>
      </c>
      <c r="AQ345" s="55">
        <v>821869.41</v>
      </c>
      <c r="AR345" s="55">
        <v>828451.96</v>
      </c>
      <c r="AS345" s="55">
        <v>825193.77</v>
      </c>
      <c r="AT345" s="55">
        <f t="array" ref="AT345">XLOOKUP(C345,'PL TOTAL D0'!A:A,'PL TOTAL D0'!C:C,"")</f>
        <v>830293</v>
      </c>
    </row>
    <row r="346" ht="15.75" customHeight="1">
      <c r="A346" s="44" t="s">
        <v>36</v>
      </c>
      <c r="B346" s="45" t="s">
        <v>1218</v>
      </c>
      <c r="C346" s="46" t="s">
        <v>1219</v>
      </c>
      <c r="D346" s="47" t="s">
        <v>18</v>
      </c>
      <c r="E346" s="24" t="s">
        <v>19</v>
      </c>
      <c r="F346" s="47" t="s">
        <v>230</v>
      </c>
      <c r="G346" s="47" t="str">
        <f t="shared" si="1"/>
        <v>#N/A</v>
      </c>
      <c r="H346" s="53" t="s">
        <v>116</v>
      </c>
      <c r="I346" s="48" t="s">
        <v>161</v>
      </c>
      <c r="J346" s="47" t="str">
        <f t="shared" si="2"/>
        <v>Não</v>
      </c>
      <c r="K346" s="49">
        <v>45163.0</v>
      </c>
      <c r="L346" s="64"/>
      <c r="M346" s="24" t="s">
        <v>60</v>
      </c>
      <c r="N346" s="50">
        <v>0.01</v>
      </c>
      <c r="O346" s="47" t="s">
        <v>24</v>
      </c>
      <c r="P346" s="51">
        <v>0.0</v>
      </c>
      <c r="Q346" s="106"/>
      <c r="R346" s="106"/>
      <c r="S346" s="62" t="s">
        <v>1220</v>
      </c>
      <c r="T346" s="24" t="s">
        <v>89</v>
      </c>
      <c r="U346" s="25" t="s">
        <v>1221</v>
      </c>
      <c r="V346" s="9" t="s">
        <v>29</v>
      </c>
      <c r="W346" s="53" t="str">
        <f t="shared" si="3"/>
        <v>Inativo</v>
      </c>
      <c r="X346" s="24"/>
      <c r="Y346" s="54" t="s">
        <v>95</v>
      </c>
      <c r="Z346" s="56"/>
      <c r="AA346" s="56"/>
      <c r="AB346" s="56"/>
      <c r="AC346" s="56"/>
      <c r="AD346" s="56">
        <v>0.0</v>
      </c>
      <c r="AE346" s="56">
        <v>0.0</v>
      </c>
      <c r="AF346" s="56">
        <v>0.0</v>
      </c>
      <c r="AG346" s="56">
        <v>0.0</v>
      </c>
      <c r="AH346" s="56">
        <v>0.0</v>
      </c>
      <c r="AI346" s="56">
        <v>0.0</v>
      </c>
      <c r="AJ346" s="56">
        <v>0.0</v>
      </c>
      <c r="AK346" s="56">
        <v>0.0</v>
      </c>
      <c r="AL346" s="56">
        <v>0.0</v>
      </c>
      <c r="AM346" s="56">
        <v>0.0</v>
      </c>
      <c r="AN346" s="56">
        <v>0.0</v>
      </c>
      <c r="AO346" s="56">
        <v>0.0</v>
      </c>
      <c r="AP346" s="56">
        <v>0.0</v>
      </c>
      <c r="AQ346" s="55">
        <v>0.0</v>
      </c>
      <c r="AR346" s="55">
        <v>0.0</v>
      </c>
      <c r="AS346" s="55">
        <v>0.0</v>
      </c>
      <c r="AT346" s="55" t="str">
        <f t="array" ref="AT346">XLOOKUP(C346,'PL TOTAL D0'!A:A,'PL TOTAL D0'!C:C,"")</f>
        <v/>
      </c>
    </row>
    <row r="347" ht="15.75" customHeight="1">
      <c r="A347" s="44" t="s">
        <v>36</v>
      </c>
      <c r="B347" s="63" t="s">
        <v>1222</v>
      </c>
      <c r="C347" s="46" t="s">
        <v>1223</v>
      </c>
      <c r="D347" s="47" t="s">
        <v>18</v>
      </c>
      <c r="E347" s="24" t="s">
        <v>145</v>
      </c>
      <c r="F347" s="47" t="s">
        <v>171</v>
      </c>
      <c r="G347" s="47" t="str">
        <f t="shared" si="1"/>
        <v>Breno</v>
      </c>
      <c r="H347" s="48" t="s">
        <v>88</v>
      </c>
      <c r="I347" s="48" t="s">
        <v>24</v>
      </c>
      <c r="J347" s="47" t="str">
        <f t="shared" si="2"/>
        <v>Não</v>
      </c>
      <c r="K347" s="49">
        <v>45028.0</v>
      </c>
      <c r="L347" s="24"/>
      <c r="M347" s="24" t="s">
        <v>111</v>
      </c>
      <c r="N347" s="50">
        <v>0.015</v>
      </c>
      <c r="O347" s="47" t="s">
        <v>46</v>
      </c>
      <c r="P347" s="51">
        <v>0.1</v>
      </c>
      <c r="Q347" s="52"/>
      <c r="R347" s="52"/>
      <c r="S347" s="52"/>
      <c r="T347" s="24" t="s">
        <v>89</v>
      </c>
      <c r="U347" s="25" t="s">
        <v>1224</v>
      </c>
      <c r="V347" s="9" t="s">
        <v>149</v>
      </c>
      <c r="W347" s="53" t="str">
        <f t="shared" si="3"/>
        <v>Ativo</v>
      </c>
      <c r="X347" s="24"/>
      <c r="Y347" s="54" t="s">
        <v>95</v>
      </c>
      <c r="Z347" s="56"/>
      <c r="AA347" s="56"/>
      <c r="AB347" s="56"/>
      <c r="AC347" s="56"/>
      <c r="AD347" s="56"/>
      <c r="AE347" s="56"/>
      <c r="AF347" s="56">
        <v>0.0</v>
      </c>
      <c r="AG347" s="56">
        <v>546983.7</v>
      </c>
      <c r="AH347" s="56">
        <v>569712.92</v>
      </c>
      <c r="AI347" s="56">
        <v>599690.17</v>
      </c>
      <c r="AJ347" s="56">
        <v>641342.23</v>
      </c>
      <c r="AK347" s="56">
        <v>637489.29</v>
      </c>
      <c r="AL347" s="56">
        <v>661262.77</v>
      </c>
      <c r="AM347" s="56">
        <v>665519.79</v>
      </c>
      <c r="AN347" s="56">
        <v>680406.48</v>
      </c>
      <c r="AO347" s="56">
        <v>728909.45</v>
      </c>
      <c r="AP347" s="56">
        <v>718767.34</v>
      </c>
      <c r="AQ347" s="55">
        <v>723223.94</v>
      </c>
      <c r="AR347" s="55">
        <v>731594.67</v>
      </c>
      <c r="AS347" s="55">
        <v>723448.31</v>
      </c>
      <c r="AT347" s="55">
        <f t="array" ref="AT347">XLOOKUP(C347,'PL TOTAL D0'!A:A,'PL TOTAL D0'!C:C,"")</f>
        <v>739489.2</v>
      </c>
    </row>
    <row r="348" ht="15.75" customHeight="1">
      <c r="A348" s="44" t="s">
        <v>36</v>
      </c>
      <c r="B348" s="96" t="s">
        <v>1225</v>
      </c>
      <c r="C348" s="46" t="s">
        <v>1226</v>
      </c>
      <c r="D348" s="47" t="s">
        <v>18</v>
      </c>
      <c r="E348" s="24" t="s">
        <v>19</v>
      </c>
      <c r="F348" s="47" t="s">
        <v>20</v>
      </c>
      <c r="G348" s="47" t="str">
        <f t="shared" si="1"/>
        <v>Augusto</v>
      </c>
      <c r="H348" s="48" t="s">
        <v>88</v>
      </c>
      <c r="I348" s="48" t="s">
        <v>24</v>
      </c>
      <c r="J348" s="47" t="str">
        <f t="shared" si="2"/>
        <v>Sim</v>
      </c>
      <c r="K348" s="49">
        <v>45209.0</v>
      </c>
      <c r="L348" s="24"/>
      <c r="M348" s="24" t="s">
        <v>60</v>
      </c>
      <c r="N348" s="50">
        <v>0.012</v>
      </c>
      <c r="O348" s="47" t="s">
        <v>24</v>
      </c>
      <c r="P348" s="51">
        <v>0.0</v>
      </c>
      <c r="Q348" s="114" t="s">
        <v>1227</v>
      </c>
      <c r="R348" s="52"/>
      <c r="S348" s="52"/>
      <c r="T348" s="24" t="s">
        <v>89</v>
      </c>
      <c r="U348" s="25" t="s">
        <v>1228</v>
      </c>
      <c r="V348" s="9" t="s">
        <v>19</v>
      </c>
      <c r="W348" s="53" t="str">
        <f t="shared" si="3"/>
        <v>Ativo</v>
      </c>
      <c r="X348" s="24"/>
      <c r="Y348" s="54" t="s">
        <v>95</v>
      </c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>
        <v>0.0</v>
      </c>
      <c r="AM348" s="56">
        <v>398364.46</v>
      </c>
      <c r="AN348" s="56">
        <v>401238.27</v>
      </c>
      <c r="AO348" s="56">
        <v>404093.6</v>
      </c>
      <c r="AP348" s="56">
        <v>407558.7</v>
      </c>
      <c r="AQ348" s="55">
        <v>66022.77</v>
      </c>
      <c r="AR348" s="55">
        <v>66386.28</v>
      </c>
      <c r="AS348" s="55">
        <v>66844.74</v>
      </c>
      <c r="AT348" s="55">
        <f t="array" ref="AT348">XLOOKUP(C348,'PL TOTAL D0'!A:A,'PL TOTAL D0'!C:C,"")</f>
        <v>67085.5</v>
      </c>
    </row>
    <row r="349" ht="15.75" customHeight="1">
      <c r="A349" s="44" t="s">
        <v>36</v>
      </c>
      <c r="B349" s="57" t="s">
        <v>1229</v>
      </c>
      <c r="C349" s="46" t="s">
        <v>1230</v>
      </c>
      <c r="D349" s="47" t="s">
        <v>18</v>
      </c>
      <c r="E349" s="24" t="s">
        <v>29</v>
      </c>
      <c r="F349" s="47" t="s">
        <v>137</v>
      </c>
      <c r="G349" s="47" t="str">
        <f t="shared" si="1"/>
        <v>Augusto</v>
      </c>
      <c r="H349" s="48" t="s">
        <v>88</v>
      </c>
      <c r="I349" s="48" t="s">
        <v>24</v>
      </c>
      <c r="J349" s="47" t="str">
        <f>IF(#REF!=0,"Não","Sim")</f>
        <v>#REF!</v>
      </c>
      <c r="K349" s="49">
        <v>44971.0</v>
      </c>
      <c r="L349" s="24"/>
      <c r="M349" s="24" t="s">
        <v>60</v>
      </c>
      <c r="N349" s="50">
        <v>0.007</v>
      </c>
      <c r="O349" s="47" t="s">
        <v>24</v>
      </c>
      <c r="P349" s="51">
        <v>0.0</v>
      </c>
      <c r="Q349" s="76" t="s">
        <v>1231</v>
      </c>
      <c r="R349" s="183"/>
      <c r="S349" s="75"/>
      <c r="T349" s="24" t="s">
        <v>89</v>
      </c>
      <c r="U349" s="25" t="s">
        <v>1232</v>
      </c>
      <c r="V349" s="9" t="s">
        <v>29</v>
      </c>
      <c r="W349" s="53" t="str">
        <f t="shared" si="3"/>
        <v>Ativo</v>
      </c>
      <c r="X349" s="24"/>
      <c r="Y349" s="54" t="s">
        <v>95</v>
      </c>
      <c r="Z349" s="56"/>
      <c r="AA349" s="56"/>
      <c r="AB349" s="56"/>
      <c r="AC349" s="56"/>
      <c r="AD349" s="56">
        <v>0.0</v>
      </c>
      <c r="AE349" s="56">
        <v>1110727.78</v>
      </c>
      <c r="AF349" s="56">
        <v>2743133.96</v>
      </c>
      <c r="AG349" s="56">
        <v>2763862.97</v>
      </c>
      <c r="AH349" s="56">
        <v>2795420.34</v>
      </c>
      <c r="AI349" s="56">
        <v>3088831.62</v>
      </c>
      <c r="AJ349" s="56">
        <v>3118395.57</v>
      </c>
      <c r="AK349" s="56">
        <v>3151164.23</v>
      </c>
      <c r="AL349" s="56">
        <v>3126195.15</v>
      </c>
      <c r="AM349" s="56">
        <v>3155608.43</v>
      </c>
      <c r="AN349" s="56">
        <v>3211508.29</v>
      </c>
      <c r="AO349" s="56">
        <v>3238270.45</v>
      </c>
      <c r="AP349" s="56">
        <v>3390746.18</v>
      </c>
      <c r="AQ349" s="55">
        <v>23394.6</v>
      </c>
      <c r="AR349" s="55">
        <v>23577.54</v>
      </c>
      <c r="AS349" s="55">
        <v>23611.7</v>
      </c>
      <c r="AT349" s="55">
        <f t="array" ref="AT349">XLOOKUP(C349,'PL TOTAL D0'!A:A,'PL TOTAL D0'!C:C,"")</f>
        <v>23713.53</v>
      </c>
    </row>
    <row r="350" ht="15.75" customHeight="1">
      <c r="A350" s="44" t="s">
        <v>36</v>
      </c>
      <c r="B350" s="57" t="s">
        <v>1229</v>
      </c>
      <c r="C350" s="46" t="s">
        <v>1233</v>
      </c>
      <c r="D350" s="47" t="s">
        <v>18</v>
      </c>
      <c r="E350" s="24" t="s">
        <v>29</v>
      </c>
      <c r="F350" s="47" t="s">
        <v>137</v>
      </c>
      <c r="G350" s="47" t="str">
        <f t="shared" si="1"/>
        <v>#N/A</v>
      </c>
      <c r="H350" s="53" t="s">
        <v>116</v>
      </c>
      <c r="I350" s="48" t="s">
        <v>161</v>
      </c>
      <c r="J350" s="47" t="str">
        <f t="shared" ref="J350:J575" si="4">IF(Q350=0,"Não","Sim")</f>
        <v>Não</v>
      </c>
      <c r="K350" s="49">
        <v>45163.0</v>
      </c>
      <c r="L350" s="64"/>
      <c r="M350" s="24" t="s">
        <v>162</v>
      </c>
      <c r="N350" s="50">
        <v>0.025</v>
      </c>
      <c r="O350" s="47" t="s">
        <v>163</v>
      </c>
      <c r="P350" s="51">
        <v>0.2</v>
      </c>
      <c r="Q350" s="52"/>
      <c r="R350" s="52"/>
      <c r="S350" s="52"/>
      <c r="T350" s="24" t="s">
        <v>89</v>
      </c>
      <c r="U350" s="25" t="s">
        <v>1232</v>
      </c>
      <c r="V350" s="9" t="s">
        <v>29</v>
      </c>
      <c r="W350" s="53" t="str">
        <f t="shared" si="3"/>
        <v>Inativo</v>
      </c>
      <c r="X350" s="24"/>
      <c r="Y350" s="54" t="s">
        <v>95</v>
      </c>
      <c r="Z350" s="56"/>
      <c r="AA350" s="56"/>
      <c r="AB350" s="56"/>
      <c r="AC350" s="56"/>
      <c r="AD350" s="56">
        <v>0.0</v>
      </c>
      <c r="AE350" s="56">
        <v>0.0</v>
      </c>
      <c r="AF350" s="56">
        <v>0.0</v>
      </c>
      <c r="AG350" s="56">
        <v>0.0</v>
      </c>
      <c r="AH350" s="56">
        <v>0.0</v>
      </c>
      <c r="AI350" s="56">
        <v>0.0</v>
      </c>
      <c r="AJ350" s="56">
        <v>0.0</v>
      </c>
      <c r="AK350" s="56">
        <v>0.0</v>
      </c>
      <c r="AL350" s="56">
        <v>0.0</v>
      </c>
      <c r="AM350" s="56">
        <v>0.0</v>
      </c>
      <c r="AN350" s="56">
        <v>0.0</v>
      </c>
      <c r="AO350" s="56">
        <v>0.0</v>
      </c>
      <c r="AP350" s="56">
        <v>0.0</v>
      </c>
      <c r="AQ350" s="55">
        <v>0.0</v>
      </c>
      <c r="AR350" s="55">
        <v>0.0</v>
      </c>
      <c r="AS350" s="55">
        <v>0.0</v>
      </c>
      <c r="AT350" s="55" t="str">
        <f t="array" ref="AT350">XLOOKUP(C350,'PL TOTAL D0'!A:A,'PL TOTAL D0'!C:C,"")</f>
        <v/>
      </c>
    </row>
    <row r="351" ht="15.75" customHeight="1">
      <c r="A351" s="44" t="s">
        <v>36</v>
      </c>
      <c r="B351" s="68" t="s">
        <v>1234</v>
      </c>
      <c r="C351" s="97" t="s">
        <v>1235</v>
      </c>
      <c r="D351" s="47" t="s">
        <v>18</v>
      </c>
      <c r="E351" s="24" t="s">
        <v>145</v>
      </c>
      <c r="F351" s="47" t="s">
        <v>146</v>
      </c>
      <c r="G351" s="47" t="str">
        <f t="shared" si="1"/>
        <v>Breno</v>
      </c>
      <c r="H351" s="48" t="s">
        <v>88</v>
      </c>
      <c r="I351" s="48" t="s">
        <v>24</v>
      </c>
      <c r="J351" s="47" t="str">
        <f t="shared" si="4"/>
        <v>Não</v>
      </c>
      <c r="K351" s="49">
        <v>45230.0</v>
      </c>
      <c r="L351" s="24"/>
      <c r="M351" s="24" t="s">
        <v>60</v>
      </c>
      <c r="N351" s="50">
        <v>0.012</v>
      </c>
      <c r="O351" s="47" t="s">
        <v>24</v>
      </c>
      <c r="P351" s="51">
        <v>0.0</v>
      </c>
      <c r="Q351" s="65"/>
      <c r="R351" s="75"/>
      <c r="S351" s="176" t="s">
        <v>1236</v>
      </c>
      <c r="T351" s="24" t="s">
        <v>89</v>
      </c>
      <c r="U351" s="25" t="s">
        <v>1237</v>
      </c>
      <c r="V351" s="9" t="s">
        <v>149</v>
      </c>
      <c r="W351" s="53" t="str">
        <f t="shared" si="3"/>
        <v>Ativo</v>
      </c>
      <c r="X351" s="24"/>
      <c r="Y351" s="54" t="s">
        <v>91</v>
      </c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>
        <v>0.0</v>
      </c>
      <c r="AN351" s="56">
        <v>752677.66</v>
      </c>
      <c r="AO351" s="56">
        <v>758454.81</v>
      </c>
      <c r="AP351" s="56">
        <v>765519.19</v>
      </c>
      <c r="AQ351" s="55">
        <v>771665.74</v>
      </c>
      <c r="AR351" s="55">
        <v>778613.49</v>
      </c>
      <c r="AS351" s="55">
        <v>785016.41</v>
      </c>
      <c r="AT351" s="55">
        <f t="array" ref="AT351">XLOOKUP(C351,'PL TOTAL D0'!A:A,'PL TOTAL D0'!C:C,"")</f>
        <v>787925.4</v>
      </c>
    </row>
    <row r="352" ht="15.75" customHeight="1">
      <c r="A352" s="6" t="s">
        <v>36</v>
      </c>
      <c r="B352" s="6" t="s">
        <v>1238</v>
      </c>
      <c r="C352" s="21" t="s">
        <v>1239</v>
      </c>
      <c r="D352" s="9" t="s">
        <v>18</v>
      </c>
      <c r="E352" s="25" t="s">
        <v>19</v>
      </c>
      <c r="F352" s="9" t="s">
        <v>201</v>
      </c>
      <c r="G352" s="47" t="str">
        <f t="shared" si="1"/>
        <v>Augusto</v>
      </c>
      <c r="H352" s="53" t="s">
        <v>88</v>
      </c>
      <c r="I352" s="53" t="s">
        <v>24</v>
      </c>
      <c r="J352" s="47" t="str">
        <f t="shared" si="4"/>
        <v>Não</v>
      </c>
      <c r="K352" s="59">
        <v>45371.0</v>
      </c>
      <c r="L352" s="24"/>
      <c r="M352" s="25" t="s">
        <v>99</v>
      </c>
      <c r="N352" s="60">
        <v>0.0</v>
      </c>
      <c r="O352" s="9" t="s">
        <v>24</v>
      </c>
      <c r="P352" s="61">
        <v>0.0</v>
      </c>
      <c r="Q352" s="65"/>
      <c r="R352" s="75"/>
      <c r="S352" s="176"/>
      <c r="T352" s="25" t="s">
        <v>89</v>
      </c>
      <c r="U352" s="23" t="s">
        <v>1240</v>
      </c>
      <c r="V352" s="9" t="s">
        <v>19</v>
      </c>
      <c r="W352" s="53" t="str">
        <f t="shared" si="3"/>
        <v>Ativo</v>
      </c>
      <c r="X352" s="24"/>
      <c r="Y352" s="54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5"/>
      <c r="AR352" s="55">
        <v>6155.03</v>
      </c>
      <c r="AS352" s="55">
        <v>9246.64</v>
      </c>
      <c r="AT352" s="55">
        <f t="array" ref="AT352">XLOOKUP(C352,'PL TOTAL D0'!A:A,'PL TOTAL D0'!C:C,"")</f>
        <v>2001.92</v>
      </c>
    </row>
    <row r="353" ht="15.75" customHeight="1">
      <c r="A353" s="44" t="s">
        <v>36</v>
      </c>
      <c r="B353" s="63" t="s">
        <v>1241</v>
      </c>
      <c r="C353" s="46" t="s">
        <v>1242</v>
      </c>
      <c r="D353" s="47" t="s">
        <v>18</v>
      </c>
      <c r="E353" s="24" t="s">
        <v>19</v>
      </c>
      <c r="F353" s="47" t="s">
        <v>20</v>
      </c>
      <c r="G353" s="47" t="str">
        <f t="shared" si="1"/>
        <v>Augusto</v>
      </c>
      <c r="H353" s="48" t="s">
        <v>88</v>
      </c>
      <c r="I353" s="48" t="s">
        <v>24</v>
      </c>
      <c r="J353" s="47" t="str">
        <f t="shared" si="4"/>
        <v>Não</v>
      </c>
      <c r="K353" s="49">
        <v>44917.0</v>
      </c>
      <c r="L353" s="24"/>
      <c r="M353" s="24" t="s">
        <v>60</v>
      </c>
      <c r="N353" s="50">
        <v>0.012</v>
      </c>
      <c r="O353" s="47" t="s">
        <v>24</v>
      </c>
      <c r="P353" s="51">
        <v>0.0</v>
      </c>
      <c r="Q353" s="75"/>
      <c r="R353" s="75"/>
      <c r="S353" s="52" t="s">
        <v>1243</v>
      </c>
      <c r="T353" s="24" t="s">
        <v>89</v>
      </c>
      <c r="U353" s="25" t="s">
        <v>1244</v>
      </c>
      <c r="V353" s="9" t="s">
        <v>19</v>
      </c>
      <c r="W353" s="53" t="str">
        <f t="shared" si="3"/>
        <v>Ativo</v>
      </c>
      <c r="X353" s="24"/>
      <c r="Y353" s="54" t="s">
        <v>95</v>
      </c>
      <c r="Z353" s="56"/>
      <c r="AA353" s="56"/>
      <c r="AB353" s="56"/>
      <c r="AC353" s="56">
        <v>100282.58</v>
      </c>
      <c r="AD353" s="56">
        <v>101372.7</v>
      </c>
      <c r="AE353" s="56">
        <v>102150.96</v>
      </c>
      <c r="AF353" s="56">
        <v>103256.95</v>
      </c>
      <c r="AG353" s="56">
        <v>104029.31</v>
      </c>
      <c r="AH353" s="56">
        <v>105096.22</v>
      </c>
      <c r="AI353" s="56">
        <v>64890.58</v>
      </c>
      <c r="AJ353" s="56">
        <v>65383.65</v>
      </c>
      <c r="AK353" s="56">
        <v>65991.55</v>
      </c>
      <c r="AL353" s="56">
        <v>66496.23</v>
      </c>
      <c r="AM353" s="56">
        <v>67044.49</v>
      </c>
      <c r="AN353" s="56">
        <v>77457.41</v>
      </c>
      <c r="AO353" s="56">
        <v>77641.71</v>
      </c>
      <c r="AP353" s="56">
        <v>78321.16</v>
      </c>
      <c r="AQ353" s="55">
        <v>78926.08</v>
      </c>
      <c r="AR353" s="55">
        <v>79591.77</v>
      </c>
      <c r="AS353" s="55">
        <v>80133.65</v>
      </c>
      <c r="AT353" s="55">
        <f t="array" ref="AT353">XLOOKUP(C353,'PL TOTAL D0'!A:A,'PL TOTAL D0'!C:C,"")</f>
        <v>80470.78</v>
      </c>
    </row>
    <row r="354" ht="15.75" customHeight="1">
      <c r="A354" s="44" t="s">
        <v>36</v>
      </c>
      <c r="B354" s="63" t="s">
        <v>1245</v>
      </c>
      <c r="C354" s="46" t="s">
        <v>1246</v>
      </c>
      <c r="D354" s="47" t="s">
        <v>18</v>
      </c>
      <c r="E354" s="24" t="s">
        <v>145</v>
      </c>
      <c r="F354" s="47" t="s">
        <v>146</v>
      </c>
      <c r="G354" s="47" t="str">
        <f t="shared" si="1"/>
        <v>Augusto</v>
      </c>
      <c r="H354" s="48" t="s">
        <v>88</v>
      </c>
      <c r="I354" s="48" t="s">
        <v>24</v>
      </c>
      <c r="J354" s="47" t="str">
        <f t="shared" si="4"/>
        <v>Não</v>
      </c>
      <c r="K354" s="49">
        <v>45027.0</v>
      </c>
      <c r="L354" s="24"/>
      <c r="M354" s="24" t="s">
        <v>162</v>
      </c>
      <c r="N354" s="50">
        <v>0.025</v>
      </c>
      <c r="O354" s="47" t="s">
        <v>163</v>
      </c>
      <c r="P354" s="51">
        <v>0.2</v>
      </c>
      <c r="Q354" s="52"/>
      <c r="R354" s="52"/>
      <c r="S354" s="52"/>
      <c r="T354" s="24" t="s">
        <v>89</v>
      </c>
      <c r="U354" s="25" t="s">
        <v>1247</v>
      </c>
      <c r="V354" s="9" t="s">
        <v>149</v>
      </c>
      <c r="W354" s="53" t="str">
        <f t="shared" si="3"/>
        <v>Ativo</v>
      </c>
      <c r="X354" s="24"/>
      <c r="Y354" s="54" t="s">
        <v>91</v>
      </c>
      <c r="Z354" s="56"/>
      <c r="AA354" s="56"/>
      <c r="AB354" s="56"/>
      <c r="AC354" s="56"/>
      <c r="AD354" s="56"/>
      <c r="AE354" s="56"/>
      <c r="AF354" s="56">
        <v>1783320.01</v>
      </c>
      <c r="AG354" s="56">
        <v>1765182.14</v>
      </c>
      <c r="AH354" s="56">
        <v>1534943.49</v>
      </c>
      <c r="AI354" s="56">
        <v>1453747.79</v>
      </c>
      <c r="AJ354" s="56">
        <v>2025074.38</v>
      </c>
      <c r="AK354" s="56">
        <v>1770431.54</v>
      </c>
      <c r="AL354" s="56">
        <v>1560491.37</v>
      </c>
      <c r="AM354" s="56">
        <v>1240433.53</v>
      </c>
      <c r="AN354" s="56">
        <v>917600.49</v>
      </c>
      <c r="AO354" s="56">
        <v>546664.05</v>
      </c>
      <c r="AP354" s="56">
        <v>166370.9</v>
      </c>
      <c r="AQ354" s="55">
        <v>5879.33</v>
      </c>
      <c r="AR354" s="55">
        <v>5744.77</v>
      </c>
      <c r="AS354" s="55">
        <v>5742.3</v>
      </c>
      <c r="AT354" s="55">
        <f t="array" ref="AT354">XLOOKUP(C354,'PL TOTAL D0'!A:A,'PL TOTAL D0'!C:C,"")</f>
        <v>5737.33</v>
      </c>
    </row>
    <row r="355" ht="15.75" customHeight="1">
      <c r="A355" s="44" t="s">
        <v>36</v>
      </c>
      <c r="B355" s="45" t="s">
        <v>1248</v>
      </c>
      <c r="C355" s="46" t="s">
        <v>1249</v>
      </c>
      <c r="D355" s="47" t="s">
        <v>86</v>
      </c>
      <c r="E355" s="24" t="s">
        <v>29</v>
      </c>
      <c r="F355" s="24" t="s">
        <v>1250</v>
      </c>
      <c r="G355" s="47" t="str">
        <f t="shared" si="1"/>
        <v>Bruno</v>
      </c>
      <c r="H355" s="48" t="s">
        <v>88</v>
      </c>
      <c r="I355" s="48" t="s">
        <v>24</v>
      </c>
      <c r="J355" s="47" t="str">
        <f t="shared" si="4"/>
        <v>Não</v>
      </c>
      <c r="K355" s="49">
        <v>45121.0</v>
      </c>
      <c r="L355" s="24"/>
      <c r="M355" s="24" t="s">
        <v>1251</v>
      </c>
      <c r="N355" s="50">
        <v>0.01</v>
      </c>
      <c r="O355" s="47" t="s">
        <v>46</v>
      </c>
      <c r="P355" s="51">
        <v>0.1</v>
      </c>
      <c r="Q355" s="52"/>
      <c r="R355" s="52"/>
      <c r="S355" s="52"/>
      <c r="T355" s="24" t="s">
        <v>89</v>
      </c>
      <c r="U355" s="25" t="s">
        <v>1252</v>
      </c>
      <c r="V355" s="9" t="s">
        <v>29</v>
      </c>
      <c r="W355" s="53" t="str">
        <f t="shared" si="3"/>
        <v>Ativo</v>
      </c>
      <c r="X355" s="24"/>
      <c r="Y355" s="54" t="s">
        <v>95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>
        <v>936984.48</v>
      </c>
      <c r="AK355" s="56">
        <v>1639182.88</v>
      </c>
      <c r="AL355" s="56">
        <v>1651362.48</v>
      </c>
      <c r="AM355" s="56">
        <v>1659459.85</v>
      </c>
      <c r="AN355" s="56">
        <v>1918493.21</v>
      </c>
      <c r="AO355" s="56">
        <v>1944601.82</v>
      </c>
      <c r="AP355" s="56">
        <v>1954335.64</v>
      </c>
      <c r="AQ355" s="55">
        <v>1992127.38</v>
      </c>
      <c r="AR355" s="55">
        <v>2007276.64</v>
      </c>
      <c r="AS355" s="55">
        <v>2016913.58</v>
      </c>
      <c r="AT355" s="55">
        <f t="array" ref="AT355">XLOOKUP(C355,'PL TOTAL D0'!A:A,'PL TOTAL D0'!C:C,"")</f>
        <v>2028819</v>
      </c>
    </row>
    <row r="356" ht="15.75" customHeight="1">
      <c r="A356" s="44" t="s">
        <v>36</v>
      </c>
      <c r="B356" s="45" t="s">
        <v>1253</v>
      </c>
      <c r="C356" s="46" t="s">
        <v>1254</v>
      </c>
      <c r="D356" s="47" t="s">
        <v>86</v>
      </c>
      <c r="E356" s="24" t="s">
        <v>29</v>
      </c>
      <c r="F356" s="47" t="s">
        <v>87</v>
      </c>
      <c r="G356" s="47" t="str">
        <f t="shared" si="1"/>
        <v>Augusto</v>
      </c>
      <c r="H356" s="48" t="s">
        <v>88</v>
      </c>
      <c r="I356" s="48" t="s">
        <v>24</v>
      </c>
      <c r="J356" s="47" t="str">
        <f t="shared" si="4"/>
        <v>Não</v>
      </c>
      <c r="K356" s="49">
        <v>45168.0</v>
      </c>
      <c r="L356" s="24"/>
      <c r="M356" s="24" t="s">
        <v>45</v>
      </c>
      <c r="N356" s="50">
        <v>0.01</v>
      </c>
      <c r="O356" s="47" t="s">
        <v>24</v>
      </c>
      <c r="P356" s="51">
        <v>0.0</v>
      </c>
      <c r="Q356" s="52"/>
      <c r="R356" s="52"/>
      <c r="S356" s="52"/>
      <c r="T356" s="24" t="s">
        <v>89</v>
      </c>
      <c r="U356" s="25" t="s">
        <v>1255</v>
      </c>
      <c r="V356" s="9" t="s">
        <v>29</v>
      </c>
      <c r="W356" s="53" t="str">
        <f t="shared" si="3"/>
        <v>Ativo</v>
      </c>
      <c r="X356" s="24"/>
      <c r="Y356" s="54" t="s">
        <v>91</v>
      </c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>
        <v>0.0</v>
      </c>
      <c r="AL356" s="56">
        <v>0.04</v>
      </c>
      <c r="AM356" s="56">
        <v>0.04</v>
      </c>
      <c r="AN356" s="56">
        <v>278931.46</v>
      </c>
      <c r="AO356" s="56">
        <v>300464.54</v>
      </c>
      <c r="AP356" s="56">
        <v>297710.46</v>
      </c>
      <c r="AQ356" s="55">
        <v>293881.77</v>
      </c>
      <c r="AR356" s="55">
        <v>265516.8</v>
      </c>
      <c r="AS356" s="55">
        <v>276597.73</v>
      </c>
      <c r="AT356" s="55">
        <f t="array" ref="AT356">XLOOKUP(C356,'PL TOTAL D0'!A:A,'PL TOTAL D0'!C:C,"")</f>
        <v>278285.7</v>
      </c>
    </row>
    <row r="357" ht="15.75" customHeight="1">
      <c r="A357" s="44" t="s">
        <v>36</v>
      </c>
      <c r="B357" s="45" t="s">
        <v>1256</v>
      </c>
      <c r="C357" s="46" t="s">
        <v>1257</v>
      </c>
      <c r="D357" s="47" t="s">
        <v>18</v>
      </c>
      <c r="E357" s="24" t="s">
        <v>145</v>
      </c>
      <c r="F357" s="47" t="s">
        <v>146</v>
      </c>
      <c r="G357" s="47" t="str">
        <f t="shared" si="1"/>
        <v>Augusto</v>
      </c>
      <c r="H357" s="48" t="s">
        <v>88</v>
      </c>
      <c r="I357" s="48" t="s">
        <v>24</v>
      </c>
      <c r="J357" s="47" t="str">
        <f t="shared" si="4"/>
        <v>Não</v>
      </c>
      <c r="K357" s="49">
        <v>44986.0</v>
      </c>
      <c r="L357" s="24"/>
      <c r="M357" s="24" t="s">
        <v>60</v>
      </c>
      <c r="N357" s="50">
        <v>0.012</v>
      </c>
      <c r="O357" s="47" t="s">
        <v>24</v>
      </c>
      <c r="P357" s="51">
        <v>0.0</v>
      </c>
      <c r="Q357" s="52"/>
      <c r="R357" s="52"/>
      <c r="S357" s="52"/>
      <c r="T357" s="24" t="s">
        <v>89</v>
      </c>
      <c r="U357" s="25" t="s">
        <v>1258</v>
      </c>
      <c r="V357" s="9" t="s">
        <v>149</v>
      </c>
      <c r="W357" s="53" t="str">
        <f t="shared" si="3"/>
        <v>Ativo</v>
      </c>
      <c r="X357" s="24"/>
      <c r="Y357" s="54" t="s">
        <v>95</v>
      </c>
      <c r="Z357" s="56"/>
      <c r="AA357" s="56"/>
      <c r="AB357" s="56"/>
      <c r="AC357" s="56"/>
      <c r="AD357" s="56"/>
      <c r="AE357" s="56">
        <v>152071.36</v>
      </c>
      <c r="AF357" s="56">
        <v>127283.37</v>
      </c>
      <c r="AG357" s="56">
        <v>128816.6</v>
      </c>
      <c r="AH357" s="56">
        <v>130817.66</v>
      </c>
      <c r="AI357" s="56">
        <v>136023.07</v>
      </c>
      <c r="AJ357" s="56">
        <v>137240.08</v>
      </c>
      <c r="AK357" s="56">
        <v>137914.67</v>
      </c>
      <c r="AL357" s="56">
        <v>138132.74</v>
      </c>
      <c r="AM357" s="56">
        <v>139024.4</v>
      </c>
      <c r="AN357" s="56">
        <v>145608.02</v>
      </c>
      <c r="AO357" s="56">
        <v>146890.58</v>
      </c>
      <c r="AP357" s="56">
        <v>147481.45</v>
      </c>
      <c r="AQ357" s="55">
        <v>148492.73</v>
      </c>
      <c r="AR357" s="55">
        <v>158703.75</v>
      </c>
      <c r="AS357" s="55">
        <v>159134.3</v>
      </c>
      <c r="AT357" s="55">
        <f t="array" ref="AT357">XLOOKUP(C357,'PL TOTAL D0'!A:A,'PL TOTAL D0'!C:C,"")</f>
        <v>169473.6</v>
      </c>
    </row>
    <row r="358" ht="15.75" customHeight="1">
      <c r="A358" s="44" t="s">
        <v>36</v>
      </c>
      <c r="B358" s="45" t="s">
        <v>1259</v>
      </c>
      <c r="C358" s="46" t="s">
        <v>1260</v>
      </c>
      <c r="D358" s="47" t="s">
        <v>18</v>
      </c>
      <c r="E358" s="24" t="s">
        <v>145</v>
      </c>
      <c r="F358" s="47" t="s">
        <v>146</v>
      </c>
      <c r="G358" s="47" t="str">
        <f t="shared" si="1"/>
        <v>Augusto</v>
      </c>
      <c r="H358" s="48" t="s">
        <v>88</v>
      </c>
      <c r="I358" s="48" t="s">
        <v>24</v>
      </c>
      <c r="J358" s="47" t="str">
        <f t="shared" si="4"/>
        <v>Não</v>
      </c>
      <c r="K358" s="49">
        <v>45000.0</v>
      </c>
      <c r="L358" s="24"/>
      <c r="M358" s="24" t="s">
        <v>162</v>
      </c>
      <c r="N358" s="50">
        <v>0.025</v>
      </c>
      <c r="O358" s="47" t="s">
        <v>163</v>
      </c>
      <c r="P358" s="51">
        <v>0.2</v>
      </c>
      <c r="Q358" s="52"/>
      <c r="R358" s="52"/>
      <c r="S358" s="52"/>
      <c r="T358" s="24" t="s">
        <v>89</v>
      </c>
      <c r="U358" s="25" t="s">
        <v>1258</v>
      </c>
      <c r="V358" s="9" t="s">
        <v>149</v>
      </c>
      <c r="W358" s="53" t="str">
        <f t="shared" si="3"/>
        <v>Ativo</v>
      </c>
      <c r="X358" s="24"/>
      <c r="Y358" s="54" t="s">
        <v>95</v>
      </c>
      <c r="Z358" s="56"/>
      <c r="AA358" s="56"/>
      <c r="AB358" s="56"/>
      <c r="AC358" s="56"/>
      <c r="AD358" s="56"/>
      <c r="AE358" s="56">
        <v>0.0</v>
      </c>
      <c r="AF358" s="56">
        <v>29418.53</v>
      </c>
      <c r="AG358" s="56">
        <v>34251.92</v>
      </c>
      <c r="AH358" s="56">
        <v>44968.78</v>
      </c>
      <c r="AI358" s="56">
        <v>78704.46</v>
      </c>
      <c r="AJ358" s="56">
        <v>97953.34</v>
      </c>
      <c r="AK358" s="56">
        <v>112828.31</v>
      </c>
      <c r="AL358" s="56">
        <v>117502.45</v>
      </c>
      <c r="AM358" s="56">
        <v>117141.19</v>
      </c>
      <c r="AN358" s="56">
        <v>125890.79</v>
      </c>
      <c r="AO358" s="56">
        <v>131903.05</v>
      </c>
      <c r="AP358" s="56">
        <v>122782.8</v>
      </c>
      <c r="AQ358" s="55">
        <v>124471.72</v>
      </c>
      <c r="AR358" s="55">
        <v>136394.09</v>
      </c>
      <c r="AS358" s="55">
        <v>130721.36</v>
      </c>
      <c r="AT358" s="55">
        <f t="array" ref="AT358">XLOOKUP(C358,'PL TOTAL D0'!A:A,'PL TOTAL D0'!C:C,"")</f>
        <v>133199.8</v>
      </c>
    </row>
    <row r="359" ht="15.75" customHeight="1">
      <c r="A359" s="6" t="s">
        <v>36</v>
      </c>
      <c r="B359" s="45" t="s">
        <v>1261</v>
      </c>
      <c r="C359" s="58" t="s">
        <v>1262</v>
      </c>
      <c r="D359" s="9" t="s">
        <v>18</v>
      </c>
      <c r="E359" s="25" t="s">
        <v>19</v>
      </c>
      <c r="F359" s="9" t="s">
        <v>201</v>
      </c>
      <c r="G359" s="47" t="str">
        <f t="shared" si="1"/>
        <v>#N/A</v>
      </c>
      <c r="H359" s="53" t="s">
        <v>116</v>
      </c>
      <c r="I359" s="53" t="s">
        <v>130</v>
      </c>
      <c r="J359" s="47" t="str">
        <f t="shared" si="4"/>
        <v>Não</v>
      </c>
      <c r="K359" s="59">
        <v>45306.0</v>
      </c>
      <c r="L359" s="24"/>
      <c r="M359" s="25" t="s">
        <v>60</v>
      </c>
      <c r="N359" s="60">
        <v>0.012</v>
      </c>
      <c r="O359" s="9" t="s">
        <v>24</v>
      </c>
      <c r="P359" s="61">
        <v>0.0</v>
      </c>
      <c r="Q359" s="79"/>
      <c r="R359" s="52"/>
      <c r="S359" s="52"/>
      <c r="T359" s="25" t="s">
        <v>89</v>
      </c>
      <c r="U359" s="25" t="s">
        <v>1263</v>
      </c>
      <c r="V359" s="9" t="s">
        <v>19</v>
      </c>
      <c r="W359" s="53" t="str">
        <f t="shared" si="3"/>
        <v>Ativo</v>
      </c>
      <c r="X359" s="24"/>
      <c r="Y359" s="54" t="s">
        <v>95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>
        <v>0.0</v>
      </c>
      <c r="AQ359" s="55">
        <v>0.0</v>
      </c>
      <c r="AR359" s="55">
        <v>0.0</v>
      </c>
      <c r="AS359" s="55">
        <v>0.0</v>
      </c>
      <c r="AT359" s="55" t="str">
        <f t="array" ref="AT359">XLOOKUP(C359,'PL TOTAL D0'!A:A,'PL TOTAL D0'!C:C,"")</f>
        <v/>
      </c>
    </row>
    <row r="360" ht="15.75" customHeight="1">
      <c r="A360" s="6" t="s">
        <v>36</v>
      </c>
      <c r="B360" s="66" t="s">
        <v>1264</v>
      </c>
      <c r="C360" s="67" t="s">
        <v>1265</v>
      </c>
      <c r="D360" s="9" t="s">
        <v>86</v>
      </c>
      <c r="E360" s="25" t="s">
        <v>29</v>
      </c>
      <c r="F360" s="9" t="s">
        <v>626</v>
      </c>
      <c r="G360" s="47" t="str">
        <f t="shared" si="1"/>
        <v>Augusto</v>
      </c>
      <c r="H360" s="53" t="s">
        <v>88</v>
      </c>
      <c r="I360" s="53" t="s">
        <v>24</v>
      </c>
      <c r="J360" s="47" t="str">
        <f t="shared" si="4"/>
        <v>Não</v>
      </c>
      <c r="K360" s="59">
        <v>45419.0</v>
      </c>
      <c r="L360" s="24"/>
      <c r="M360" s="25" t="s">
        <v>60</v>
      </c>
      <c r="N360" s="60">
        <v>0.01</v>
      </c>
      <c r="O360" s="9" t="s">
        <v>24</v>
      </c>
      <c r="P360" s="61">
        <v>0.0</v>
      </c>
      <c r="Q360" s="79"/>
      <c r="R360" s="52"/>
      <c r="S360" s="52"/>
      <c r="T360" s="25" t="s">
        <v>89</v>
      </c>
      <c r="U360" s="25" t="s">
        <v>1266</v>
      </c>
      <c r="V360" s="9" t="s">
        <v>29</v>
      </c>
      <c r="W360" s="53" t="str">
        <f t="shared" si="3"/>
        <v>Ativo</v>
      </c>
      <c r="X360" s="25" t="s">
        <v>48</v>
      </c>
      <c r="Y360" s="54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5"/>
      <c r="AR360" s="55"/>
      <c r="AS360" s="55"/>
      <c r="AT360" s="55">
        <f t="array" ref="AT360">XLOOKUP(C360,'PL TOTAL D0'!A:A,'PL TOTAL D0'!C:C,"")</f>
        <v>200715.7</v>
      </c>
    </row>
    <row r="361" ht="15.75" customHeight="1">
      <c r="A361" s="44" t="s">
        <v>36</v>
      </c>
      <c r="B361" s="45" t="s">
        <v>1267</v>
      </c>
      <c r="C361" s="46" t="s">
        <v>1268</v>
      </c>
      <c r="D361" s="47" t="s">
        <v>18</v>
      </c>
      <c r="E361" s="24" t="s">
        <v>19</v>
      </c>
      <c r="F361" s="47" t="s">
        <v>20</v>
      </c>
      <c r="G361" s="47" t="str">
        <f t="shared" si="1"/>
        <v>#N/A</v>
      </c>
      <c r="H361" s="53" t="s">
        <v>157</v>
      </c>
      <c r="I361" s="48" t="s">
        <v>24</v>
      </c>
      <c r="J361" s="47" t="str">
        <f t="shared" si="4"/>
        <v>Não</v>
      </c>
      <c r="K361" s="49">
        <v>44913.0</v>
      </c>
      <c r="L361" s="110">
        <v>45293.0</v>
      </c>
      <c r="M361" s="24" t="s">
        <v>111</v>
      </c>
      <c r="N361" s="50">
        <v>0.015</v>
      </c>
      <c r="O361" s="47" t="s">
        <v>46</v>
      </c>
      <c r="P361" s="51">
        <v>0.1</v>
      </c>
      <c r="Q361" s="52"/>
      <c r="R361" s="52"/>
      <c r="S361" s="52"/>
      <c r="T361" s="24" t="s">
        <v>89</v>
      </c>
      <c r="U361" s="25" t="s">
        <v>1269</v>
      </c>
      <c r="V361" s="9" t="s">
        <v>715</v>
      </c>
      <c r="W361" s="53" t="str">
        <f t="shared" si="3"/>
        <v>Encerrado</v>
      </c>
      <c r="X361" s="24"/>
      <c r="Y361" s="54"/>
      <c r="Z361" s="56"/>
      <c r="AA361" s="56"/>
      <c r="AB361" s="56"/>
      <c r="AC361" s="56"/>
      <c r="AD361" s="56">
        <v>322525.9</v>
      </c>
      <c r="AE361" s="56">
        <v>322404.64</v>
      </c>
      <c r="AF361" s="56">
        <v>322729.09</v>
      </c>
      <c r="AG361" s="56">
        <v>323308.41</v>
      </c>
      <c r="AH361" s="56">
        <v>326697.58</v>
      </c>
      <c r="AI361" s="56">
        <v>328100.56</v>
      </c>
      <c r="AJ361" s="56">
        <v>330975.28</v>
      </c>
      <c r="AK361" s="56">
        <v>334242.33</v>
      </c>
      <c r="AL361" s="56">
        <v>336999.22</v>
      </c>
      <c r="AM361" s="56">
        <v>340099.71</v>
      </c>
      <c r="AN361" s="56">
        <v>342703.83</v>
      </c>
      <c r="AO361" s="56">
        <v>345237.77</v>
      </c>
      <c r="AP361" s="56">
        <v>0.0</v>
      </c>
      <c r="AQ361" s="55">
        <v>0.0</v>
      </c>
      <c r="AR361" s="55">
        <v>0.0</v>
      </c>
      <c r="AS361" s="55">
        <v>0.0</v>
      </c>
      <c r="AT361" s="55" t="str">
        <f t="array" ref="AT361">XLOOKUP(C361,'PL TOTAL D0'!A:A,'PL TOTAL D0'!C:C,"")</f>
        <v/>
      </c>
    </row>
    <row r="362" ht="15.75" customHeight="1">
      <c r="A362" s="44" t="s">
        <v>36</v>
      </c>
      <c r="B362" s="63" t="s">
        <v>1270</v>
      </c>
      <c r="C362" s="46" t="s">
        <v>1271</v>
      </c>
      <c r="D362" s="47" t="s">
        <v>86</v>
      </c>
      <c r="E362" s="24" t="s">
        <v>29</v>
      </c>
      <c r="F362" s="47" t="s">
        <v>1272</v>
      </c>
      <c r="G362" s="47" t="str">
        <f t="shared" si="1"/>
        <v>Augusto</v>
      </c>
      <c r="H362" s="48" t="s">
        <v>88</v>
      </c>
      <c r="I362" s="48" t="s">
        <v>24</v>
      </c>
      <c r="J362" s="47" t="str">
        <f t="shared" si="4"/>
        <v>Não</v>
      </c>
      <c r="K362" s="49">
        <v>45009.0</v>
      </c>
      <c r="L362" s="24"/>
      <c r="M362" s="24" t="s">
        <v>111</v>
      </c>
      <c r="N362" s="50">
        <v>0.015</v>
      </c>
      <c r="O362" s="47" t="s">
        <v>46</v>
      </c>
      <c r="P362" s="51">
        <v>0.1</v>
      </c>
      <c r="Q362" s="52"/>
      <c r="R362" s="52"/>
      <c r="S362" s="52"/>
      <c r="T362" s="24" t="s">
        <v>89</v>
      </c>
      <c r="U362" s="25" t="s">
        <v>1273</v>
      </c>
      <c r="V362" s="9" t="s">
        <v>29</v>
      </c>
      <c r="W362" s="53" t="str">
        <f t="shared" si="3"/>
        <v>Ativo</v>
      </c>
      <c r="X362" s="24"/>
      <c r="Y362" s="54" t="s">
        <v>95</v>
      </c>
      <c r="Z362" s="56"/>
      <c r="AA362" s="56"/>
      <c r="AB362" s="56"/>
      <c r="AC362" s="56"/>
      <c r="AD362" s="56"/>
      <c r="AE362" s="56"/>
      <c r="AF362" s="56">
        <v>246513.1</v>
      </c>
      <c r="AG362" s="56">
        <v>247654.61</v>
      </c>
      <c r="AH362" s="56">
        <v>302958.03</v>
      </c>
      <c r="AI362" s="56">
        <v>308792.89</v>
      </c>
      <c r="AJ362" s="56">
        <v>312544.0</v>
      </c>
      <c r="AK362" s="56">
        <v>312075.07</v>
      </c>
      <c r="AL362" s="56">
        <v>313703.35</v>
      </c>
      <c r="AM362" s="56">
        <v>313206.47</v>
      </c>
      <c r="AN362" s="56">
        <v>319545.01</v>
      </c>
      <c r="AO362" s="56">
        <v>325700.31</v>
      </c>
      <c r="AP362" s="56">
        <v>320472.12</v>
      </c>
      <c r="AQ362" s="55">
        <v>323390.18</v>
      </c>
      <c r="AR362" s="55">
        <v>325439.29</v>
      </c>
      <c r="AS362" s="55">
        <v>322592.07</v>
      </c>
      <c r="AT362" s="55">
        <f t="array" ref="AT362">XLOOKUP(C362,'PL TOTAL D0'!A:A,'PL TOTAL D0'!C:C,"")</f>
        <v>325245.8</v>
      </c>
    </row>
    <row r="363" ht="15.75" customHeight="1">
      <c r="A363" s="44" t="s">
        <v>36</v>
      </c>
      <c r="B363" s="96" t="s">
        <v>1274</v>
      </c>
      <c r="C363" s="46" t="s">
        <v>1275</v>
      </c>
      <c r="D363" s="47" t="s">
        <v>18</v>
      </c>
      <c r="E363" s="24" t="s">
        <v>19</v>
      </c>
      <c r="F363" s="47" t="s">
        <v>20</v>
      </c>
      <c r="G363" s="47" t="str">
        <f t="shared" si="1"/>
        <v>Augusto</v>
      </c>
      <c r="H363" s="53" t="s">
        <v>88</v>
      </c>
      <c r="I363" s="53" t="s">
        <v>24</v>
      </c>
      <c r="J363" s="47" t="str">
        <f t="shared" si="4"/>
        <v>Não</v>
      </c>
      <c r="K363" s="49">
        <v>45225.0</v>
      </c>
      <c r="L363" s="24"/>
      <c r="M363" s="24" t="s">
        <v>60</v>
      </c>
      <c r="N363" s="50">
        <v>0.012</v>
      </c>
      <c r="O363" s="47" t="s">
        <v>24</v>
      </c>
      <c r="P363" s="51">
        <v>0.0</v>
      </c>
      <c r="Q363" s="15"/>
      <c r="R363" s="52"/>
      <c r="S363" s="52"/>
      <c r="T363" s="24" t="s">
        <v>89</v>
      </c>
      <c r="U363" s="25" t="s">
        <v>1276</v>
      </c>
      <c r="V363" s="9" t="s">
        <v>19</v>
      </c>
      <c r="W363" s="53" t="str">
        <f t="shared" si="3"/>
        <v>Ativo</v>
      </c>
      <c r="X363" s="24"/>
      <c r="Y363" s="54" t="s">
        <v>95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>
        <v>0.0</v>
      </c>
      <c r="AN363" s="56">
        <v>0.0</v>
      </c>
      <c r="AO363" s="56">
        <v>0.0</v>
      </c>
      <c r="AP363" s="56">
        <v>5000.0</v>
      </c>
      <c r="AQ363" s="55">
        <v>21451.35</v>
      </c>
      <c r="AR363" s="55">
        <v>26596.87</v>
      </c>
      <c r="AS363" s="55">
        <v>111879.65</v>
      </c>
      <c r="AT363" s="55">
        <f t="array" ref="AT363">XLOOKUP(C363,'PL TOTAL D0'!A:A,'PL TOTAL D0'!C:C,"")</f>
        <v>112494.9</v>
      </c>
    </row>
    <row r="364" ht="15.75" customHeight="1">
      <c r="A364" s="44" t="s">
        <v>36</v>
      </c>
      <c r="B364" s="45" t="s">
        <v>1277</v>
      </c>
      <c r="C364" s="46" t="s">
        <v>1278</v>
      </c>
      <c r="D364" s="47" t="s">
        <v>18</v>
      </c>
      <c r="E364" s="24" t="s">
        <v>19</v>
      </c>
      <c r="F364" s="47" t="s">
        <v>230</v>
      </c>
      <c r="G364" s="47" t="str">
        <f t="shared" si="1"/>
        <v>Augusto</v>
      </c>
      <c r="H364" s="48" t="s">
        <v>88</v>
      </c>
      <c r="I364" s="53" t="s">
        <v>24</v>
      </c>
      <c r="J364" s="47" t="str">
        <f t="shared" si="4"/>
        <v>Não</v>
      </c>
      <c r="K364" s="49">
        <v>45265.0</v>
      </c>
      <c r="L364" s="24"/>
      <c r="M364" s="24" t="s">
        <v>60</v>
      </c>
      <c r="N364" s="50">
        <v>0.012</v>
      </c>
      <c r="O364" s="47" t="s">
        <v>24</v>
      </c>
      <c r="P364" s="51">
        <v>0.0</v>
      </c>
      <c r="Q364" s="96"/>
      <c r="R364" s="52"/>
      <c r="S364" s="52"/>
      <c r="T364" s="24" t="s">
        <v>89</v>
      </c>
      <c r="U364" s="25" t="s">
        <v>1279</v>
      </c>
      <c r="V364" s="9" t="s">
        <v>19</v>
      </c>
      <c r="W364" s="53" t="str">
        <f t="shared" si="3"/>
        <v>Ativo</v>
      </c>
      <c r="X364" s="24"/>
      <c r="Y364" s="54" t="s">
        <v>95</v>
      </c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>
        <v>0.0</v>
      </c>
      <c r="AO364" s="56">
        <v>233048.01</v>
      </c>
      <c r="AP364" s="56">
        <v>226519.07</v>
      </c>
      <c r="AQ364" s="55">
        <v>214037.77</v>
      </c>
      <c r="AR364" s="55">
        <v>154923.63</v>
      </c>
      <c r="AS364" s="55">
        <v>135420.97</v>
      </c>
      <c r="AT364" s="55">
        <f t="array" ref="AT364">XLOOKUP(C364,'PL TOTAL D0'!A:A,'PL TOTAL D0'!C:C,"")</f>
        <v>115309.9</v>
      </c>
    </row>
    <row r="365" ht="15.75" customHeight="1">
      <c r="A365" s="44" t="s">
        <v>36</v>
      </c>
      <c r="B365" s="45" t="s">
        <v>1280</v>
      </c>
      <c r="C365" s="46" t="s">
        <v>1281</v>
      </c>
      <c r="D365" s="47" t="s">
        <v>86</v>
      </c>
      <c r="E365" s="24" t="s">
        <v>29</v>
      </c>
      <c r="F365" s="47" t="s">
        <v>741</v>
      </c>
      <c r="G365" s="47" t="str">
        <f t="shared" si="1"/>
        <v>#N/A</v>
      </c>
      <c r="H365" s="48" t="s">
        <v>116</v>
      </c>
      <c r="I365" s="48" t="s">
        <v>161</v>
      </c>
      <c r="J365" s="47" t="str">
        <f t="shared" si="4"/>
        <v>Não</v>
      </c>
      <c r="K365" s="49">
        <v>45098.0</v>
      </c>
      <c r="L365" s="64"/>
      <c r="M365" s="24" t="s">
        <v>118</v>
      </c>
      <c r="N365" s="50">
        <v>0.002</v>
      </c>
      <c r="O365" s="47" t="s">
        <v>163</v>
      </c>
      <c r="P365" s="51">
        <v>0.2</v>
      </c>
      <c r="Q365" s="52"/>
      <c r="R365" s="52"/>
      <c r="S365" s="52"/>
      <c r="T365" s="24" t="s">
        <v>89</v>
      </c>
      <c r="U365" s="25" t="s">
        <v>1282</v>
      </c>
      <c r="V365" s="9" t="s">
        <v>29</v>
      </c>
      <c r="W365" s="53" t="str">
        <f t="shared" si="3"/>
        <v>Ativo</v>
      </c>
      <c r="X365" s="24"/>
      <c r="Y365" s="54" t="s">
        <v>1151</v>
      </c>
      <c r="Z365" s="56"/>
      <c r="AA365" s="56"/>
      <c r="AB365" s="56"/>
      <c r="AC365" s="56"/>
      <c r="AD365" s="56"/>
      <c r="AE365" s="56"/>
      <c r="AF365" s="56"/>
      <c r="AG365" s="56">
        <v>0.0</v>
      </c>
      <c r="AH365" s="56">
        <v>0.0</v>
      </c>
      <c r="AI365" s="56">
        <v>5730277.89</v>
      </c>
      <c r="AJ365" s="56">
        <v>9062219.04</v>
      </c>
      <c r="AK365" s="56">
        <v>9332207.65</v>
      </c>
      <c r="AL365" s="56">
        <v>0.0</v>
      </c>
      <c r="AM365" s="56">
        <v>0.0</v>
      </c>
      <c r="AN365" s="56">
        <v>0.0</v>
      </c>
      <c r="AO365" s="56">
        <v>0.0</v>
      </c>
      <c r="AP365" s="56">
        <v>0.0</v>
      </c>
      <c r="AQ365" s="55">
        <v>0.0</v>
      </c>
      <c r="AR365" s="55">
        <v>0.0</v>
      </c>
      <c r="AS365" s="55">
        <v>0.0</v>
      </c>
      <c r="AT365" s="55" t="str">
        <f t="array" ref="AT365">XLOOKUP(C365,'PL TOTAL D0'!A:A,'PL TOTAL D0'!C:C,"")</f>
        <v/>
      </c>
    </row>
    <row r="366" ht="15.75" customHeight="1">
      <c r="A366" s="44" t="s">
        <v>36</v>
      </c>
      <c r="B366" s="63" t="s">
        <v>1283</v>
      </c>
      <c r="C366" s="46" t="s">
        <v>1284</v>
      </c>
      <c r="D366" s="47" t="s">
        <v>18</v>
      </c>
      <c r="E366" s="24" t="s">
        <v>145</v>
      </c>
      <c r="F366" s="47" t="s">
        <v>146</v>
      </c>
      <c r="G366" s="47" t="str">
        <f t="shared" si="1"/>
        <v>Breno</v>
      </c>
      <c r="H366" s="48" t="s">
        <v>88</v>
      </c>
      <c r="I366" s="48" t="s">
        <v>24</v>
      </c>
      <c r="J366" s="47" t="str">
        <f t="shared" si="4"/>
        <v>Não</v>
      </c>
      <c r="K366" s="49">
        <v>45075.0</v>
      </c>
      <c r="L366" s="24"/>
      <c r="M366" s="24" t="s">
        <v>111</v>
      </c>
      <c r="N366" s="50">
        <v>0.015</v>
      </c>
      <c r="O366" s="47" t="s">
        <v>46</v>
      </c>
      <c r="P366" s="51">
        <v>0.1</v>
      </c>
      <c r="Q366" s="52"/>
      <c r="R366" s="52"/>
      <c r="S366" s="52"/>
      <c r="T366" s="24" t="s">
        <v>89</v>
      </c>
      <c r="U366" s="25" t="s">
        <v>1285</v>
      </c>
      <c r="V366" s="9" t="s">
        <v>149</v>
      </c>
      <c r="W366" s="53" t="str">
        <f t="shared" si="3"/>
        <v>Ativo</v>
      </c>
      <c r="X366" s="24"/>
      <c r="Y366" s="54" t="s">
        <v>91</v>
      </c>
      <c r="Z366" s="56"/>
      <c r="AA366" s="56"/>
      <c r="AB366" s="56"/>
      <c r="AC366" s="56"/>
      <c r="AD366" s="56"/>
      <c r="AE366" s="56"/>
      <c r="AF366" s="56">
        <v>0.0</v>
      </c>
      <c r="AG366" s="56">
        <v>0.0</v>
      </c>
      <c r="AH366" s="56">
        <v>747604.76</v>
      </c>
      <c r="AI366" s="56">
        <v>798854.32</v>
      </c>
      <c r="AJ366" s="56">
        <v>806756.24</v>
      </c>
      <c r="AK366" s="56">
        <v>802901.84</v>
      </c>
      <c r="AL366" s="56">
        <v>806777.51</v>
      </c>
      <c r="AM366" s="56">
        <v>804365.53</v>
      </c>
      <c r="AN366" s="56">
        <v>822674.38</v>
      </c>
      <c r="AO366" s="56">
        <v>836767.0</v>
      </c>
      <c r="AP366" s="56">
        <v>822850.8</v>
      </c>
      <c r="AQ366" s="55">
        <v>828215.08</v>
      </c>
      <c r="AR366" s="55">
        <v>837618.2</v>
      </c>
      <c r="AS366" s="55">
        <v>827225.21</v>
      </c>
      <c r="AT366" s="55">
        <f t="array" ref="AT366">XLOOKUP(C366,'PL TOTAL D0'!A:A,'PL TOTAL D0'!C:C,"")</f>
        <v>834001.3</v>
      </c>
    </row>
    <row r="367" ht="15.75" customHeight="1">
      <c r="A367" s="44" t="s">
        <v>36</v>
      </c>
      <c r="B367" s="45" t="s">
        <v>1286</v>
      </c>
      <c r="C367" s="46" t="s">
        <v>1287</v>
      </c>
      <c r="D367" s="47" t="s">
        <v>18</v>
      </c>
      <c r="E367" s="24" t="s">
        <v>29</v>
      </c>
      <c r="F367" s="9" t="s">
        <v>569</v>
      </c>
      <c r="G367" s="47" t="str">
        <f t="shared" si="1"/>
        <v>Augusto</v>
      </c>
      <c r="H367" s="48" t="s">
        <v>88</v>
      </c>
      <c r="I367" s="48" t="s">
        <v>24</v>
      </c>
      <c r="J367" s="47" t="str">
        <f t="shared" si="4"/>
        <v>Não</v>
      </c>
      <c r="K367" s="49">
        <v>45139.0</v>
      </c>
      <c r="L367" s="24"/>
      <c r="M367" s="24" t="s">
        <v>60</v>
      </c>
      <c r="N367" s="50">
        <v>0.007</v>
      </c>
      <c r="O367" s="47" t="s">
        <v>24</v>
      </c>
      <c r="P367" s="51">
        <v>0.0</v>
      </c>
      <c r="Q367" s="65"/>
      <c r="R367" s="52"/>
      <c r="S367" s="72" t="s">
        <v>570</v>
      </c>
      <c r="T367" s="24" t="s">
        <v>89</v>
      </c>
      <c r="U367" s="25" t="s">
        <v>1288</v>
      </c>
      <c r="V367" s="9" t="s">
        <v>19</v>
      </c>
      <c r="W367" s="53" t="str">
        <f t="shared" si="3"/>
        <v>Ativo</v>
      </c>
      <c r="X367" s="24"/>
      <c r="Y367" s="54" t="s">
        <v>95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>
        <v>10339.45</v>
      </c>
      <c r="AL367" s="56">
        <v>10446.65</v>
      </c>
      <c r="AM367" s="56">
        <v>15053.15</v>
      </c>
      <c r="AN367" s="56">
        <v>18125.33</v>
      </c>
      <c r="AO367" s="56">
        <v>25261.81</v>
      </c>
      <c r="AP367" s="56">
        <v>30392.48</v>
      </c>
      <c r="AQ367" s="55">
        <v>35092.04</v>
      </c>
      <c r="AR367" s="55">
        <v>41435.87</v>
      </c>
      <c r="AS367" s="55">
        <v>44756.96</v>
      </c>
      <c r="AT367" s="55">
        <f t="array" ref="AT367">XLOOKUP(C367,'PL TOTAL D0'!A:A,'PL TOTAL D0'!C:C,"")</f>
        <v>46957.16</v>
      </c>
    </row>
    <row r="368" ht="15.75" customHeight="1">
      <c r="A368" s="44" t="s">
        <v>36</v>
      </c>
      <c r="B368" s="45" t="s">
        <v>1289</v>
      </c>
      <c r="C368" s="46" t="s">
        <v>1290</v>
      </c>
      <c r="D368" s="47" t="s">
        <v>18</v>
      </c>
      <c r="E368" s="24" t="s">
        <v>19</v>
      </c>
      <c r="F368" s="47" t="s">
        <v>201</v>
      </c>
      <c r="G368" s="47" t="str">
        <f t="shared" si="1"/>
        <v>Bruno</v>
      </c>
      <c r="H368" s="48" t="s">
        <v>88</v>
      </c>
      <c r="I368" s="48" t="s">
        <v>24</v>
      </c>
      <c r="J368" s="47" t="str">
        <f t="shared" si="4"/>
        <v>Sim</v>
      </c>
      <c r="K368" s="49">
        <v>45168.0</v>
      </c>
      <c r="L368" s="74"/>
      <c r="M368" s="24" t="s">
        <v>60</v>
      </c>
      <c r="N368" s="50">
        <v>0.01</v>
      </c>
      <c r="O368" s="47" t="s">
        <v>24</v>
      </c>
      <c r="P368" s="51">
        <v>0.0</v>
      </c>
      <c r="Q368" s="62" t="s">
        <v>1291</v>
      </c>
      <c r="R368" s="75"/>
      <c r="S368" s="52"/>
      <c r="T368" s="24" t="s">
        <v>89</v>
      </c>
      <c r="U368" s="25" t="s">
        <v>1292</v>
      </c>
      <c r="V368" s="9" t="s">
        <v>19</v>
      </c>
      <c r="W368" s="53" t="str">
        <f t="shared" si="3"/>
        <v>Ativo</v>
      </c>
      <c r="X368" s="24"/>
      <c r="Y368" s="54" t="s">
        <v>91</v>
      </c>
      <c r="Z368" s="56"/>
      <c r="AA368" s="56"/>
      <c r="AB368" s="56"/>
      <c r="AC368" s="56"/>
      <c r="AD368" s="56">
        <v>0.0</v>
      </c>
      <c r="AE368" s="56">
        <v>0.0</v>
      </c>
      <c r="AF368" s="56">
        <v>0.0</v>
      </c>
      <c r="AG368" s="56">
        <v>0.0</v>
      </c>
      <c r="AH368" s="56">
        <v>0.0</v>
      </c>
      <c r="AI368" s="56">
        <v>0.0</v>
      </c>
      <c r="AJ368" s="56">
        <v>0.0</v>
      </c>
      <c r="AK368" s="56">
        <v>2695076.71</v>
      </c>
      <c r="AL368" s="56">
        <v>2708443.2</v>
      </c>
      <c r="AM368" s="56">
        <v>2726002.4</v>
      </c>
      <c r="AN368" s="56">
        <v>2757970.69</v>
      </c>
      <c r="AO368" s="56">
        <v>2784573.51</v>
      </c>
      <c r="AP368" s="56">
        <v>2818899.59</v>
      </c>
      <c r="AQ368" s="55">
        <v>2842235.94</v>
      </c>
      <c r="AR368" s="55">
        <v>2847042.41</v>
      </c>
      <c r="AS368" s="55">
        <v>2859977.57</v>
      </c>
      <c r="AT368" s="55">
        <f t="array" ref="AT368">XLOOKUP(C368,'PL TOTAL D0'!A:A,'PL TOTAL D0'!C:C,"")</f>
        <v>2870961</v>
      </c>
    </row>
    <row r="369" ht="15.75" customHeight="1">
      <c r="A369" s="44" t="s">
        <v>36</v>
      </c>
      <c r="B369" s="45" t="s">
        <v>1293</v>
      </c>
      <c r="C369" s="46" t="s">
        <v>1294</v>
      </c>
      <c r="D369" s="47" t="s">
        <v>18</v>
      </c>
      <c r="E369" s="24" t="s">
        <v>145</v>
      </c>
      <c r="F369" s="47" t="s">
        <v>146</v>
      </c>
      <c r="G369" s="47" t="str">
        <f t="shared" si="1"/>
        <v>#N/A</v>
      </c>
      <c r="H369" s="48" t="s">
        <v>116</v>
      </c>
      <c r="I369" s="48" t="s">
        <v>161</v>
      </c>
      <c r="J369" s="47" t="str">
        <f t="shared" si="4"/>
        <v>Não</v>
      </c>
      <c r="K369" s="49">
        <v>45163.0</v>
      </c>
      <c r="L369" s="64"/>
      <c r="M369" s="24" t="s">
        <v>60</v>
      </c>
      <c r="N369" s="50">
        <v>0.012</v>
      </c>
      <c r="O369" s="47" t="s">
        <v>24</v>
      </c>
      <c r="P369" s="51">
        <v>0.0</v>
      </c>
      <c r="Q369" s="106"/>
      <c r="R369" s="106"/>
      <c r="S369" s="52" t="s">
        <v>1295</v>
      </c>
      <c r="T369" s="24" t="s">
        <v>89</v>
      </c>
      <c r="U369" s="25" t="s">
        <v>1296</v>
      </c>
      <c r="V369" s="9" t="s">
        <v>149</v>
      </c>
      <c r="W369" s="53" t="str">
        <f t="shared" si="3"/>
        <v>Ativo</v>
      </c>
      <c r="X369" s="24"/>
      <c r="Y369" s="54" t="s">
        <v>91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0.0</v>
      </c>
      <c r="AM369" s="56">
        <v>0.0</v>
      </c>
      <c r="AN369" s="56">
        <v>0.0</v>
      </c>
      <c r="AO369" s="56">
        <v>0.0</v>
      </c>
      <c r="AP369" s="56">
        <v>0.0</v>
      </c>
      <c r="AQ369" s="55">
        <v>0.0</v>
      </c>
      <c r="AR369" s="55">
        <v>0.0</v>
      </c>
      <c r="AS369" s="55">
        <v>0.0</v>
      </c>
      <c r="AT369" s="55" t="str">
        <f t="array" ref="AT369">XLOOKUP(C369,'PL TOTAL D0'!A:A,'PL TOTAL D0'!C:C,"")</f>
        <v/>
      </c>
    </row>
    <row r="370" ht="15.75" customHeight="1">
      <c r="A370" s="44" t="s">
        <v>36</v>
      </c>
      <c r="B370" s="45" t="s">
        <v>1297</v>
      </c>
      <c r="C370" s="46" t="s">
        <v>1298</v>
      </c>
      <c r="D370" s="47" t="s">
        <v>18</v>
      </c>
      <c r="E370" s="24" t="s">
        <v>145</v>
      </c>
      <c r="F370" s="47" t="s">
        <v>146</v>
      </c>
      <c r="G370" s="47" t="str">
        <f t="shared" si="1"/>
        <v>Augusto</v>
      </c>
      <c r="H370" s="48" t="s">
        <v>88</v>
      </c>
      <c r="I370" s="48" t="s">
        <v>24</v>
      </c>
      <c r="J370" s="47" t="str">
        <f t="shared" si="4"/>
        <v>Não</v>
      </c>
      <c r="K370" s="49">
        <v>45163.0</v>
      </c>
      <c r="L370" s="64"/>
      <c r="M370" s="24" t="s">
        <v>60</v>
      </c>
      <c r="N370" s="50">
        <v>0.012</v>
      </c>
      <c r="O370" s="47" t="s">
        <v>24</v>
      </c>
      <c r="P370" s="51">
        <v>0.0</v>
      </c>
      <c r="Q370" s="52"/>
      <c r="R370" s="106"/>
      <c r="S370" s="62" t="s">
        <v>1299</v>
      </c>
      <c r="T370" s="24" t="s">
        <v>89</v>
      </c>
      <c r="U370" s="25" t="s">
        <v>1300</v>
      </c>
      <c r="V370" s="9" t="s">
        <v>149</v>
      </c>
      <c r="W370" s="53" t="str">
        <f t="shared" si="3"/>
        <v>Ativo</v>
      </c>
      <c r="X370" s="24"/>
      <c r="Y370" s="54" t="s">
        <v>91</v>
      </c>
      <c r="Z370" s="56"/>
      <c r="AA370" s="56"/>
      <c r="AB370" s="56"/>
      <c r="AC370" s="56"/>
      <c r="AD370" s="56"/>
      <c r="AE370" s="56"/>
      <c r="AF370" s="56"/>
      <c r="AG370" s="56">
        <v>0.0</v>
      </c>
      <c r="AH370" s="56">
        <v>0.0</v>
      </c>
      <c r="AI370" s="56">
        <v>0.0</v>
      </c>
      <c r="AJ370" s="56">
        <v>0.0</v>
      </c>
      <c r="AK370" s="56">
        <v>0.0</v>
      </c>
      <c r="AL370" s="56">
        <v>128816.72</v>
      </c>
      <c r="AM370" s="56">
        <v>148547.36</v>
      </c>
      <c r="AN370" s="56">
        <v>150165.52</v>
      </c>
      <c r="AO370" s="56">
        <v>151570.25</v>
      </c>
      <c r="AP370" s="56">
        <v>152764.24</v>
      </c>
      <c r="AQ370" s="55">
        <v>153721.78</v>
      </c>
      <c r="AR370" s="55">
        <v>153435.44</v>
      </c>
      <c r="AS370" s="55">
        <v>154146.13</v>
      </c>
      <c r="AT370" s="55">
        <f t="array" ref="AT370">XLOOKUP(C370,'PL TOTAL D0'!A:A,'PL TOTAL D0'!C:C,"")</f>
        <v>154873.7</v>
      </c>
    </row>
    <row r="371" ht="15.75" customHeight="1">
      <c r="A371" s="44" t="s">
        <v>36</v>
      </c>
      <c r="B371" s="63" t="s">
        <v>1301</v>
      </c>
      <c r="C371" s="46" t="s">
        <v>1302</v>
      </c>
      <c r="D371" s="9" t="s">
        <v>18</v>
      </c>
      <c r="E371" s="24" t="s">
        <v>29</v>
      </c>
      <c r="F371" s="9" t="s">
        <v>569</v>
      </c>
      <c r="G371" s="47" t="str">
        <f t="shared" si="1"/>
        <v>Bruno</v>
      </c>
      <c r="H371" s="48" t="s">
        <v>88</v>
      </c>
      <c r="I371" s="48" t="s">
        <v>24</v>
      </c>
      <c r="J371" s="47" t="str">
        <f t="shared" si="4"/>
        <v>Não</v>
      </c>
      <c r="K371" s="49">
        <v>45043.0</v>
      </c>
      <c r="L371" s="24"/>
      <c r="M371" s="24" t="s">
        <v>60</v>
      </c>
      <c r="N371" s="50">
        <v>0.007</v>
      </c>
      <c r="O371" s="47" t="s">
        <v>24</v>
      </c>
      <c r="P371" s="51">
        <v>0.0</v>
      </c>
      <c r="Q371" s="44"/>
      <c r="R371" s="44"/>
      <c r="S371" s="52" t="s">
        <v>1303</v>
      </c>
      <c r="T371" s="24" t="s">
        <v>329</v>
      </c>
      <c r="U371" s="25" t="s">
        <v>1304</v>
      </c>
      <c r="V371" s="9" t="s">
        <v>29</v>
      </c>
      <c r="W371" s="53" t="str">
        <f t="shared" si="3"/>
        <v>Ativo</v>
      </c>
      <c r="X371" s="24"/>
      <c r="Y371" s="54" t="s">
        <v>95</v>
      </c>
      <c r="Z371" s="56"/>
      <c r="AA371" s="56"/>
      <c r="AB371" s="56"/>
      <c r="AC371" s="56"/>
      <c r="AD371" s="56"/>
      <c r="AE371" s="56"/>
      <c r="AF371" s="56"/>
      <c r="AG371" s="56">
        <v>1071917.64</v>
      </c>
      <c r="AH371" s="56">
        <v>1082128.18</v>
      </c>
      <c r="AI371" s="56">
        <v>1092925.25</v>
      </c>
      <c r="AJ371" s="56">
        <v>1103042.33</v>
      </c>
      <c r="AK371" s="56">
        <v>1114290.66</v>
      </c>
      <c r="AL371" s="56">
        <v>1123818.71</v>
      </c>
      <c r="AM371" s="56">
        <v>1132366.37</v>
      </c>
      <c r="AN371" s="56">
        <v>1140936.78</v>
      </c>
      <c r="AO371" s="56">
        <v>1151073.29</v>
      </c>
      <c r="AP371" s="56">
        <v>1162335.55</v>
      </c>
      <c r="AQ371" s="55">
        <v>1171520.62</v>
      </c>
      <c r="AR371" s="55">
        <v>1181453.01</v>
      </c>
      <c r="AS371" s="55">
        <v>1176029.76</v>
      </c>
      <c r="AT371" s="55">
        <f t="array" ref="AT371">XLOOKUP(C371,'PL TOTAL D0'!A:A,'PL TOTAL D0'!C:C,"")</f>
        <v>1179459</v>
      </c>
    </row>
    <row r="372" ht="15.75" customHeight="1">
      <c r="A372" s="44" t="s">
        <v>36</v>
      </c>
      <c r="B372" s="45" t="s">
        <v>1305</v>
      </c>
      <c r="C372" s="46" t="s">
        <v>1306</v>
      </c>
      <c r="D372" s="47" t="s">
        <v>18</v>
      </c>
      <c r="E372" s="24" t="s">
        <v>19</v>
      </c>
      <c r="F372" s="47" t="s">
        <v>52</v>
      </c>
      <c r="G372" s="47" t="str">
        <f t="shared" si="1"/>
        <v>Augusto</v>
      </c>
      <c r="H372" s="53" t="s">
        <v>88</v>
      </c>
      <c r="I372" s="48" t="s">
        <v>24</v>
      </c>
      <c r="J372" s="47" t="str">
        <f t="shared" si="4"/>
        <v>Não</v>
      </c>
      <c r="K372" s="49">
        <v>44896.0</v>
      </c>
      <c r="L372" s="24"/>
      <c r="M372" s="25" t="s">
        <v>45</v>
      </c>
      <c r="N372" s="60">
        <v>0.012</v>
      </c>
      <c r="O372" s="9" t="s">
        <v>46</v>
      </c>
      <c r="P372" s="61">
        <v>0.1</v>
      </c>
      <c r="Q372" s="65"/>
      <c r="R372" s="106"/>
      <c r="S372" s="132" t="s">
        <v>1307</v>
      </c>
      <c r="T372" s="24" t="s">
        <v>89</v>
      </c>
      <c r="U372" s="25" t="s">
        <v>1308</v>
      </c>
      <c r="V372" s="9" t="s">
        <v>19</v>
      </c>
      <c r="W372" s="53" t="str">
        <f t="shared" si="3"/>
        <v>Ativo</v>
      </c>
      <c r="X372" s="24"/>
      <c r="Y372" s="54" t="s">
        <v>95</v>
      </c>
      <c r="Z372" s="56"/>
      <c r="AA372" s="56"/>
      <c r="AB372" s="56"/>
      <c r="AC372" s="56">
        <v>101027.34</v>
      </c>
      <c r="AD372" s="56">
        <v>102057.18</v>
      </c>
      <c r="AE372" s="56">
        <v>102893.4</v>
      </c>
      <c r="AF372" s="56">
        <v>103997.85</v>
      </c>
      <c r="AG372" s="56">
        <v>104799.51</v>
      </c>
      <c r="AH372" s="56">
        <v>105881.35</v>
      </c>
      <c r="AI372" s="56">
        <v>106857.75</v>
      </c>
      <c r="AJ372" s="56">
        <v>107813.68</v>
      </c>
      <c r="AK372" s="56">
        <v>108868.49</v>
      </c>
      <c r="AL372" s="56">
        <v>109771.07</v>
      </c>
      <c r="AM372" s="56">
        <v>110709.64</v>
      </c>
      <c r="AN372" s="56">
        <v>111519.87</v>
      </c>
      <c r="AO372" s="56">
        <v>112181.15</v>
      </c>
      <c r="AP372" s="56">
        <v>200282.08</v>
      </c>
      <c r="AQ372" s="55">
        <v>201657.73</v>
      </c>
      <c r="AR372" s="55">
        <v>203648.03</v>
      </c>
      <c r="AS372" s="55">
        <v>203645.24</v>
      </c>
      <c r="AT372" s="55">
        <f t="array" ref="AT372">XLOOKUP(C372,'PL TOTAL D0'!A:A,'PL TOTAL D0'!C:C,"")</f>
        <v>203133.8</v>
      </c>
    </row>
    <row r="373" ht="15.75" customHeight="1">
      <c r="A373" s="44" t="s">
        <v>36</v>
      </c>
      <c r="B373" s="63" t="s">
        <v>1309</v>
      </c>
      <c r="C373" s="46" t="s">
        <v>1310</v>
      </c>
      <c r="D373" s="47" t="s">
        <v>18</v>
      </c>
      <c r="E373" s="24" t="s">
        <v>145</v>
      </c>
      <c r="F373" s="24" t="s">
        <v>146</v>
      </c>
      <c r="G373" s="47" t="str">
        <f t="shared" si="1"/>
        <v>Augusto</v>
      </c>
      <c r="H373" s="53" t="s">
        <v>88</v>
      </c>
      <c r="I373" s="53" t="s">
        <v>24</v>
      </c>
      <c r="J373" s="47" t="str">
        <f t="shared" si="4"/>
        <v>Sim</v>
      </c>
      <c r="K373" s="49">
        <v>45163.0</v>
      </c>
      <c r="L373" s="64"/>
      <c r="M373" s="24" t="s">
        <v>111</v>
      </c>
      <c r="N373" s="50">
        <v>0.015</v>
      </c>
      <c r="O373" s="47" t="s">
        <v>46</v>
      </c>
      <c r="P373" s="51">
        <v>0.1</v>
      </c>
      <c r="Q373" s="62" t="s">
        <v>1311</v>
      </c>
      <c r="R373" s="106"/>
      <c r="S373" s="184"/>
      <c r="T373" s="24" t="s">
        <v>89</v>
      </c>
      <c r="U373" s="25" t="s">
        <v>1312</v>
      </c>
      <c r="V373" s="9" t="s">
        <v>149</v>
      </c>
      <c r="W373" s="53" t="str">
        <f t="shared" si="3"/>
        <v>Ativo</v>
      </c>
      <c r="X373" s="24"/>
      <c r="Y373" s="54" t="s">
        <v>91</v>
      </c>
      <c r="Z373" s="56"/>
      <c r="AA373" s="56"/>
      <c r="AB373" s="56"/>
      <c r="AC373" s="56"/>
      <c r="AD373" s="56"/>
      <c r="AE373" s="56"/>
      <c r="AF373" s="56">
        <v>0.0</v>
      </c>
      <c r="AG373" s="56">
        <v>0.0</v>
      </c>
      <c r="AH373" s="56">
        <v>0.0</v>
      </c>
      <c r="AI373" s="56">
        <v>0.0</v>
      </c>
      <c r="AJ373" s="56">
        <v>0.0</v>
      </c>
      <c r="AK373" s="56">
        <v>0.0</v>
      </c>
      <c r="AL373" s="56">
        <v>0.0</v>
      </c>
      <c r="AM373" s="56">
        <v>0.0</v>
      </c>
      <c r="AN373" s="56">
        <v>0.0</v>
      </c>
      <c r="AO373" s="56">
        <v>0.0</v>
      </c>
      <c r="AP373" s="56">
        <v>0.0</v>
      </c>
      <c r="AQ373" s="55">
        <v>0.0</v>
      </c>
      <c r="AR373" s="55">
        <v>0.89</v>
      </c>
      <c r="AS373" s="55">
        <v>209391.1</v>
      </c>
      <c r="AT373" s="55">
        <f t="array" ref="AT373">XLOOKUP(C373,'PL TOTAL D0'!A:A,'PL TOTAL D0'!C:C,"")</f>
        <v>324853.8</v>
      </c>
    </row>
    <row r="374" ht="15.75" customHeight="1">
      <c r="A374" s="44" t="s">
        <v>36</v>
      </c>
      <c r="B374" s="114" t="s">
        <v>1313</v>
      </c>
      <c r="C374" s="46" t="s">
        <v>1314</v>
      </c>
      <c r="D374" s="47" t="s">
        <v>18</v>
      </c>
      <c r="E374" s="24" t="s">
        <v>145</v>
      </c>
      <c r="F374" s="24" t="s">
        <v>146</v>
      </c>
      <c r="G374" s="47" t="str">
        <f t="shared" si="1"/>
        <v>#N/A</v>
      </c>
      <c r="H374" s="53" t="s">
        <v>157</v>
      </c>
      <c r="I374" s="53" t="s">
        <v>24</v>
      </c>
      <c r="J374" s="47" t="str">
        <f t="shared" si="4"/>
        <v>Não</v>
      </c>
      <c r="K374" s="49">
        <v>45000.0</v>
      </c>
      <c r="L374" s="110">
        <v>45401.0</v>
      </c>
      <c r="M374" s="24" t="s">
        <v>60</v>
      </c>
      <c r="N374" s="50">
        <v>0.012</v>
      </c>
      <c r="O374" s="47" t="s">
        <v>24</v>
      </c>
      <c r="P374" s="51">
        <v>0.0</v>
      </c>
      <c r="Q374" s="106"/>
      <c r="R374" s="106"/>
      <c r="S374" s="106"/>
      <c r="T374" s="24" t="s">
        <v>89</v>
      </c>
      <c r="U374" s="25" t="s">
        <v>1312</v>
      </c>
      <c r="V374" s="9" t="s">
        <v>149</v>
      </c>
      <c r="W374" s="53" t="str">
        <f t="shared" si="3"/>
        <v>Encerrado</v>
      </c>
      <c r="X374" s="24"/>
      <c r="Y374" s="54" t="s">
        <v>91</v>
      </c>
      <c r="Z374" s="56"/>
      <c r="AA374" s="56"/>
      <c r="AB374" s="56"/>
      <c r="AC374" s="56"/>
      <c r="AD374" s="56"/>
      <c r="AE374" s="56"/>
      <c r="AF374" s="56">
        <v>1204685.2</v>
      </c>
      <c r="AG374" s="56">
        <v>1203727.57</v>
      </c>
      <c r="AH374" s="56">
        <v>1207452.88</v>
      </c>
      <c r="AI374" s="56">
        <v>964261.47</v>
      </c>
      <c r="AJ374" s="56">
        <v>971845.22</v>
      </c>
      <c r="AK374" s="56">
        <v>798796.03</v>
      </c>
      <c r="AL374" s="56">
        <v>250333.99</v>
      </c>
      <c r="AM374" s="56">
        <v>10548.21</v>
      </c>
      <c r="AN374" s="56">
        <v>10496.54</v>
      </c>
      <c r="AO374" s="56">
        <v>7.82</v>
      </c>
      <c r="AP374" s="56">
        <v>0.0</v>
      </c>
      <c r="AQ374" s="55">
        <v>0.89</v>
      </c>
      <c r="AR374" s="55">
        <v>0.0</v>
      </c>
      <c r="AS374" s="55">
        <v>0.0</v>
      </c>
      <c r="AT374" s="55" t="str">
        <f t="array" ref="AT374">XLOOKUP(C374,'PL TOTAL D0'!A:A,'PL TOTAL D0'!C:C,"")</f>
        <v/>
      </c>
    </row>
    <row r="375" ht="15.75" customHeight="1">
      <c r="A375" s="44" t="s">
        <v>36</v>
      </c>
      <c r="B375" s="45" t="s">
        <v>1315</v>
      </c>
      <c r="C375" s="46" t="s">
        <v>1316</v>
      </c>
      <c r="D375" s="47" t="s">
        <v>18</v>
      </c>
      <c r="E375" s="24" t="s">
        <v>29</v>
      </c>
      <c r="F375" s="47" t="s">
        <v>58</v>
      </c>
      <c r="G375" s="47" t="str">
        <f t="shared" si="1"/>
        <v>Augusto</v>
      </c>
      <c r="H375" s="48" t="s">
        <v>88</v>
      </c>
      <c r="I375" s="48" t="s">
        <v>24</v>
      </c>
      <c r="J375" s="47" t="str">
        <f t="shared" si="4"/>
        <v>Sim</v>
      </c>
      <c r="K375" s="49">
        <v>44928.0</v>
      </c>
      <c r="L375" s="24"/>
      <c r="M375" s="24" t="s">
        <v>60</v>
      </c>
      <c r="N375" s="50">
        <v>0.012</v>
      </c>
      <c r="O375" s="47" t="s">
        <v>24</v>
      </c>
      <c r="P375" s="51">
        <v>0.0</v>
      </c>
      <c r="Q375" s="62" t="s">
        <v>1317</v>
      </c>
      <c r="R375" s="62"/>
      <c r="S375" s="106"/>
      <c r="T375" s="24" t="s">
        <v>89</v>
      </c>
      <c r="U375" s="25" t="s">
        <v>1318</v>
      </c>
      <c r="V375" s="9" t="s">
        <v>29</v>
      </c>
      <c r="W375" s="53" t="str">
        <f t="shared" si="3"/>
        <v>Ativo</v>
      </c>
      <c r="X375" s="24"/>
      <c r="Y375" s="54" t="s">
        <v>95</v>
      </c>
      <c r="Z375" s="56"/>
      <c r="AA375" s="56"/>
      <c r="AB375" s="56"/>
      <c r="AC375" s="56">
        <v>25536.14</v>
      </c>
      <c r="AD375" s="56">
        <v>30960.44</v>
      </c>
      <c r="AE375" s="56">
        <v>31196.96</v>
      </c>
      <c r="AF375" s="56">
        <v>31403.17</v>
      </c>
      <c r="AG375" s="56">
        <v>41622.38</v>
      </c>
      <c r="AH375" s="56">
        <v>42040.96</v>
      </c>
      <c r="AI375" s="56">
        <v>42401.2</v>
      </c>
      <c r="AJ375" s="56">
        <v>42756.62</v>
      </c>
      <c r="AK375" s="56">
        <v>53231.46</v>
      </c>
      <c r="AL375" s="56">
        <v>53641.79</v>
      </c>
      <c r="AM375" s="56">
        <v>54127.45</v>
      </c>
      <c r="AN375" s="56">
        <v>54551.49</v>
      </c>
      <c r="AO375" s="56">
        <v>54998.82</v>
      </c>
      <c r="AP375" s="56">
        <v>44982.02</v>
      </c>
      <c r="AQ375" s="55">
        <v>45312.38</v>
      </c>
      <c r="AR375" s="55">
        <v>35463.24</v>
      </c>
      <c r="AS375" s="55">
        <v>35726.53</v>
      </c>
      <c r="AT375" s="55">
        <f t="array" ref="AT375">XLOOKUP(C375,'PL TOTAL D0'!A:A,'PL TOTAL D0'!C:C,"")</f>
        <v>35867.21</v>
      </c>
    </row>
    <row r="376" ht="15.75" customHeight="1">
      <c r="A376" s="44" t="s">
        <v>36</v>
      </c>
      <c r="B376" s="45" t="s">
        <v>1319</v>
      </c>
      <c r="C376" s="46" t="s">
        <v>1320</v>
      </c>
      <c r="D376" s="47" t="s">
        <v>86</v>
      </c>
      <c r="E376" s="24" t="s">
        <v>29</v>
      </c>
      <c r="F376" s="47" t="s">
        <v>371</v>
      </c>
      <c r="G376" s="47" t="str">
        <f t="shared" si="1"/>
        <v>Breno</v>
      </c>
      <c r="H376" s="48" t="s">
        <v>88</v>
      </c>
      <c r="I376" s="48" t="s">
        <v>24</v>
      </c>
      <c r="J376" s="47" t="str">
        <f t="shared" si="4"/>
        <v>Não</v>
      </c>
      <c r="K376" s="49">
        <v>45168.0</v>
      </c>
      <c r="L376" s="24"/>
      <c r="M376" s="24" t="s">
        <v>60</v>
      </c>
      <c r="N376" s="50">
        <v>0.005</v>
      </c>
      <c r="O376" s="47" t="s">
        <v>24</v>
      </c>
      <c r="P376" s="51">
        <v>0.0</v>
      </c>
      <c r="Q376" s="52"/>
      <c r="R376" s="52"/>
      <c r="S376" s="106"/>
      <c r="T376" s="24" t="s">
        <v>89</v>
      </c>
      <c r="U376" s="25" t="s">
        <v>1321</v>
      </c>
      <c r="V376" s="9" t="s">
        <v>29</v>
      </c>
      <c r="W376" s="53" t="str">
        <f t="shared" si="3"/>
        <v>Ativo</v>
      </c>
      <c r="X376" s="24"/>
      <c r="Y376" s="54" t="s">
        <v>91</v>
      </c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>
        <v>996849.67</v>
      </c>
      <c r="AL376" s="56">
        <v>1003085.23</v>
      </c>
      <c r="AM376" s="56">
        <v>1060111.65</v>
      </c>
      <c r="AN376" s="56">
        <v>1163944.79</v>
      </c>
      <c r="AO376" s="56">
        <v>1174396.05</v>
      </c>
      <c r="AP376" s="56">
        <v>1184469.5</v>
      </c>
      <c r="AQ376" s="55">
        <v>1193854.74</v>
      </c>
      <c r="AR376" s="55">
        <v>859210.0</v>
      </c>
      <c r="AS376" s="55">
        <v>860788.64</v>
      </c>
      <c r="AT376" s="55">
        <f t="array" ref="AT376">XLOOKUP(C376,'PL TOTAL D0'!A:A,'PL TOTAL D0'!C:C,"")</f>
        <v>866922.9</v>
      </c>
    </row>
    <row r="377" ht="15.75" customHeight="1">
      <c r="A377" s="44" t="s">
        <v>36</v>
      </c>
      <c r="B377" s="45" t="s">
        <v>1322</v>
      </c>
      <c r="C377" s="46" t="s">
        <v>1323</v>
      </c>
      <c r="D377" s="47" t="s">
        <v>18</v>
      </c>
      <c r="E377" s="24" t="s">
        <v>29</v>
      </c>
      <c r="F377" s="47" t="s">
        <v>58</v>
      </c>
      <c r="G377" s="47" t="str">
        <f t="shared" si="1"/>
        <v>Augusto</v>
      </c>
      <c r="H377" s="48" t="s">
        <v>88</v>
      </c>
      <c r="I377" s="48" t="s">
        <v>24</v>
      </c>
      <c r="J377" s="47" t="str">
        <f t="shared" si="4"/>
        <v>Não</v>
      </c>
      <c r="K377" s="49">
        <v>44931.0</v>
      </c>
      <c r="L377" s="24"/>
      <c r="M377" s="46" t="s">
        <v>162</v>
      </c>
      <c r="N377" s="50">
        <v>0.025</v>
      </c>
      <c r="O377" s="47" t="s">
        <v>163</v>
      </c>
      <c r="P377" s="51">
        <v>0.2</v>
      </c>
      <c r="Q377" s="106"/>
      <c r="R377" s="106"/>
      <c r="S377" s="106"/>
      <c r="T377" s="24" t="s">
        <v>89</v>
      </c>
      <c r="U377" s="25" t="s">
        <v>1324</v>
      </c>
      <c r="V377" s="9" t="s">
        <v>29</v>
      </c>
      <c r="W377" s="53" t="str">
        <f t="shared" si="3"/>
        <v>Ativo</v>
      </c>
      <c r="X377" s="24"/>
      <c r="Y377" s="54" t="s">
        <v>95</v>
      </c>
      <c r="Z377" s="56"/>
      <c r="AA377" s="56"/>
      <c r="AB377" s="56"/>
      <c r="AC377" s="56"/>
      <c r="AD377" s="56">
        <v>50668.18</v>
      </c>
      <c r="AE377" s="56">
        <v>49951.69</v>
      </c>
      <c r="AF377" s="56">
        <v>50254.3</v>
      </c>
      <c r="AG377" s="56">
        <v>49569.35</v>
      </c>
      <c r="AH377" s="56">
        <v>51210.32</v>
      </c>
      <c r="AI377" s="56">
        <v>55533.69</v>
      </c>
      <c r="AJ377" s="56">
        <v>58614.75</v>
      </c>
      <c r="AK377" s="56">
        <v>55714.57</v>
      </c>
      <c r="AL377" s="56">
        <v>55545.7</v>
      </c>
      <c r="AM377" s="56">
        <v>53123.37</v>
      </c>
      <c r="AN377" s="56">
        <v>57005.78</v>
      </c>
      <c r="AO377" s="56">
        <v>59703.08</v>
      </c>
      <c r="AP377" s="56">
        <v>55567.17</v>
      </c>
      <c r="AQ377" s="55">
        <v>56324.34</v>
      </c>
      <c r="AR377" s="55">
        <v>58458.23</v>
      </c>
      <c r="AS377" s="55">
        <v>56429.63</v>
      </c>
      <c r="AT377" s="55">
        <f t="array" ref="AT377">XLOOKUP(C377,'PL TOTAL D0'!A:A,'PL TOTAL D0'!C:C,"")</f>
        <v>57379.72</v>
      </c>
    </row>
    <row r="378" ht="15.75" customHeight="1">
      <c r="A378" s="44" t="s">
        <v>36</v>
      </c>
      <c r="B378" s="45" t="s">
        <v>1325</v>
      </c>
      <c r="C378" s="46" t="s">
        <v>1326</v>
      </c>
      <c r="D378" s="47" t="s">
        <v>18</v>
      </c>
      <c r="E378" s="24" t="s">
        <v>29</v>
      </c>
      <c r="F378" s="47" t="s">
        <v>58</v>
      </c>
      <c r="G378" s="47" t="str">
        <f t="shared" si="1"/>
        <v>Augusto</v>
      </c>
      <c r="H378" s="48" t="s">
        <v>88</v>
      </c>
      <c r="I378" s="48" t="s">
        <v>24</v>
      </c>
      <c r="J378" s="47" t="str">
        <f t="shared" si="4"/>
        <v>Não</v>
      </c>
      <c r="K378" s="49">
        <v>44931.0</v>
      </c>
      <c r="L378" s="24"/>
      <c r="M378" s="24" t="s">
        <v>60</v>
      </c>
      <c r="N378" s="50">
        <v>0.012</v>
      </c>
      <c r="O378" s="47" t="s">
        <v>24</v>
      </c>
      <c r="P378" s="51">
        <v>0.0</v>
      </c>
      <c r="Q378" s="106"/>
      <c r="R378" s="106"/>
      <c r="S378" s="106"/>
      <c r="T378" s="24" t="s">
        <v>89</v>
      </c>
      <c r="U378" s="25" t="s">
        <v>1324</v>
      </c>
      <c r="V378" s="9" t="s">
        <v>29</v>
      </c>
      <c r="W378" s="53" t="str">
        <f t="shared" si="3"/>
        <v>Ativo</v>
      </c>
      <c r="X378" s="24"/>
      <c r="Y378" s="54" t="s">
        <v>95</v>
      </c>
      <c r="Z378" s="56"/>
      <c r="AA378" s="56"/>
      <c r="AB378" s="56"/>
      <c r="AC378" s="56"/>
      <c r="AD378" s="56">
        <v>151367.07</v>
      </c>
      <c r="AE378" s="56">
        <v>152610.03</v>
      </c>
      <c r="AF378" s="56">
        <v>154284.45</v>
      </c>
      <c r="AG378" s="56">
        <v>155466.58</v>
      </c>
      <c r="AH378" s="56">
        <v>157127.4</v>
      </c>
      <c r="AI378" s="56">
        <v>158575.16</v>
      </c>
      <c r="AJ378" s="56">
        <v>159926.25</v>
      </c>
      <c r="AK378" s="56">
        <v>161459.68</v>
      </c>
      <c r="AL378" s="56">
        <v>162743.17</v>
      </c>
      <c r="AM378" s="56">
        <v>164169.26</v>
      </c>
      <c r="AN378" s="56">
        <v>165328.85</v>
      </c>
      <c r="AO378" s="56">
        <v>166608.4</v>
      </c>
      <c r="AP378" s="56">
        <v>166145.88</v>
      </c>
      <c r="AQ378" s="55">
        <v>167373.47</v>
      </c>
      <c r="AR378" s="55">
        <v>167672.4</v>
      </c>
      <c r="AS378" s="55">
        <v>168756.9</v>
      </c>
      <c r="AT378" s="55">
        <f t="array" ref="AT378">XLOOKUP(C378,'PL TOTAL D0'!A:A,'PL TOTAL D0'!C:C,"")</f>
        <v>169415.7</v>
      </c>
    </row>
    <row r="379" ht="15.75" customHeight="1">
      <c r="A379" s="44" t="s">
        <v>36</v>
      </c>
      <c r="B379" s="185" t="s">
        <v>1327</v>
      </c>
      <c r="C379" s="186" t="s">
        <v>1328</v>
      </c>
      <c r="D379" s="187" t="s">
        <v>86</v>
      </c>
      <c r="E379" s="188" t="s">
        <v>29</v>
      </c>
      <c r="F379" s="47" t="s">
        <v>371</v>
      </c>
      <c r="G379" s="47" t="str">
        <f t="shared" si="1"/>
        <v>Augusto</v>
      </c>
      <c r="H379" s="189" t="s">
        <v>88</v>
      </c>
      <c r="I379" s="48" t="s">
        <v>24</v>
      </c>
      <c r="J379" s="47" t="str">
        <f t="shared" si="4"/>
        <v>Sim</v>
      </c>
      <c r="K379" s="190">
        <v>45125.0</v>
      </c>
      <c r="L379" s="188"/>
      <c r="M379" s="188" t="s">
        <v>818</v>
      </c>
      <c r="N379" s="191">
        <v>0.0085</v>
      </c>
      <c r="O379" s="187" t="s">
        <v>24</v>
      </c>
      <c r="P379" s="192">
        <v>0.0</v>
      </c>
      <c r="Q379" s="193" t="s">
        <v>1329</v>
      </c>
      <c r="R379" s="194" t="s">
        <v>1330</v>
      </c>
      <c r="S379" s="194"/>
      <c r="T379" s="188" t="s">
        <v>89</v>
      </c>
      <c r="U379" s="25" t="s">
        <v>1331</v>
      </c>
      <c r="V379" s="195" t="s">
        <v>29</v>
      </c>
      <c r="W379" s="53" t="str">
        <f t="shared" si="3"/>
        <v>Ativo</v>
      </c>
      <c r="X379" s="188"/>
      <c r="Y379" s="196" t="s">
        <v>91</v>
      </c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>
        <v>1228192.68</v>
      </c>
      <c r="AK379" s="197">
        <v>1243750.43</v>
      </c>
      <c r="AL379" s="56">
        <v>1088497.03</v>
      </c>
      <c r="AM379" s="56">
        <v>187400.79</v>
      </c>
      <c r="AN379" s="56">
        <v>201253.67</v>
      </c>
      <c r="AO379" s="56">
        <v>223190.6</v>
      </c>
      <c r="AP379" s="56">
        <v>257719.65</v>
      </c>
      <c r="AQ379" s="55">
        <v>266094.28</v>
      </c>
      <c r="AR379" s="55">
        <v>283791.34</v>
      </c>
      <c r="AS379" s="55">
        <v>286938.37</v>
      </c>
      <c r="AT379" s="55">
        <f t="array" ref="AT379">XLOOKUP(C379,'PL TOTAL D0'!A:A,'PL TOTAL D0'!C:C,"")</f>
        <v>321142.7</v>
      </c>
    </row>
    <row r="380" ht="15.75" customHeight="1">
      <c r="A380" s="44" t="s">
        <v>36</v>
      </c>
      <c r="B380" s="45" t="s">
        <v>1332</v>
      </c>
      <c r="C380" s="46" t="s">
        <v>1333</v>
      </c>
      <c r="D380" s="47" t="s">
        <v>18</v>
      </c>
      <c r="E380" s="24" t="s">
        <v>19</v>
      </c>
      <c r="F380" s="47" t="s">
        <v>201</v>
      </c>
      <c r="G380" s="47" t="str">
        <f t="shared" si="1"/>
        <v>Breno</v>
      </c>
      <c r="H380" s="48" t="s">
        <v>88</v>
      </c>
      <c r="I380" s="48" t="s">
        <v>24</v>
      </c>
      <c r="J380" s="47" t="str">
        <f t="shared" si="4"/>
        <v>Não</v>
      </c>
      <c r="K380" s="49">
        <v>44980.0</v>
      </c>
      <c r="L380" s="24"/>
      <c r="M380" s="24" t="s">
        <v>111</v>
      </c>
      <c r="N380" s="50">
        <v>0.015</v>
      </c>
      <c r="O380" s="47" t="s">
        <v>46</v>
      </c>
      <c r="P380" s="51">
        <v>0.1</v>
      </c>
      <c r="Q380" s="106"/>
      <c r="R380" s="106"/>
      <c r="S380" s="106"/>
      <c r="T380" s="24" t="s">
        <v>89</v>
      </c>
      <c r="U380" s="25" t="s">
        <v>1334</v>
      </c>
      <c r="V380" s="9" t="s">
        <v>19</v>
      </c>
      <c r="W380" s="53" t="str">
        <f t="shared" si="3"/>
        <v>Ativo</v>
      </c>
      <c r="X380" s="24"/>
      <c r="Y380" s="54" t="s">
        <v>95</v>
      </c>
      <c r="Z380" s="56"/>
      <c r="AA380" s="56"/>
      <c r="AB380" s="56"/>
      <c r="AC380" s="56"/>
      <c r="AD380" s="56">
        <v>0.0</v>
      </c>
      <c r="AE380" s="56">
        <v>485180.91</v>
      </c>
      <c r="AF380" s="56">
        <v>586527.81</v>
      </c>
      <c r="AG380" s="56">
        <v>589105.09</v>
      </c>
      <c r="AH380" s="56">
        <v>599462.24</v>
      </c>
      <c r="AI380" s="56">
        <v>623799.05</v>
      </c>
      <c r="AJ380" s="56">
        <v>626680.78</v>
      </c>
      <c r="AK380" s="56">
        <v>646739.9</v>
      </c>
      <c r="AL380" s="56">
        <v>677433.36</v>
      </c>
      <c r="AM380" s="56">
        <v>687798.21</v>
      </c>
      <c r="AN380" s="56">
        <v>730790.37</v>
      </c>
      <c r="AO380" s="56">
        <v>754062.16</v>
      </c>
      <c r="AP380" s="56">
        <v>751642.51</v>
      </c>
      <c r="AQ380" s="55">
        <v>789676.27</v>
      </c>
      <c r="AR380" s="55">
        <v>812486.91</v>
      </c>
      <c r="AS380" s="55">
        <v>893064.95</v>
      </c>
      <c r="AT380" s="55">
        <f t="array" ref="AT380">XLOOKUP(C380,'PL TOTAL D0'!A:A,'PL TOTAL D0'!C:C,"")</f>
        <v>917731.8</v>
      </c>
    </row>
    <row r="381" ht="15.75" customHeight="1">
      <c r="A381" s="44" t="s">
        <v>36</v>
      </c>
      <c r="B381" s="45" t="s">
        <v>1335</v>
      </c>
      <c r="C381" s="82" t="s">
        <v>1336</v>
      </c>
      <c r="D381" s="47" t="s">
        <v>18</v>
      </c>
      <c r="E381" s="24" t="s">
        <v>145</v>
      </c>
      <c r="F381" s="47" t="s">
        <v>171</v>
      </c>
      <c r="G381" s="47" t="str">
        <f t="shared" si="1"/>
        <v>Augusto</v>
      </c>
      <c r="H381" s="53" t="s">
        <v>116</v>
      </c>
      <c r="I381" s="48" t="s">
        <v>24</v>
      </c>
      <c r="J381" s="47" t="str">
        <f t="shared" si="4"/>
        <v>Sim</v>
      </c>
      <c r="K381" s="49">
        <v>45083.0</v>
      </c>
      <c r="L381" s="64"/>
      <c r="M381" s="24" t="s">
        <v>111</v>
      </c>
      <c r="N381" s="50">
        <v>0.015</v>
      </c>
      <c r="O381" s="47" t="s">
        <v>46</v>
      </c>
      <c r="P381" s="51">
        <v>0.1</v>
      </c>
      <c r="Q381" s="132" t="s">
        <v>1337</v>
      </c>
      <c r="R381" s="106"/>
      <c r="S381" s="106"/>
      <c r="T381" s="24" t="s">
        <v>89</v>
      </c>
      <c r="U381" s="25" t="s">
        <v>1338</v>
      </c>
      <c r="V381" s="9" t="s">
        <v>180</v>
      </c>
      <c r="W381" s="53" t="str">
        <f t="shared" si="3"/>
        <v>Ativo</v>
      </c>
      <c r="X381" s="24"/>
      <c r="Y381" s="54" t="s">
        <v>91</v>
      </c>
      <c r="Z381" s="56"/>
      <c r="AA381" s="56"/>
      <c r="AB381" s="56"/>
      <c r="AC381" s="56"/>
      <c r="AD381" s="56"/>
      <c r="AE381" s="56"/>
      <c r="AF381" s="56"/>
      <c r="AG381" s="56"/>
      <c r="AH381" s="56">
        <v>0.0</v>
      </c>
      <c r="AI381" s="56">
        <v>10046.26</v>
      </c>
      <c r="AJ381" s="56">
        <v>12149.58</v>
      </c>
      <c r="AK381" s="56">
        <v>12266.12</v>
      </c>
      <c r="AL381" s="56">
        <v>17332.09</v>
      </c>
      <c r="AM381" s="56">
        <v>19446.68</v>
      </c>
      <c r="AN381" s="56">
        <v>24301.19</v>
      </c>
      <c r="AO381" s="56">
        <v>24714.34</v>
      </c>
      <c r="AP381" s="56">
        <v>28424.87</v>
      </c>
      <c r="AQ381" s="55">
        <v>30695.79</v>
      </c>
      <c r="AR381" s="55">
        <v>35274.58</v>
      </c>
      <c r="AS381" s="55">
        <v>34989.0</v>
      </c>
      <c r="AT381" s="55">
        <f t="array" ref="AT381">XLOOKUP(C381,'PL TOTAL D0'!A:A,'PL TOTAL D0'!C:C,"")</f>
        <v>35290.82</v>
      </c>
    </row>
    <row r="382" ht="15.75" customHeight="1">
      <c r="A382" s="6" t="s">
        <v>36</v>
      </c>
      <c r="B382" s="66" t="s">
        <v>1335</v>
      </c>
      <c r="C382" s="84" t="s">
        <v>1339</v>
      </c>
      <c r="D382" s="9" t="s">
        <v>18</v>
      </c>
      <c r="E382" s="24" t="s">
        <v>145</v>
      </c>
      <c r="F382" s="47" t="s">
        <v>171</v>
      </c>
      <c r="G382" s="47" t="str">
        <f t="shared" si="1"/>
        <v>#N/A</v>
      </c>
      <c r="H382" s="53" t="s">
        <v>116</v>
      </c>
      <c r="I382" s="53" t="s">
        <v>130</v>
      </c>
      <c r="J382" s="47" t="str">
        <f t="shared" si="4"/>
        <v>Não</v>
      </c>
      <c r="K382" s="59">
        <v>45364.0</v>
      </c>
      <c r="L382" s="64"/>
      <c r="M382" s="25" t="s">
        <v>99</v>
      </c>
      <c r="N382" s="60">
        <v>0.0</v>
      </c>
      <c r="O382" s="9" t="s">
        <v>24</v>
      </c>
      <c r="P382" s="61">
        <v>0.0</v>
      </c>
      <c r="Q382" s="106"/>
      <c r="R382" s="106"/>
      <c r="S382" s="106"/>
      <c r="T382" s="25" t="s">
        <v>89</v>
      </c>
      <c r="U382" s="25" t="s">
        <v>1338</v>
      </c>
      <c r="V382" s="9" t="s">
        <v>180</v>
      </c>
      <c r="W382" s="53" t="str">
        <f t="shared" si="3"/>
        <v>Ativo</v>
      </c>
      <c r="X382" s="24"/>
      <c r="Y382" s="54" t="s">
        <v>91</v>
      </c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5"/>
      <c r="AR382" s="55">
        <v>0.0</v>
      </c>
      <c r="AS382" s="55">
        <v>0.0</v>
      </c>
      <c r="AT382" s="55" t="str">
        <f t="array" ref="AT382">XLOOKUP(C382,'PL TOTAL D0'!A:A,'PL TOTAL D0'!C:C,"")</f>
        <v/>
      </c>
    </row>
    <row r="383" ht="15.75" customHeight="1">
      <c r="A383" s="44" t="s">
        <v>36</v>
      </c>
      <c r="B383" s="45" t="s">
        <v>1340</v>
      </c>
      <c r="C383" s="46" t="s">
        <v>1341</v>
      </c>
      <c r="D383" s="47" t="s">
        <v>18</v>
      </c>
      <c r="E383" s="24" t="s">
        <v>19</v>
      </c>
      <c r="F383" s="47" t="s">
        <v>20</v>
      </c>
      <c r="G383" s="47" t="str">
        <f t="shared" si="1"/>
        <v>Augusto</v>
      </c>
      <c r="H383" s="53" t="s">
        <v>116</v>
      </c>
      <c r="I383" s="53" t="s">
        <v>161</v>
      </c>
      <c r="J383" s="47" t="str">
        <f t="shared" si="4"/>
        <v>Não</v>
      </c>
      <c r="K383" s="49">
        <v>45014.0</v>
      </c>
      <c r="L383" s="24"/>
      <c r="M383" s="24" t="s">
        <v>162</v>
      </c>
      <c r="N383" s="50">
        <v>0.025</v>
      </c>
      <c r="O383" s="47" t="s">
        <v>163</v>
      </c>
      <c r="P383" s="51">
        <v>0.2</v>
      </c>
      <c r="Q383" s="106"/>
      <c r="R383" s="106"/>
      <c r="S383" s="106"/>
      <c r="T383" s="24" t="s">
        <v>89</v>
      </c>
      <c r="U383" s="25" t="s">
        <v>1342</v>
      </c>
      <c r="V383" s="9" t="s">
        <v>19</v>
      </c>
      <c r="W383" s="53" t="str">
        <f t="shared" si="3"/>
        <v>Ativo</v>
      </c>
      <c r="X383" s="24"/>
      <c r="Y383" s="54" t="s">
        <v>95</v>
      </c>
      <c r="Z383" s="56"/>
      <c r="AA383" s="56"/>
      <c r="AB383" s="56"/>
      <c r="AC383" s="56"/>
      <c r="AD383" s="56"/>
      <c r="AE383" s="56">
        <v>0.0</v>
      </c>
      <c r="AF383" s="56">
        <v>1896.74</v>
      </c>
      <c r="AG383" s="56">
        <v>1906.54</v>
      </c>
      <c r="AH383" s="56">
        <v>1919.93</v>
      </c>
      <c r="AI383" s="56">
        <v>4719.37</v>
      </c>
      <c r="AJ383" s="56">
        <v>4760.49</v>
      </c>
      <c r="AK383" s="56">
        <v>4803.86</v>
      </c>
      <c r="AL383" s="56">
        <v>4633.19</v>
      </c>
      <c r="AM383" s="56">
        <v>4462.58</v>
      </c>
      <c r="AN383" s="56">
        <v>4746.91</v>
      </c>
      <c r="AO383" s="56">
        <v>29.77</v>
      </c>
      <c r="AP383" s="56">
        <v>29.77</v>
      </c>
      <c r="AQ383" s="55">
        <v>30.02</v>
      </c>
      <c r="AR383" s="55">
        <v>30.02</v>
      </c>
      <c r="AS383" s="55">
        <v>30.02</v>
      </c>
      <c r="AT383" s="55">
        <f t="array" ref="AT383">XLOOKUP(C383,'PL TOTAL D0'!A:A,'PL TOTAL D0'!C:C,"")</f>
        <v>30.02</v>
      </c>
    </row>
    <row r="384" ht="15.75" customHeight="1">
      <c r="A384" s="44" t="s">
        <v>36</v>
      </c>
      <c r="B384" s="45" t="s">
        <v>1343</v>
      </c>
      <c r="C384" s="46" t="s">
        <v>1344</v>
      </c>
      <c r="D384" s="47" t="s">
        <v>18</v>
      </c>
      <c r="E384" s="24" t="s">
        <v>19</v>
      </c>
      <c r="F384" s="47" t="s">
        <v>230</v>
      </c>
      <c r="G384" s="47" t="str">
        <f t="shared" si="1"/>
        <v>Augusto</v>
      </c>
      <c r="H384" s="48" t="s">
        <v>88</v>
      </c>
      <c r="I384" s="48" t="s">
        <v>24</v>
      </c>
      <c r="J384" s="47" t="str">
        <f t="shared" si="4"/>
        <v>Sim</v>
      </c>
      <c r="K384" s="49">
        <v>44974.0</v>
      </c>
      <c r="L384" s="24"/>
      <c r="M384" s="24" t="s">
        <v>60</v>
      </c>
      <c r="N384" s="50">
        <v>0.012</v>
      </c>
      <c r="O384" s="47" t="s">
        <v>24</v>
      </c>
      <c r="P384" s="51">
        <v>0.0</v>
      </c>
      <c r="Q384" s="52" t="s">
        <v>1345</v>
      </c>
      <c r="R384" s="52"/>
      <c r="S384" s="52"/>
      <c r="T384" s="24" t="s">
        <v>89</v>
      </c>
      <c r="U384" s="25" t="s">
        <v>1346</v>
      </c>
      <c r="V384" s="9" t="s">
        <v>19</v>
      </c>
      <c r="W384" s="53" t="str">
        <f t="shared" si="3"/>
        <v>Ativo</v>
      </c>
      <c r="X384" s="24"/>
      <c r="Y384" s="54" t="s">
        <v>95</v>
      </c>
      <c r="Z384" s="56"/>
      <c r="AA384" s="56"/>
      <c r="AB384" s="56"/>
      <c r="AC384" s="56"/>
      <c r="AD384" s="56">
        <v>0.0</v>
      </c>
      <c r="AE384" s="56">
        <v>100035.14</v>
      </c>
      <c r="AF384" s="56">
        <v>101119.41</v>
      </c>
      <c r="AG384" s="56">
        <v>101836.34</v>
      </c>
      <c r="AH384" s="56">
        <v>102906.88</v>
      </c>
      <c r="AI384" s="56">
        <v>103590.46</v>
      </c>
      <c r="AJ384" s="56">
        <v>104499.45</v>
      </c>
      <c r="AK384" s="56">
        <v>105466.81</v>
      </c>
      <c r="AL384" s="56">
        <v>106326.76</v>
      </c>
      <c r="AM384" s="56">
        <v>107291.03</v>
      </c>
      <c r="AN384" s="56">
        <v>108038.36</v>
      </c>
      <c r="AO384" s="56">
        <v>108875.23</v>
      </c>
      <c r="AP384" s="56">
        <v>130026.38</v>
      </c>
      <c r="AQ384" s="55">
        <v>131005.55</v>
      </c>
      <c r="AR384" s="55">
        <v>131805.24</v>
      </c>
      <c r="AS384" s="55">
        <v>132837.94</v>
      </c>
      <c r="AT384" s="55">
        <f t="array" ref="AT384">XLOOKUP(C384,'PL TOTAL D0'!A:A,'PL TOTAL D0'!C:C,"")</f>
        <v>133423.2</v>
      </c>
    </row>
    <row r="385" ht="15.75" customHeight="1">
      <c r="A385" s="6" t="s">
        <v>36</v>
      </c>
      <c r="B385" s="57" t="s">
        <v>1347</v>
      </c>
      <c r="C385" s="58" t="s">
        <v>1348</v>
      </c>
      <c r="D385" s="9" t="s">
        <v>18</v>
      </c>
      <c r="E385" s="25" t="s">
        <v>29</v>
      </c>
      <c r="F385" s="9" t="s">
        <v>37</v>
      </c>
      <c r="G385" s="47" t="str">
        <f t="shared" si="1"/>
        <v>Augusto</v>
      </c>
      <c r="H385" s="53" t="s">
        <v>88</v>
      </c>
      <c r="I385" s="53" t="s">
        <v>24</v>
      </c>
      <c r="J385" s="47" t="str">
        <f t="shared" si="4"/>
        <v>Não</v>
      </c>
      <c r="K385" s="59">
        <v>45348.0</v>
      </c>
      <c r="L385" s="24"/>
      <c r="M385" s="25" t="s">
        <v>111</v>
      </c>
      <c r="N385" s="60">
        <v>0.016</v>
      </c>
      <c r="O385" s="9" t="s">
        <v>46</v>
      </c>
      <c r="P385" s="61">
        <v>0.2</v>
      </c>
      <c r="Q385" s="52"/>
      <c r="R385" s="52"/>
      <c r="S385" s="52"/>
      <c r="T385" s="25" t="s">
        <v>89</v>
      </c>
      <c r="U385" s="25" t="s">
        <v>1349</v>
      </c>
      <c r="V385" s="9" t="s">
        <v>180</v>
      </c>
      <c r="W385" s="53" t="str">
        <f t="shared" si="3"/>
        <v>Ativo</v>
      </c>
      <c r="X385" s="24"/>
      <c r="Y385" s="54" t="s">
        <v>95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5">
        <v>325808.13</v>
      </c>
      <c r="AR385" s="55">
        <v>327583.28</v>
      </c>
      <c r="AS385" s="55">
        <v>323740.89</v>
      </c>
      <c r="AT385" s="55">
        <f t="array" ref="AT385">XLOOKUP(C385,'PL TOTAL D0'!A:A,'PL TOTAL D0'!C:C,"")</f>
        <v>326610.2</v>
      </c>
    </row>
    <row r="386" ht="15.75" customHeight="1">
      <c r="A386" s="44" t="s">
        <v>36</v>
      </c>
      <c r="B386" s="45" t="s">
        <v>1350</v>
      </c>
      <c r="C386" s="46" t="s">
        <v>1351</v>
      </c>
      <c r="D386" s="47" t="s">
        <v>86</v>
      </c>
      <c r="E386" s="24" t="s">
        <v>29</v>
      </c>
      <c r="F386" s="47" t="s">
        <v>87</v>
      </c>
      <c r="G386" s="47" t="str">
        <f t="shared" si="1"/>
        <v>Augusto</v>
      </c>
      <c r="H386" s="48" t="s">
        <v>88</v>
      </c>
      <c r="I386" s="48" t="s">
        <v>24</v>
      </c>
      <c r="J386" s="47" t="str">
        <f t="shared" si="4"/>
        <v>Não</v>
      </c>
      <c r="K386" s="49">
        <v>45125.0</v>
      </c>
      <c r="L386" s="24"/>
      <c r="M386" s="24" t="s">
        <v>60</v>
      </c>
      <c r="N386" s="116">
        <v>0.007</v>
      </c>
      <c r="O386" s="47" t="s">
        <v>24</v>
      </c>
      <c r="P386" s="51">
        <v>0.0</v>
      </c>
      <c r="Q386" s="52"/>
      <c r="R386" s="52"/>
      <c r="S386" s="52"/>
      <c r="T386" s="24" t="s">
        <v>89</v>
      </c>
      <c r="U386" s="25" t="s">
        <v>1352</v>
      </c>
      <c r="V386" s="9" t="s">
        <v>1353</v>
      </c>
      <c r="W386" s="53" t="str">
        <f t="shared" si="3"/>
        <v>Ativo</v>
      </c>
      <c r="X386" s="24"/>
      <c r="Y386" s="54" t="s">
        <v>91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>
        <v>137980.08</v>
      </c>
      <c r="AK386" s="56">
        <v>138571.7</v>
      </c>
      <c r="AL386" s="56">
        <v>139252.64</v>
      </c>
      <c r="AM386" s="56">
        <v>140187.42</v>
      </c>
      <c r="AN386" s="56">
        <v>125068.1</v>
      </c>
      <c r="AO386" s="56">
        <v>115222.75</v>
      </c>
      <c r="AP386" s="56">
        <v>102160.26</v>
      </c>
      <c r="AQ386" s="55">
        <v>91325.16</v>
      </c>
      <c r="AR386" s="55">
        <v>74212.9</v>
      </c>
      <c r="AS386" s="55">
        <v>71225.99</v>
      </c>
      <c r="AT386" s="55">
        <f t="array" ref="AT386">XLOOKUP(C386,'PL TOTAL D0'!A:A,'PL TOTAL D0'!C:C,"")</f>
        <v>68152.4</v>
      </c>
    </row>
    <row r="387" ht="15.75" customHeight="1">
      <c r="A387" s="44" t="s">
        <v>36</v>
      </c>
      <c r="B387" s="68" t="s">
        <v>1354</v>
      </c>
      <c r="C387" s="73" t="s">
        <v>1355</v>
      </c>
      <c r="D387" s="47" t="s">
        <v>18</v>
      </c>
      <c r="E387" s="24" t="s">
        <v>29</v>
      </c>
      <c r="F387" s="47" t="s">
        <v>633</v>
      </c>
      <c r="G387" s="47" t="str">
        <f t="shared" si="1"/>
        <v>Augusto</v>
      </c>
      <c r="H387" s="48" t="s">
        <v>88</v>
      </c>
      <c r="I387" s="48" t="s">
        <v>24</v>
      </c>
      <c r="J387" s="47" t="str">
        <f t="shared" si="4"/>
        <v>Não</v>
      </c>
      <c r="K387" s="49">
        <v>45229.0</v>
      </c>
      <c r="L387" s="24"/>
      <c r="M387" s="24" t="s">
        <v>45</v>
      </c>
      <c r="N387" s="116">
        <v>0.012</v>
      </c>
      <c r="O387" s="47" t="s">
        <v>46</v>
      </c>
      <c r="P387" s="51">
        <v>0.1</v>
      </c>
      <c r="Q387" s="52"/>
      <c r="R387" s="52"/>
      <c r="S387" s="52"/>
      <c r="T387" s="24" t="s">
        <v>89</v>
      </c>
      <c r="U387" s="25" t="s">
        <v>1356</v>
      </c>
      <c r="V387" s="9" t="s">
        <v>29</v>
      </c>
      <c r="W387" s="53" t="str">
        <f t="shared" si="3"/>
        <v>Ativo</v>
      </c>
      <c r="X387" s="24"/>
      <c r="Y387" s="54" t="s">
        <v>95</v>
      </c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>
        <v>0.0</v>
      </c>
      <c r="AN387" s="56">
        <v>137488.4</v>
      </c>
      <c r="AO387" s="56">
        <v>139051.6</v>
      </c>
      <c r="AP387" s="56">
        <v>139785.27</v>
      </c>
      <c r="AQ387" s="55">
        <v>140349.0</v>
      </c>
      <c r="AR387" s="55">
        <v>141659.22</v>
      </c>
      <c r="AS387" s="55">
        <v>141206.35</v>
      </c>
      <c r="AT387" s="55">
        <f t="array" ref="AT387">XLOOKUP(C387,'PL TOTAL D0'!A:A,'PL TOTAL D0'!C:C,"")</f>
        <v>142056.5</v>
      </c>
    </row>
    <row r="388" ht="15.75" customHeight="1">
      <c r="A388" s="44" t="s">
        <v>36</v>
      </c>
      <c r="B388" s="45" t="s">
        <v>1357</v>
      </c>
      <c r="C388" s="46" t="s">
        <v>1358</v>
      </c>
      <c r="D388" s="47" t="s">
        <v>18</v>
      </c>
      <c r="E388" s="24" t="s">
        <v>19</v>
      </c>
      <c r="F388" s="47" t="s">
        <v>201</v>
      </c>
      <c r="G388" s="47" t="str">
        <f t="shared" si="1"/>
        <v>#N/A</v>
      </c>
      <c r="H388" s="48" t="s">
        <v>157</v>
      </c>
      <c r="I388" s="48" t="s">
        <v>24</v>
      </c>
      <c r="J388" s="47" t="str">
        <f t="shared" si="4"/>
        <v>Não</v>
      </c>
      <c r="K388" s="49">
        <v>44987.0</v>
      </c>
      <c r="L388" s="74">
        <v>45181.0</v>
      </c>
      <c r="M388" s="24" t="s">
        <v>60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1359</v>
      </c>
      <c r="T388" s="24" t="s">
        <v>89</v>
      </c>
      <c r="U388" s="25" t="s">
        <v>1360</v>
      </c>
      <c r="V388" s="9" t="s">
        <v>19</v>
      </c>
      <c r="W388" s="53" t="str">
        <f t="shared" si="3"/>
        <v>Encerrado</v>
      </c>
      <c r="X388" s="24"/>
      <c r="Y388" s="54"/>
      <c r="Z388" s="56"/>
      <c r="AA388" s="56"/>
      <c r="AB388" s="56"/>
      <c r="AC388" s="56"/>
      <c r="AD388" s="56">
        <v>0.0</v>
      </c>
      <c r="AE388" s="56">
        <v>60000.0</v>
      </c>
      <c r="AF388" s="56">
        <v>102534.0</v>
      </c>
      <c r="AG388" s="56">
        <v>153405.6</v>
      </c>
      <c r="AH388" s="56">
        <v>157716.83</v>
      </c>
      <c r="AI388" s="56">
        <v>270708.34</v>
      </c>
      <c r="AJ388" s="56">
        <v>314906.04</v>
      </c>
      <c r="AK388" s="56">
        <v>338203.14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36</v>
      </c>
      <c r="B389" s="57" t="s">
        <v>1357</v>
      </c>
      <c r="C389" s="46" t="s">
        <v>1361</v>
      </c>
      <c r="D389" s="47" t="s">
        <v>18</v>
      </c>
      <c r="E389" s="24" t="s">
        <v>19</v>
      </c>
      <c r="F389" s="47" t="s">
        <v>201</v>
      </c>
      <c r="G389" s="47" t="str">
        <f t="shared" si="1"/>
        <v>#N/A</v>
      </c>
      <c r="H389" s="48" t="s">
        <v>157</v>
      </c>
      <c r="I389" s="48" t="s">
        <v>24</v>
      </c>
      <c r="J389" s="47" t="str">
        <f t="shared" si="4"/>
        <v>Não</v>
      </c>
      <c r="K389" s="49">
        <v>45163.0</v>
      </c>
      <c r="L389" s="74">
        <v>45182.0</v>
      </c>
      <c r="M389" s="24" t="s">
        <v>60</v>
      </c>
      <c r="N389" s="50">
        <v>0.007</v>
      </c>
      <c r="O389" s="47" t="s">
        <v>24</v>
      </c>
      <c r="P389" s="51">
        <v>0.0</v>
      </c>
      <c r="Q389" s="52"/>
      <c r="R389" s="52"/>
      <c r="S389" s="62" t="s">
        <v>1359</v>
      </c>
      <c r="T389" s="24" t="s">
        <v>89</v>
      </c>
      <c r="U389" s="25" t="s">
        <v>1360</v>
      </c>
      <c r="V389" s="9" t="s">
        <v>19</v>
      </c>
      <c r="W389" s="53" t="str">
        <f t="shared" si="3"/>
        <v>Encerrado</v>
      </c>
      <c r="X389" s="24"/>
      <c r="Y389" s="54"/>
      <c r="Z389" s="56"/>
      <c r="AA389" s="56"/>
      <c r="AB389" s="56"/>
      <c r="AC389" s="56"/>
      <c r="AD389" s="56">
        <v>0.0</v>
      </c>
      <c r="AE389" s="56">
        <v>0.0</v>
      </c>
      <c r="AF389" s="56">
        <v>0.0</v>
      </c>
      <c r="AG389" s="56">
        <v>0.0</v>
      </c>
      <c r="AH389" s="56">
        <v>0.0</v>
      </c>
      <c r="AI389" s="56">
        <v>0.0</v>
      </c>
      <c r="AJ389" s="56">
        <v>0.0</v>
      </c>
      <c r="AK389" s="56">
        <v>0.0</v>
      </c>
      <c r="AL389" s="56">
        <v>0.0</v>
      </c>
      <c r="AM389" s="56">
        <v>0.0</v>
      </c>
      <c r="AN389" s="56">
        <v>0.0</v>
      </c>
      <c r="AO389" s="56">
        <v>0.0</v>
      </c>
      <c r="AP389" s="56">
        <v>0.0</v>
      </c>
      <c r="AQ389" s="55">
        <v>0.0</v>
      </c>
      <c r="AR389" s="55">
        <v>0.0</v>
      </c>
      <c r="AS389" s="55">
        <v>0.0</v>
      </c>
      <c r="AT389" s="55" t="str">
        <f t="array" ref="AT389">XLOOKUP(C389,'PL TOTAL D0'!A:A,'PL TOTAL D0'!C:C,"")</f>
        <v/>
      </c>
    </row>
    <row r="390" ht="15.75" customHeight="1">
      <c r="A390" s="44" t="s">
        <v>36</v>
      </c>
      <c r="B390" s="45" t="s">
        <v>1362</v>
      </c>
      <c r="C390" s="46" t="s">
        <v>1363</v>
      </c>
      <c r="D390" s="47" t="s">
        <v>18</v>
      </c>
      <c r="E390" s="24" t="s">
        <v>29</v>
      </c>
      <c r="F390" s="47" t="s">
        <v>761</v>
      </c>
      <c r="G390" s="47" t="str">
        <f t="shared" si="1"/>
        <v>Augusto</v>
      </c>
      <c r="H390" s="48" t="s">
        <v>88</v>
      </c>
      <c r="I390" s="48" t="s">
        <v>24</v>
      </c>
      <c r="J390" s="47" t="str">
        <f t="shared" si="4"/>
        <v>Não</v>
      </c>
      <c r="K390" s="49">
        <v>45155.0</v>
      </c>
      <c r="L390" s="24"/>
      <c r="M390" s="24" t="s">
        <v>60</v>
      </c>
      <c r="N390" s="50">
        <v>0.007</v>
      </c>
      <c r="O390" s="47" t="s">
        <v>24</v>
      </c>
      <c r="P390" s="51">
        <v>0.0</v>
      </c>
      <c r="Q390" s="52"/>
      <c r="R390" s="52"/>
      <c r="S390" s="52"/>
      <c r="T390" s="24" t="s">
        <v>89</v>
      </c>
      <c r="U390" s="25" t="s">
        <v>1364</v>
      </c>
      <c r="V390" s="9" t="s">
        <v>29</v>
      </c>
      <c r="W390" s="53" t="str">
        <f t="shared" si="3"/>
        <v>Ativo</v>
      </c>
      <c r="X390" s="24"/>
      <c r="Y390" s="54" t="s">
        <v>95</v>
      </c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>
        <v>52603.38</v>
      </c>
      <c r="AL390" s="56">
        <v>58632.55</v>
      </c>
      <c r="AM390" s="56">
        <v>128721.41</v>
      </c>
      <c r="AN390" s="56">
        <v>133384.12</v>
      </c>
      <c r="AO390" s="56">
        <v>137232.47</v>
      </c>
      <c r="AP390" s="56">
        <v>144970.06</v>
      </c>
      <c r="AQ390" s="55">
        <v>151229.1</v>
      </c>
      <c r="AR390" s="55">
        <v>163997.52</v>
      </c>
      <c r="AS390" s="55">
        <v>165846.09</v>
      </c>
      <c r="AT390" s="55">
        <f t="array" ref="AT390">XLOOKUP(C390,'PL TOTAL D0'!A:A,'PL TOTAL D0'!C:C,"")</f>
        <v>166895.5</v>
      </c>
    </row>
    <row r="391" ht="15.75" customHeight="1">
      <c r="A391" s="44" t="s">
        <v>36</v>
      </c>
      <c r="B391" s="45" t="s">
        <v>1365</v>
      </c>
      <c r="C391" s="46" t="s">
        <v>1366</v>
      </c>
      <c r="D391" s="47" t="s">
        <v>18</v>
      </c>
      <c r="E391" s="24" t="s">
        <v>29</v>
      </c>
      <c r="F391" s="47" t="s">
        <v>58</v>
      </c>
      <c r="G391" s="47" t="str">
        <f t="shared" si="1"/>
        <v>Augusto</v>
      </c>
      <c r="H391" s="53" t="s">
        <v>88</v>
      </c>
      <c r="I391" s="53" t="s">
        <v>24</v>
      </c>
      <c r="J391" s="47" t="str">
        <f t="shared" si="4"/>
        <v>Sim</v>
      </c>
      <c r="K391" s="49">
        <v>44973.0</v>
      </c>
      <c r="L391" s="24"/>
      <c r="M391" s="25" t="s">
        <v>99</v>
      </c>
      <c r="N391" s="60">
        <v>0.0</v>
      </c>
      <c r="O391" s="9" t="s">
        <v>24</v>
      </c>
      <c r="P391" s="61">
        <v>0.0</v>
      </c>
      <c r="Q391" s="62" t="s">
        <v>559</v>
      </c>
      <c r="R391" s="52"/>
      <c r="S391" s="132" t="s">
        <v>560</v>
      </c>
      <c r="T391" s="24" t="s">
        <v>89</v>
      </c>
      <c r="U391" s="25" t="s">
        <v>1367</v>
      </c>
      <c r="V391" s="9" t="s">
        <v>29</v>
      </c>
      <c r="W391" s="53" t="str">
        <f t="shared" si="3"/>
        <v>Ativo</v>
      </c>
      <c r="X391" s="24"/>
      <c r="Y391" s="54" t="s">
        <v>95</v>
      </c>
      <c r="Z391" s="56"/>
      <c r="AA391" s="56"/>
      <c r="AB391" s="56"/>
      <c r="AC391" s="56"/>
      <c r="AD391" s="56">
        <v>0.0</v>
      </c>
      <c r="AE391" s="56">
        <v>6050.41</v>
      </c>
      <c r="AF391" s="56">
        <v>6120.43</v>
      </c>
      <c r="AG391" s="56">
        <v>14160.03</v>
      </c>
      <c r="AH391" s="56">
        <v>46550.74</v>
      </c>
      <c r="AI391" s="56">
        <v>46962.62</v>
      </c>
      <c r="AJ391" s="56">
        <v>47341.05</v>
      </c>
      <c r="AK391" s="56">
        <v>47540.6</v>
      </c>
      <c r="AL391" s="56">
        <v>47745.93</v>
      </c>
      <c r="AM391" s="56">
        <v>48047.89</v>
      </c>
      <c r="AN391" s="56">
        <v>48101.94</v>
      </c>
      <c r="AO391" s="56">
        <v>48460.62</v>
      </c>
      <c r="AP391" s="56">
        <v>47877.09</v>
      </c>
      <c r="AQ391" s="55">
        <v>48344.89</v>
      </c>
      <c r="AR391" s="55">
        <v>48852.6</v>
      </c>
      <c r="AS391" s="55">
        <v>48587.21</v>
      </c>
      <c r="AT391" s="55">
        <f t="array" ref="AT391">XLOOKUP(C391,'PL TOTAL D0'!A:A,'PL TOTAL D0'!C:C,"")</f>
        <v>48964.1</v>
      </c>
    </row>
    <row r="392" ht="15.75" customHeight="1">
      <c r="A392" s="44" t="s">
        <v>36</v>
      </c>
      <c r="B392" s="45" t="s">
        <v>1368</v>
      </c>
      <c r="C392" s="46" t="s">
        <v>1369</v>
      </c>
      <c r="D392" s="47" t="s">
        <v>18</v>
      </c>
      <c r="E392" s="24" t="s">
        <v>29</v>
      </c>
      <c r="F392" s="47" t="s">
        <v>110</v>
      </c>
      <c r="G392" s="47" t="str">
        <f t="shared" si="1"/>
        <v>Augusto</v>
      </c>
      <c r="H392" s="48" t="s">
        <v>88</v>
      </c>
      <c r="I392" s="48" t="s">
        <v>24</v>
      </c>
      <c r="J392" s="47" t="str">
        <f t="shared" si="4"/>
        <v>Não</v>
      </c>
      <c r="K392" s="49">
        <v>44950.0</v>
      </c>
      <c r="L392" s="24"/>
      <c r="M392" s="24" t="s">
        <v>111</v>
      </c>
      <c r="N392" s="50">
        <v>0.015</v>
      </c>
      <c r="O392" s="47" t="s">
        <v>46</v>
      </c>
      <c r="P392" s="51">
        <v>0.1</v>
      </c>
      <c r="Q392" s="52"/>
      <c r="R392" s="52"/>
      <c r="S392" s="52"/>
      <c r="T392" s="24" t="s">
        <v>89</v>
      </c>
      <c r="U392" s="25" t="s">
        <v>1370</v>
      </c>
      <c r="V392" s="9" t="s">
        <v>1371</v>
      </c>
      <c r="W392" s="53" t="str">
        <f t="shared" si="3"/>
        <v>Ativo</v>
      </c>
      <c r="X392" s="24"/>
      <c r="Y392" s="54" t="s">
        <v>95</v>
      </c>
      <c r="Z392" s="56"/>
      <c r="AA392" s="56"/>
      <c r="AB392" s="56"/>
      <c r="AC392" s="56"/>
      <c r="AD392" s="56">
        <v>45032.3</v>
      </c>
      <c r="AE392" s="56">
        <v>45427.45</v>
      </c>
      <c r="AF392" s="56">
        <v>45916.51</v>
      </c>
      <c r="AG392" s="56">
        <v>46229.26</v>
      </c>
      <c r="AH392" s="56">
        <v>46739.32</v>
      </c>
      <c r="AI392" s="56">
        <v>65307.83</v>
      </c>
      <c r="AJ392" s="56">
        <v>75863.42</v>
      </c>
      <c r="AK392" s="56">
        <v>85703.16</v>
      </c>
      <c r="AL392" s="56">
        <v>101333.44</v>
      </c>
      <c r="AM392" s="56">
        <v>101439.73</v>
      </c>
      <c r="AN392" s="56">
        <v>103756.43</v>
      </c>
      <c r="AO392" s="56">
        <v>119426.87</v>
      </c>
      <c r="AP392" s="56">
        <v>126093.77</v>
      </c>
      <c r="AQ392" s="55">
        <v>135178.23</v>
      </c>
      <c r="AR392" s="55">
        <v>144495.55</v>
      </c>
      <c r="AS392" s="55">
        <v>126.75</v>
      </c>
      <c r="AT392" s="55">
        <f t="array" ref="AT392">XLOOKUP(C392,'PL TOTAL D0'!A:A,'PL TOTAL D0'!C:C,"")</f>
        <v>126.75</v>
      </c>
    </row>
    <row r="393" ht="15.75" customHeight="1">
      <c r="A393" s="44" t="s">
        <v>36</v>
      </c>
      <c r="B393" s="45" t="s">
        <v>1372</v>
      </c>
      <c r="C393" s="46" t="s">
        <v>1373</v>
      </c>
      <c r="D393" s="47" t="s">
        <v>18</v>
      </c>
      <c r="E393" s="24" t="s">
        <v>29</v>
      </c>
      <c r="F393" s="47" t="s">
        <v>137</v>
      </c>
      <c r="G393" s="47" t="str">
        <f t="shared" si="1"/>
        <v>Augusto</v>
      </c>
      <c r="H393" s="48" t="s">
        <v>88</v>
      </c>
      <c r="I393" s="48" t="s">
        <v>24</v>
      </c>
      <c r="J393" s="47" t="str">
        <f t="shared" si="4"/>
        <v>Não</v>
      </c>
      <c r="K393" s="49">
        <v>44953.0</v>
      </c>
      <c r="L393" s="24"/>
      <c r="M393" s="24" t="s">
        <v>60</v>
      </c>
      <c r="N393" s="50">
        <v>0.012</v>
      </c>
      <c r="O393" s="47" t="s">
        <v>24</v>
      </c>
      <c r="P393" s="51">
        <v>0.0</v>
      </c>
      <c r="Q393" s="52"/>
      <c r="R393" s="52"/>
      <c r="S393" s="52"/>
      <c r="T393" s="24" t="s">
        <v>89</v>
      </c>
      <c r="U393" s="25" t="s">
        <v>1374</v>
      </c>
      <c r="V393" s="9" t="s">
        <v>29</v>
      </c>
      <c r="W393" s="53" t="str">
        <f t="shared" si="3"/>
        <v>Ativo</v>
      </c>
      <c r="X393" s="24"/>
      <c r="Y393" s="54" t="s">
        <v>95</v>
      </c>
      <c r="Z393" s="56"/>
      <c r="AA393" s="56"/>
      <c r="AB393" s="56"/>
      <c r="AC393" s="56"/>
      <c r="AD393" s="56">
        <v>37951.88</v>
      </c>
      <c r="AE393" s="56">
        <v>80366.67</v>
      </c>
      <c r="AF393" s="56">
        <v>81226.47</v>
      </c>
      <c r="AG393" s="56">
        <v>81824.72</v>
      </c>
      <c r="AH393" s="56">
        <v>129627.9</v>
      </c>
      <c r="AI393" s="56">
        <v>130683.94</v>
      </c>
      <c r="AJ393" s="56">
        <v>131755.43</v>
      </c>
      <c r="AK393" s="56">
        <v>133041.37</v>
      </c>
      <c r="AL393" s="56">
        <v>134172.01</v>
      </c>
      <c r="AM393" s="56">
        <v>135424.92</v>
      </c>
      <c r="AN393" s="56">
        <v>136471.81</v>
      </c>
      <c r="AO393" s="56">
        <v>137256.54</v>
      </c>
      <c r="AP393" s="56">
        <v>137681.35</v>
      </c>
      <c r="AQ393" s="55">
        <v>138635.19</v>
      </c>
      <c r="AR393" s="55">
        <v>139736.26</v>
      </c>
      <c r="AS393" s="55">
        <v>140809.29</v>
      </c>
      <c r="AT393" s="55">
        <f t="array" ref="AT393">XLOOKUP(C393,'PL TOTAL D0'!A:A,'PL TOTAL D0'!C:C,"")</f>
        <v>141389.3</v>
      </c>
    </row>
    <row r="394" ht="15.75" customHeight="1">
      <c r="A394" s="6" t="s">
        <v>36</v>
      </c>
      <c r="B394" s="57" t="s">
        <v>1375</v>
      </c>
      <c r="C394" s="58" t="s">
        <v>1376</v>
      </c>
      <c r="D394" s="9" t="s">
        <v>18</v>
      </c>
      <c r="E394" s="25" t="s">
        <v>29</v>
      </c>
      <c r="F394" s="9" t="s">
        <v>110</v>
      </c>
      <c r="G394" s="47" t="str">
        <f t="shared" si="1"/>
        <v>#N/A</v>
      </c>
      <c r="H394" s="53" t="s">
        <v>116</v>
      </c>
      <c r="I394" s="53" t="s">
        <v>24</v>
      </c>
      <c r="J394" s="47" t="str">
        <f t="shared" si="4"/>
        <v>Não</v>
      </c>
      <c r="K394" s="59">
        <v>45322.0</v>
      </c>
      <c r="L394" s="24"/>
      <c r="M394" s="25" t="s">
        <v>60</v>
      </c>
      <c r="N394" s="60">
        <v>0.01</v>
      </c>
      <c r="O394" s="9" t="s">
        <v>24</v>
      </c>
      <c r="P394" s="61">
        <v>0.0</v>
      </c>
      <c r="Q394" s="52"/>
      <c r="R394" s="52"/>
      <c r="S394" s="62" t="s">
        <v>1377</v>
      </c>
      <c r="T394" s="25" t="s">
        <v>89</v>
      </c>
      <c r="U394" s="25" t="s">
        <v>1378</v>
      </c>
      <c r="V394" s="9" t="s">
        <v>19</v>
      </c>
      <c r="W394" s="53" t="str">
        <f t="shared" si="3"/>
        <v>Ativo</v>
      </c>
      <c r="X394" s="24"/>
      <c r="Y394" s="54" t="s">
        <v>95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0.0</v>
      </c>
      <c r="AQ394" s="55">
        <v>135193.12</v>
      </c>
      <c r="AR394" s="55">
        <v>0.0</v>
      </c>
      <c r="AS394" s="55">
        <v>0.0</v>
      </c>
      <c r="AT394" s="55" t="str">
        <f t="array" ref="AT394">XLOOKUP(C394,'PL TOTAL D0'!A:A,'PL TOTAL D0'!C:C,"")</f>
        <v/>
      </c>
    </row>
    <row r="395" ht="15.75" customHeight="1">
      <c r="A395" s="6" t="s">
        <v>36</v>
      </c>
      <c r="B395" s="57" t="s">
        <v>1379</v>
      </c>
      <c r="C395" s="58" t="s">
        <v>1380</v>
      </c>
      <c r="D395" s="9" t="s">
        <v>822</v>
      </c>
      <c r="E395" s="25" t="s">
        <v>19</v>
      </c>
      <c r="F395" s="9" t="s">
        <v>823</v>
      </c>
      <c r="G395" s="47" t="str">
        <f t="shared" si="1"/>
        <v>Breno</v>
      </c>
      <c r="H395" s="53" t="s">
        <v>88</v>
      </c>
      <c r="I395" s="53" t="s">
        <v>24</v>
      </c>
      <c r="J395" s="47" t="str">
        <f t="shared" si="4"/>
        <v>Não</v>
      </c>
      <c r="K395" s="59">
        <v>45314.0</v>
      </c>
      <c r="L395" s="24"/>
      <c r="M395" s="25" t="s">
        <v>60</v>
      </c>
      <c r="N395" s="60">
        <v>0.012</v>
      </c>
      <c r="O395" s="9" t="s">
        <v>24</v>
      </c>
      <c r="P395" s="61">
        <v>0.0</v>
      </c>
      <c r="Q395" s="52"/>
      <c r="R395" s="52"/>
      <c r="S395" s="52"/>
      <c r="T395" s="25" t="s">
        <v>89</v>
      </c>
      <c r="U395" s="25" t="s">
        <v>1381</v>
      </c>
      <c r="V395" s="9" t="s">
        <v>19</v>
      </c>
      <c r="W395" s="53" t="str">
        <f t="shared" si="3"/>
        <v>Ativo</v>
      </c>
      <c r="X395" s="24"/>
      <c r="Y395" s="54" t="s">
        <v>95</v>
      </c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>
        <v>350558.06</v>
      </c>
      <c r="AQ395" s="55">
        <v>403578.75</v>
      </c>
      <c r="AR395" s="55">
        <v>567918.27</v>
      </c>
      <c r="AS395" s="55">
        <v>620290.48</v>
      </c>
      <c r="AT395" s="55">
        <f t="array" ref="AT395">XLOOKUP(C395,'PL TOTAL D0'!A:A,'PL TOTAL D0'!C:C,"")</f>
        <v>622335.2</v>
      </c>
    </row>
    <row r="396" ht="15.0" customHeight="1">
      <c r="A396" s="44" t="s">
        <v>36</v>
      </c>
      <c r="B396" s="63" t="s">
        <v>1382</v>
      </c>
      <c r="C396" s="46" t="s">
        <v>1383</v>
      </c>
      <c r="D396" s="47" t="s">
        <v>86</v>
      </c>
      <c r="E396" s="24" t="s">
        <v>29</v>
      </c>
      <c r="F396" s="24" t="s">
        <v>115</v>
      </c>
      <c r="G396" s="47" t="str">
        <f t="shared" si="1"/>
        <v>#N/A</v>
      </c>
      <c r="H396" s="53" t="s">
        <v>157</v>
      </c>
      <c r="I396" s="48" t="s">
        <v>24</v>
      </c>
      <c r="J396" s="47" t="str">
        <f t="shared" si="4"/>
        <v>Não</v>
      </c>
      <c r="K396" s="49">
        <v>44998.0</v>
      </c>
      <c r="L396" s="110">
        <v>45407.0</v>
      </c>
      <c r="M396" s="24" t="s">
        <v>111</v>
      </c>
      <c r="N396" s="50">
        <v>0.015</v>
      </c>
      <c r="O396" s="47" t="s">
        <v>46</v>
      </c>
      <c r="P396" s="51">
        <v>0.1</v>
      </c>
      <c r="Q396" s="52"/>
      <c r="R396" s="52"/>
      <c r="S396" s="62" t="s">
        <v>1384</v>
      </c>
      <c r="T396" s="24" t="s">
        <v>89</v>
      </c>
      <c r="U396" s="25" t="s">
        <v>1385</v>
      </c>
      <c r="V396" s="9" t="s">
        <v>29</v>
      </c>
      <c r="W396" s="53" t="str">
        <f t="shared" si="3"/>
        <v>Encerrado</v>
      </c>
      <c r="X396" s="24"/>
      <c r="Y396" s="54" t="s">
        <v>91</v>
      </c>
      <c r="Z396" s="56"/>
      <c r="AA396" s="56"/>
      <c r="AB396" s="56"/>
      <c r="AC396" s="56"/>
      <c r="AD396" s="56"/>
      <c r="AE396" s="56"/>
      <c r="AF396" s="56">
        <v>162023.29</v>
      </c>
      <c r="AG396" s="56">
        <v>444063.69</v>
      </c>
      <c r="AH396" s="56">
        <v>168414.97</v>
      </c>
      <c r="AI396" s="56">
        <v>170952.21</v>
      </c>
      <c r="AJ396" s="56">
        <v>171906.21</v>
      </c>
      <c r="AK396" s="56">
        <v>171802.08</v>
      </c>
      <c r="AL396" s="56">
        <v>172413.02</v>
      </c>
      <c r="AM396" s="56">
        <v>171877.91</v>
      </c>
      <c r="AN396" s="56">
        <v>175962.99</v>
      </c>
      <c r="AO396" s="56">
        <v>179581.79</v>
      </c>
      <c r="AP396" s="56">
        <v>176745.19</v>
      </c>
      <c r="AQ396" s="55">
        <v>178110.95</v>
      </c>
      <c r="AR396" s="55">
        <v>179899.19</v>
      </c>
      <c r="AS396" s="55">
        <v>0.0</v>
      </c>
      <c r="AT396" s="55" t="str">
        <f t="array" ref="AT396">XLOOKUP(C396,'PL TOTAL D0'!A:A,'PL TOTAL D0'!C:C,"")</f>
        <v/>
      </c>
    </row>
    <row r="397" ht="15.75" customHeight="1">
      <c r="A397" s="44" t="s">
        <v>36</v>
      </c>
      <c r="B397" s="45" t="s">
        <v>1386</v>
      </c>
      <c r="C397" s="46" t="s">
        <v>1387</v>
      </c>
      <c r="D397" s="47" t="s">
        <v>18</v>
      </c>
      <c r="E397" s="24" t="s">
        <v>19</v>
      </c>
      <c r="F397" s="47" t="s">
        <v>230</v>
      </c>
      <c r="G397" s="47" t="str">
        <f t="shared" si="1"/>
        <v>Bruno</v>
      </c>
      <c r="H397" s="53" t="s">
        <v>88</v>
      </c>
      <c r="I397" s="53" t="s">
        <v>24</v>
      </c>
      <c r="J397" s="47" t="str">
        <f t="shared" si="4"/>
        <v>Sim</v>
      </c>
      <c r="K397" s="49">
        <v>44972.0</v>
      </c>
      <c r="L397" s="24"/>
      <c r="M397" s="25" t="s">
        <v>45</v>
      </c>
      <c r="N397" s="50">
        <v>0.012</v>
      </c>
      <c r="O397" s="9" t="s">
        <v>46</v>
      </c>
      <c r="P397" s="61">
        <v>0.1</v>
      </c>
      <c r="Q397" s="15" t="s">
        <v>1388</v>
      </c>
      <c r="R397" s="52"/>
      <c r="S397" s="62" t="s">
        <v>1389</v>
      </c>
      <c r="T397" s="24" t="s">
        <v>89</v>
      </c>
      <c r="U397" s="25" t="s">
        <v>1390</v>
      </c>
      <c r="V397" s="9" t="s">
        <v>19</v>
      </c>
      <c r="W397" s="53" t="str">
        <f t="shared" si="3"/>
        <v>Ativo</v>
      </c>
      <c r="X397" s="24"/>
      <c r="Y397" s="54" t="s">
        <v>95</v>
      </c>
      <c r="Z397" s="56"/>
      <c r="AA397" s="56"/>
      <c r="AB397" s="56"/>
      <c r="AC397" s="56"/>
      <c r="AD397" s="56">
        <v>0.0</v>
      </c>
      <c r="AE397" s="56">
        <v>2781216.38</v>
      </c>
      <c r="AF397" s="56">
        <v>2812243.72</v>
      </c>
      <c r="AG397" s="56">
        <v>2836358.2</v>
      </c>
      <c r="AH397" s="56">
        <v>2870623.99</v>
      </c>
      <c r="AI397" s="56">
        <v>2901586.24</v>
      </c>
      <c r="AJ397" s="56">
        <v>2927527.12</v>
      </c>
      <c r="AK397" s="56">
        <v>3070459.36</v>
      </c>
      <c r="AL397" s="56">
        <v>3092897.17</v>
      </c>
      <c r="AM397" s="56">
        <v>3121736.93</v>
      </c>
      <c r="AN397" s="56">
        <v>3144175.92</v>
      </c>
      <c r="AO397" s="56">
        <v>3167084.36</v>
      </c>
      <c r="AP397" s="56">
        <v>3195039.22</v>
      </c>
      <c r="AQ397" s="55">
        <v>3208384.34</v>
      </c>
      <c r="AR397" s="55">
        <v>3214698.19</v>
      </c>
      <c r="AS397" s="55">
        <v>3213986.27</v>
      </c>
      <c r="AT397" s="55">
        <f t="array" ref="AT397">XLOOKUP(C397,'PL TOTAL D0'!A:A,'PL TOTAL D0'!C:C,"")</f>
        <v>3234493</v>
      </c>
    </row>
    <row r="398" ht="15.75" customHeight="1">
      <c r="A398" s="44" t="s">
        <v>36</v>
      </c>
      <c r="B398" s="45" t="s">
        <v>1391</v>
      </c>
      <c r="C398" s="46" t="s">
        <v>1392</v>
      </c>
      <c r="D398" s="47" t="s">
        <v>18</v>
      </c>
      <c r="E398" s="24" t="s">
        <v>19</v>
      </c>
      <c r="F398" s="47" t="s">
        <v>20</v>
      </c>
      <c r="G398" s="47" t="str">
        <f t="shared" si="1"/>
        <v>#N/A</v>
      </c>
      <c r="H398" s="53" t="s">
        <v>116</v>
      </c>
      <c r="I398" s="48" t="s">
        <v>161</v>
      </c>
      <c r="J398" s="47" t="str">
        <f t="shared" si="4"/>
        <v>Não</v>
      </c>
      <c r="K398" s="49">
        <v>45056.0</v>
      </c>
      <c r="L398" s="24"/>
      <c r="M398" s="24" t="s">
        <v>60</v>
      </c>
      <c r="N398" s="50">
        <v>0.012</v>
      </c>
      <c r="O398" s="47" t="s">
        <v>24</v>
      </c>
      <c r="P398" s="51">
        <v>0.0</v>
      </c>
      <c r="Q398" s="52"/>
      <c r="R398" s="52"/>
      <c r="S398" s="52"/>
      <c r="T398" s="24" t="s">
        <v>89</v>
      </c>
      <c r="U398" s="25" t="s">
        <v>1393</v>
      </c>
      <c r="V398" s="9" t="s">
        <v>19</v>
      </c>
      <c r="W398" s="53" t="str">
        <f t="shared" si="3"/>
        <v>Ativo</v>
      </c>
      <c r="X398" s="24"/>
      <c r="Y398" s="54" t="s">
        <v>95</v>
      </c>
      <c r="Z398" s="56"/>
      <c r="AA398" s="56"/>
      <c r="AB398" s="56"/>
      <c r="AC398" s="56"/>
      <c r="AD398" s="56"/>
      <c r="AE398" s="56"/>
      <c r="AF398" s="56"/>
      <c r="AG398" s="56">
        <v>0.0</v>
      </c>
      <c r="AH398" s="56">
        <v>8.53</v>
      </c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36</v>
      </c>
      <c r="B399" s="177" t="s">
        <v>1394</v>
      </c>
      <c r="C399" s="178" t="s">
        <v>1395</v>
      </c>
      <c r="D399" s="47" t="s">
        <v>18</v>
      </c>
      <c r="E399" s="24" t="s">
        <v>19</v>
      </c>
      <c r="F399" s="47" t="s">
        <v>230</v>
      </c>
      <c r="G399" s="47" t="str">
        <f t="shared" si="1"/>
        <v>#N/A</v>
      </c>
      <c r="H399" s="48" t="s">
        <v>116</v>
      </c>
      <c r="I399" s="48" t="s">
        <v>130</v>
      </c>
      <c r="J399" s="47" t="str">
        <f t="shared" si="4"/>
        <v>Não</v>
      </c>
      <c r="K399" s="49">
        <v>45166.0</v>
      </c>
      <c r="L399" s="198"/>
      <c r="M399" s="24" t="s">
        <v>60</v>
      </c>
      <c r="N399" s="50">
        <v>0.012</v>
      </c>
      <c r="O399" s="47" t="s">
        <v>24</v>
      </c>
      <c r="P399" s="51">
        <v>0.0</v>
      </c>
      <c r="Q399" s="52"/>
      <c r="R399" s="52"/>
      <c r="S399" s="62" t="s">
        <v>1220</v>
      </c>
      <c r="T399" s="24" t="s">
        <v>89</v>
      </c>
      <c r="U399" s="25" t="s">
        <v>1396</v>
      </c>
      <c r="V399" s="9" t="s">
        <v>19</v>
      </c>
      <c r="W399" s="53" t="str">
        <f t="shared" si="3"/>
        <v>Ativo</v>
      </c>
      <c r="X399" s="24"/>
      <c r="Y399" s="54" t="s">
        <v>95</v>
      </c>
      <c r="Z399" s="56"/>
      <c r="AA399" s="56"/>
      <c r="AB399" s="56"/>
      <c r="AC399" s="56"/>
      <c r="AD399" s="56"/>
      <c r="AE399" s="56"/>
      <c r="AF399" s="56"/>
      <c r="AG399" s="56"/>
      <c r="AH399" s="56"/>
      <c r="AI399" s="56">
        <v>0.0</v>
      </c>
      <c r="AJ399" s="56">
        <v>0.0</v>
      </c>
      <c r="AK399" s="56">
        <v>0.0</v>
      </c>
      <c r="AL399" s="56">
        <v>0.0</v>
      </c>
      <c r="AM399" s="56">
        <v>0.0</v>
      </c>
      <c r="AN399" s="56">
        <v>0.0</v>
      </c>
      <c r="AO399" s="56">
        <v>0.0</v>
      </c>
      <c r="AP399" s="56">
        <v>0.0</v>
      </c>
      <c r="AQ399" s="55">
        <v>0.0</v>
      </c>
      <c r="AR399" s="55">
        <v>0.0</v>
      </c>
      <c r="AS399" s="55">
        <v>0.0</v>
      </c>
      <c r="AT399" s="55" t="str">
        <f t="array" ref="AT399">XLOOKUP(C399,'PL TOTAL D0'!A:A,'PL TOTAL D0'!C:C,"")</f>
        <v/>
      </c>
    </row>
    <row r="400" ht="15.75" customHeight="1">
      <c r="A400" s="44" t="s">
        <v>36</v>
      </c>
      <c r="B400" s="45" t="s">
        <v>1397</v>
      </c>
      <c r="C400" s="46" t="s">
        <v>1398</v>
      </c>
      <c r="D400" s="47" t="s">
        <v>18</v>
      </c>
      <c r="E400" s="24" t="s">
        <v>29</v>
      </c>
      <c r="F400" s="47" t="s">
        <v>110</v>
      </c>
      <c r="G400" s="47" t="str">
        <f t="shared" si="1"/>
        <v>Augusto</v>
      </c>
      <c r="H400" s="48" t="s">
        <v>88</v>
      </c>
      <c r="I400" s="48" t="s">
        <v>24</v>
      </c>
      <c r="J400" s="47" t="str">
        <f t="shared" si="4"/>
        <v>Não</v>
      </c>
      <c r="K400" s="49">
        <v>45065.0</v>
      </c>
      <c r="L400" s="24"/>
      <c r="M400" s="24" t="s">
        <v>60</v>
      </c>
      <c r="N400" s="50">
        <v>0.007</v>
      </c>
      <c r="O400" s="47" t="s">
        <v>24</v>
      </c>
      <c r="P400" s="51">
        <v>0.0</v>
      </c>
      <c r="Q400" s="52"/>
      <c r="R400" s="52"/>
      <c r="S400" s="52"/>
      <c r="T400" s="24" t="s">
        <v>89</v>
      </c>
      <c r="U400" s="25" t="s">
        <v>1399</v>
      </c>
      <c r="V400" s="9" t="s">
        <v>455</v>
      </c>
      <c r="W400" s="53" t="str">
        <f t="shared" si="3"/>
        <v>Ativo</v>
      </c>
      <c r="X400" s="24"/>
      <c r="Y400" s="54" t="s">
        <v>95</v>
      </c>
      <c r="Z400" s="56"/>
      <c r="AA400" s="56"/>
      <c r="AB400" s="56"/>
      <c r="AC400" s="56"/>
      <c r="AD400" s="56"/>
      <c r="AE400" s="56"/>
      <c r="AF400" s="56"/>
      <c r="AG400" s="56">
        <v>0.0</v>
      </c>
      <c r="AH400" s="56">
        <v>268927.25</v>
      </c>
      <c r="AI400" s="56">
        <v>271686.79</v>
      </c>
      <c r="AJ400" s="56">
        <v>273736.55</v>
      </c>
      <c r="AK400" s="56">
        <v>276593.56</v>
      </c>
      <c r="AL400" s="56">
        <v>278938.3</v>
      </c>
      <c r="AM400" s="56">
        <v>281591.95</v>
      </c>
      <c r="AN400" s="56">
        <v>305230.75</v>
      </c>
      <c r="AO400" s="56">
        <v>307697.21</v>
      </c>
      <c r="AP400" s="56">
        <v>310118.8</v>
      </c>
      <c r="AQ400" s="55">
        <v>311213.0</v>
      </c>
      <c r="AR400" s="55">
        <v>313991.54</v>
      </c>
      <c r="AS400" s="55">
        <v>340113.73</v>
      </c>
      <c r="AT400" s="55">
        <f t="array" ref="AT400">XLOOKUP(C400,'PL TOTAL D0'!A:A,'PL TOTAL D0'!C:C,"")</f>
        <v>340957.8</v>
      </c>
    </row>
    <row r="401" ht="15.75" customHeight="1">
      <c r="A401" s="44" t="s">
        <v>36</v>
      </c>
      <c r="B401" s="63" t="s">
        <v>1400</v>
      </c>
      <c r="C401" s="46" t="s">
        <v>1401</v>
      </c>
      <c r="D401" s="47" t="s">
        <v>18</v>
      </c>
      <c r="E401" s="24" t="s">
        <v>29</v>
      </c>
      <c r="F401" s="24" t="s">
        <v>58</v>
      </c>
      <c r="G401" s="47" t="str">
        <f t="shared" si="1"/>
        <v>Augusto</v>
      </c>
      <c r="H401" s="48" t="s">
        <v>88</v>
      </c>
      <c r="I401" s="48" t="s">
        <v>24</v>
      </c>
      <c r="J401" s="47" t="str">
        <f t="shared" si="4"/>
        <v>Não</v>
      </c>
      <c r="K401" s="49">
        <v>44994.0</v>
      </c>
      <c r="L401" s="24"/>
      <c r="M401" s="24" t="s">
        <v>243</v>
      </c>
      <c r="N401" s="50">
        <v>0.007</v>
      </c>
      <c r="O401" s="47" t="s">
        <v>46</v>
      </c>
      <c r="P401" s="51">
        <v>0.2</v>
      </c>
      <c r="Q401" s="52"/>
      <c r="R401" s="52"/>
      <c r="S401" s="52"/>
      <c r="T401" s="24" t="s">
        <v>89</v>
      </c>
      <c r="U401" s="25" t="s">
        <v>1402</v>
      </c>
      <c r="V401" s="9" t="s">
        <v>29</v>
      </c>
      <c r="W401" s="53" t="str">
        <f t="shared" si="3"/>
        <v>Ativo</v>
      </c>
      <c r="X401" s="24"/>
      <c r="Y401" s="54" t="s">
        <v>95</v>
      </c>
      <c r="Z401" s="56"/>
      <c r="AA401" s="56"/>
      <c r="AB401" s="56"/>
      <c r="AC401" s="56"/>
      <c r="AD401" s="56"/>
      <c r="AE401" s="56"/>
      <c r="AF401" s="56">
        <v>53199.19</v>
      </c>
      <c r="AG401" s="56">
        <v>58106.63</v>
      </c>
      <c r="AH401" s="56">
        <v>59285.7</v>
      </c>
      <c r="AI401" s="56">
        <v>61168.62</v>
      </c>
      <c r="AJ401" s="56">
        <v>70324.05</v>
      </c>
      <c r="AK401" s="56">
        <v>69561.7</v>
      </c>
      <c r="AL401" s="56">
        <v>69908.6</v>
      </c>
      <c r="AM401" s="56">
        <v>69330.72</v>
      </c>
      <c r="AN401" s="56">
        <v>71837.89</v>
      </c>
      <c r="AO401" s="56">
        <v>73795.84</v>
      </c>
      <c r="AP401" s="56">
        <v>79553.07</v>
      </c>
      <c r="AQ401" s="55">
        <v>80307.06</v>
      </c>
      <c r="AR401" s="55">
        <v>111686.15</v>
      </c>
      <c r="AS401" s="55">
        <v>109874.07</v>
      </c>
      <c r="AT401" s="55">
        <f t="array" ref="AT401">XLOOKUP(C401,'PL TOTAL D0'!A:A,'PL TOTAL D0'!C:C,"")</f>
        <v>111329.9</v>
      </c>
    </row>
    <row r="402" ht="15.75" customHeight="1">
      <c r="A402" s="6" t="s">
        <v>36</v>
      </c>
      <c r="B402" s="57" t="s">
        <v>1403</v>
      </c>
      <c r="C402" s="58" t="s">
        <v>1404</v>
      </c>
      <c r="D402" s="9" t="s">
        <v>18</v>
      </c>
      <c r="E402" s="25" t="s">
        <v>29</v>
      </c>
      <c r="F402" s="9" t="s">
        <v>1405</v>
      </c>
      <c r="G402" s="47" t="str">
        <f t="shared" si="1"/>
        <v>Augusto</v>
      </c>
      <c r="H402" s="53" t="s">
        <v>88</v>
      </c>
      <c r="I402" s="53" t="s">
        <v>24</v>
      </c>
      <c r="J402" s="47" t="str">
        <f t="shared" si="4"/>
        <v>Não</v>
      </c>
      <c r="K402" s="59">
        <v>45321.0</v>
      </c>
      <c r="L402" s="24"/>
      <c r="M402" s="25" t="s">
        <v>111</v>
      </c>
      <c r="N402" s="60">
        <v>0.012</v>
      </c>
      <c r="O402" s="9" t="s">
        <v>46</v>
      </c>
      <c r="P402" s="61">
        <v>0.1</v>
      </c>
      <c r="Q402" s="52"/>
      <c r="R402" s="52"/>
      <c r="S402" s="52"/>
      <c r="T402" s="25" t="s">
        <v>89</v>
      </c>
      <c r="U402" s="25" t="s">
        <v>1406</v>
      </c>
      <c r="V402" s="9" t="s">
        <v>29</v>
      </c>
      <c r="W402" s="53" t="str">
        <f t="shared" si="3"/>
        <v>Ativo</v>
      </c>
      <c r="X402" s="24"/>
      <c r="Y402" s="54" t="s">
        <v>95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>
        <v>40063.74</v>
      </c>
      <c r="AQ402" s="55">
        <v>40475.33</v>
      </c>
      <c r="AR402" s="55">
        <v>55930.45</v>
      </c>
      <c r="AS402" s="55">
        <v>95808.76</v>
      </c>
      <c r="AT402" s="55">
        <f t="array" ref="AT402">XLOOKUP(C402,'PL TOTAL D0'!A:A,'PL TOTAL D0'!C:C,"")</f>
        <v>96457.6</v>
      </c>
    </row>
    <row r="403" ht="15.75" customHeight="1">
      <c r="A403" s="44" t="s">
        <v>36</v>
      </c>
      <c r="B403" s="45" t="s">
        <v>1407</v>
      </c>
      <c r="C403" s="46" t="s">
        <v>1408</v>
      </c>
      <c r="D403" s="47" t="s">
        <v>86</v>
      </c>
      <c r="E403" s="24" t="s">
        <v>29</v>
      </c>
      <c r="F403" s="47" t="s">
        <v>87</v>
      </c>
      <c r="G403" s="47" t="str">
        <f t="shared" si="1"/>
        <v>Augusto</v>
      </c>
      <c r="H403" s="48" t="s">
        <v>88</v>
      </c>
      <c r="I403" s="48" t="s">
        <v>24</v>
      </c>
      <c r="J403" s="47" t="str">
        <f t="shared" si="4"/>
        <v>Não</v>
      </c>
      <c r="K403" s="49">
        <v>45153.0</v>
      </c>
      <c r="L403" s="24"/>
      <c r="M403" s="24" t="s">
        <v>45</v>
      </c>
      <c r="N403" s="50">
        <v>0.012</v>
      </c>
      <c r="O403" s="47" t="s">
        <v>46</v>
      </c>
      <c r="P403" s="51">
        <v>0.1</v>
      </c>
      <c r="Q403" s="52"/>
      <c r="R403" s="52"/>
      <c r="S403" s="62" t="s">
        <v>1409</v>
      </c>
      <c r="T403" s="24" t="s">
        <v>89</v>
      </c>
      <c r="U403" s="25" t="s">
        <v>1410</v>
      </c>
      <c r="V403" s="9" t="s">
        <v>29</v>
      </c>
      <c r="W403" s="53" t="str">
        <f t="shared" si="3"/>
        <v>Ativo</v>
      </c>
      <c r="X403" s="24"/>
      <c r="Y403" s="54" t="s">
        <v>91</v>
      </c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>
        <v>86137.17</v>
      </c>
      <c r="AL403" s="56">
        <v>97309.47</v>
      </c>
      <c r="AM403" s="56">
        <v>97261.04</v>
      </c>
      <c r="AN403" s="56">
        <v>235706.8</v>
      </c>
      <c r="AO403" s="56">
        <v>239103.51</v>
      </c>
      <c r="AP403" s="56">
        <v>237931.99</v>
      </c>
      <c r="AQ403" s="55">
        <v>260032.22</v>
      </c>
      <c r="AR403" s="55">
        <v>262611.44</v>
      </c>
      <c r="AS403" s="55">
        <v>262847.63</v>
      </c>
      <c r="AT403" s="55">
        <f t="array" ref="AT403">XLOOKUP(C403,'PL TOTAL D0'!A:A,'PL TOTAL D0'!C:C,"")</f>
        <v>264211.9</v>
      </c>
    </row>
    <row r="404" ht="15.75" customHeight="1">
      <c r="A404" s="44" t="s">
        <v>36</v>
      </c>
      <c r="B404" s="45" t="s">
        <v>1411</v>
      </c>
      <c r="C404" s="46" t="s">
        <v>1412</v>
      </c>
      <c r="D404" s="47" t="s">
        <v>18</v>
      </c>
      <c r="E404" s="24" t="s">
        <v>29</v>
      </c>
      <c r="F404" s="24" t="s">
        <v>110</v>
      </c>
      <c r="G404" s="47" t="str">
        <f t="shared" si="1"/>
        <v>Augusto</v>
      </c>
      <c r="H404" s="48" t="s">
        <v>88</v>
      </c>
      <c r="I404" s="48" t="s">
        <v>24</v>
      </c>
      <c r="J404" s="47" t="str">
        <f t="shared" si="4"/>
        <v>Não</v>
      </c>
      <c r="K404" s="49">
        <v>45049.0</v>
      </c>
      <c r="L404" s="24"/>
      <c r="M404" s="24" t="s">
        <v>60</v>
      </c>
      <c r="N404" s="50">
        <v>0.012</v>
      </c>
      <c r="O404" s="47" t="s">
        <v>24</v>
      </c>
      <c r="P404" s="51">
        <v>0.0</v>
      </c>
      <c r="Q404" s="52"/>
      <c r="R404" s="52"/>
      <c r="S404" s="52"/>
      <c r="T404" s="24" t="s">
        <v>89</v>
      </c>
      <c r="U404" s="25" t="s">
        <v>1413</v>
      </c>
      <c r="V404" s="9" t="s">
        <v>29</v>
      </c>
      <c r="W404" s="53" t="str">
        <f t="shared" si="3"/>
        <v>Ativo</v>
      </c>
      <c r="X404" s="24"/>
      <c r="Y404" s="54" t="s">
        <v>95</v>
      </c>
      <c r="Z404" s="56"/>
      <c r="AA404" s="56"/>
      <c r="AB404" s="56"/>
      <c r="AC404" s="56"/>
      <c r="AD404" s="56"/>
      <c r="AE404" s="56"/>
      <c r="AF404" s="56">
        <v>0.0</v>
      </c>
      <c r="AG404" s="56">
        <v>0.0</v>
      </c>
      <c r="AH404" s="56">
        <v>250702.3</v>
      </c>
      <c r="AI404" s="56">
        <v>253116.48</v>
      </c>
      <c r="AJ404" s="56">
        <v>251302.85</v>
      </c>
      <c r="AK404" s="56">
        <v>253049.1</v>
      </c>
      <c r="AL404" s="56">
        <v>254242.64</v>
      </c>
      <c r="AM404" s="56">
        <v>255791.67</v>
      </c>
      <c r="AN404" s="56">
        <v>258385.2</v>
      </c>
      <c r="AO404" s="56">
        <v>259749.48</v>
      </c>
      <c r="AP404" s="56">
        <v>261888.86</v>
      </c>
      <c r="AQ404" s="55">
        <v>263005.86</v>
      </c>
      <c r="AR404" s="55">
        <v>265209.88</v>
      </c>
      <c r="AS404" s="55">
        <v>266678.8</v>
      </c>
      <c r="AT404" s="55">
        <f t="array" ref="AT404">XLOOKUP(C404,'PL TOTAL D0'!A:A,'PL TOTAL D0'!C:C,"")</f>
        <v>267449.2</v>
      </c>
    </row>
    <row r="405" ht="15.75" customHeight="1">
      <c r="A405" s="44" t="s">
        <v>36</v>
      </c>
      <c r="B405" s="96" t="s">
        <v>1414</v>
      </c>
      <c r="C405" s="73" t="s">
        <v>1415</v>
      </c>
      <c r="D405" s="47" t="s">
        <v>18</v>
      </c>
      <c r="E405" s="24" t="s">
        <v>29</v>
      </c>
      <c r="F405" s="24" t="s">
        <v>44</v>
      </c>
      <c r="G405" s="47" t="str">
        <f t="shared" si="1"/>
        <v>Augusto</v>
      </c>
      <c r="H405" s="48" t="s">
        <v>88</v>
      </c>
      <c r="I405" s="53" t="s">
        <v>24</v>
      </c>
      <c r="J405" s="47" t="str">
        <f t="shared" si="4"/>
        <v>Não</v>
      </c>
      <c r="K405" s="49">
        <v>45254.0</v>
      </c>
      <c r="L405" s="24"/>
      <c r="M405" s="92" t="s">
        <v>99</v>
      </c>
      <c r="N405" s="116">
        <v>0.0</v>
      </c>
      <c r="O405" s="94" t="s">
        <v>24</v>
      </c>
      <c r="P405" s="117">
        <v>0.0</v>
      </c>
      <c r="Q405" s="52"/>
      <c r="R405" s="52"/>
      <c r="S405" s="52"/>
      <c r="T405" s="24" t="s">
        <v>89</v>
      </c>
      <c r="U405" s="25" t="s">
        <v>1416</v>
      </c>
      <c r="V405" s="9" t="s">
        <v>29</v>
      </c>
      <c r="W405" s="53" t="str">
        <f t="shared" si="3"/>
        <v>Ativo</v>
      </c>
      <c r="X405" s="24"/>
      <c r="Y405" s="54" t="s">
        <v>95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>
        <v>0.0</v>
      </c>
      <c r="AO405" s="56">
        <v>10066.79</v>
      </c>
      <c r="AP405" s="56">
        <v>10162.2</v>
      </c>
      <c r="AQ405" s="55">
        <v>10225.44</v>
      </c>
      <c r="AR405" s="55">
        <v>29309.64</v>
      </c>
      <c r="AS405" s="55">
        <v>29442.93</v>
      </c>
      <c r="AT405" s="55">
        <f t="array" ref="AT405">XLOOKUP(C405,'PL TOTAL D0'!A:A,'PL TOTAL D0'!C:C,"")</f>
        <v>29589.64</v>
      </c>
    </row>
    <row r="406" ht="15.75" customHeight="1">
      <c r="A406" s="44" t="s">
        <v>36</v>
      </c>
      <c r="B406" s="15" t="s">
        <v>1417</v>
      </c>
      <c r="C406" s="199" t="s">
        <v>1418</v>
      </c>
      <c r="D406" s="9" t="s">
        <v>18</v>
      </c>
      <c r="E406" s="24" t="s">
        <v>29</v>
      </c>
      <c r="F406" s="24" t="s">
        <v>44</v>
      </c>
      <c r="G406" s="47" t="str">
        <f t="shared" si="1"/>
        <v>#N/A</v>
      </c>
      <c r="H406" s="53" t="s">
        <v>178</v>
      </c>
      <c r="I406" s="53" t="s">
        <v>161</v>
      </c>
      <c r="J406" s="47" t="str">
        <f t="shared" si="4"/>
        <v>Não</v>
      </c>
      <c r="K406" s="59">
        <v>45408.0</v>
      </c>
      <c r="L406" s="24"/>
      <c r="M406" s="11" t="s">
        <v>60</v>
      </c>
      <c r="N406" s="200">
        <v>0.012</v>
      </c>
      <c r="O406" s="13" t="s">
        <v>24</v>
      </c>
      <c r="P406" s="201">
        <v>0.0</v>
      </c>
      <c r="Q406" s="52"/>
      <c r="R406" s="52"/>
      <c r="S406" s="52"/>
      <c r="T406" s="25" t="s">
        <v>89</v>
      </c>
      <c r="U406" s="25" t="s">
        <v>1416</v>
      </c>
      <c r="V406" s="9" t="s">
        <v>29</v>
      </c>
      <c r="W406" s="53" t="str">
        <f t="shared" si="3"/>
        <v>Ativo</v>
      </c>
      <c r="X406" s="24"/>
      <c r="Y406" s="54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/>
      <c r="AS406" s="55">
        <v>0.0</v>
      </c>
      <c r="AT406" s="55" t="str">
        <f t="array" ref="AT406">XLOOKUP(C406,'PL TOTAL D0'!A:A,'PL TOTAL D0'!C:C,"")</f>
        <v/>
      </c>
    </row>
    <row r="407" ht="15.75" customHeight="1">
      <c r="A407" s="6" t="s">
        <v>36</v>
      </c>
      <c r="B407" s="6" t="s">
        <v>1419</v>
      </c>
      <c r="C407" s="21" t="s">
        <v>1420</v>
      </c>
      <c r="D407" s="9" t="s">
        <v>18</v>
      </c>
      <c r="E407" s="25" t="s">
        <v>29</v>
      </c>
      <c r="F407" s="9" t="s">
        <v>110</v>
      </c>
      <c r="G407" s="47" t="str">
        <f t="shared" si="1"/>
        <v>Augusto</v>
      </c>
      <c r="H407" s="53" t="s">
        <v>88</v>
      </c>
      <c r="I407" s="53" t="s">
        <v>24</v>
      </c>
      <c r="J407" s="47" t="str">
        <f t="shared" si="4"/>
        <v>Sim</v>
      </c>
      <c r="K407" s="59">
        <v>45363.0</v>
      </c>
      <c r="L407" s="24"/>
      <c r="M407" s="11" t="s">
        <v>60</v>
      </c>
      <c r="N407" s="200">
        <v>0.012</v>
      </c>
      <c r="O407" s="13" t="s">
        <v>24</v>
      </c>
      <c r="P407" s="201">
        <v>0.0</v>
      </c>
      <c r="Q407" s="15" t="s">
        <v>1421</v>
      </c>
      <c r="R407" s="52"/>
      <c r="S407" s="52"/>
      <c r="T407" s="25" t="s">
        <v>89</v>
      </c>
      <c r="U407" s="23" t="s">
        <v>1422</v>
      </c>
      <c r="V407" s="9" t="s">
        <v>29</v>
      </c>
      <c r="W407" s="53" t="str">
        <f t="shared" si="3"/>
        <v>Ativo</v>
      </c>
      <c r="X407" s="24"/>
      <c r="Y407" s="54" t="s">
        <v>91</v>
      </c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5"/>
      <c r="AR407" s="55">
        <v>105164.21</v>
      </c>
      <c r="AS407" s="55">
        <v>106021.93</v>
      </c>
      <c r="AT407" s="55">
        <f t="array" ref="AT407">XLOOKUP(C407,'PL TOTAL D0'!A:A,'PL TOTAL D0'!C:C,"")</f>
        <v>106337.7</v>
      </c>
    </row>
    <row r="408" ht="15.75" customHeight="1">
      <c r="A408" s="44" t="s">
        <v>36</v>
      </c>
      <c r="B408" s="45" t="s">
        <v>1423</v>
      </c>
      <c r="C408" s="46" t="s">
        <v>1424</v>
      </c>
      <c r="D408" s="47" t="s">
        <v>18</v>
      </c>
      <c r="E408" s="24" t="s">
        <v>145</v>
      </c>
      <c r="F408" s="47" t="s">
        <v>478</v>
      </c>
      <c r="G408" s="47" t="str">
        <f t="shared" si="1"/>
        <v>Bruno</v>
      </c>
      <c r="H408" s="48" t="s">
        <v>88</v>
      </c>
      <c r="I408" s="48" t="s">
        <v>24</v>
      </c>
      <c r="J408" s="47" t="str">
        <f t="shared" si="4"/>
        <v>Não</v>
      </c>
      <c r="K408" s="49">
        <v>45040.0</v>
      </c>
      <c r="L408" s="24"/>
      <c r="M408" s="24" t="s">
        <v>60</v>
      </c>
      <c r="N408" s="50">
        <v>0.007</v>
      </c>
      <c r="O408" s="47" t="s">
        <v>24</v>
      </c>
      <c r="P408" s="51">
        <v>0.0</v>
      </c>
      <c r="Q408" s="52"/>
      <c r="R408" s="52"/>
      <c r="S408" s="52"/>
      <c r="T408" s="24" t="s">
        <v>89</v>
      </c>
      <c r="U408" s="25" t="s">
        <v>1425</v>
      </c>
      <c r="V408" s="9" t="s">
        <v>180</v>
      </c>
      <c r="W408" s="53" t="str">
        <f t="shared" si="3"/>
        <v>Ativo</v>
      </c>
      <c r="X408" s="24"/>
      <c r="Y408" s="54" t="s">
        <v>91</v>
      </c>
      <c r="Z408" s="56"/>
      <c r="AA408" s="56"/>
      <c r="AB408" s="56"/>
      <c r="AC408" s="56"/>
      <c r="AD408" s="56"/>
      <c r="AE408" s="56"/>
      <c r="AF408" s="56">
        <v>0.0</v>
      </c>
      <c r="AG408" s="56">
        <v>511256.93</v>
      </c>
      <c r="AH408" s="56">
        <v>1157718.0</v>
      </c>
      <c r="AI408" s="56">
        <v>1167395.63</v>
      </c>
      <c r="AJ408" s="56">
        <v>1176247.47</v>
      </c>
      <c r="AK408" s="56">
        <v>1187563.07</v>
      </c>
      <c r="AL408" s="56">
        <v>1197374.01</v>
      </c>
      <c r="AM408" s="56">
        <v>1208309.75</v>
      </c>
      <c r="AN408" s="56">
        <v>1216659.08</v>
      </c>
      <c r="AO408" s="56">
        <v>1226329.6</v>
      </c>
      <c r="AP408" s="56">
        <v>1237407.43</v>
      </c>
      <c r="AQ408" s="55">
        <v>1245888.74</v>
      </c>
      <c r="AR408" s="55">
        <v>1255013.76</v>
      </c>
      <c r="AS408" s="55">
        <v>1265024.38</v>
      </c>
      <c r="AT408" s="55">
        <f t="array" ref="AT408">XLOOKUP(C408,'PL TOTAL D0'!A:A,'PL TOTAL D0'!C:C,"")</f>
        <v>1268024</v>
      </c>
    </row>
    <row r="409" ht="15.75" customHeight="1">
      <c r="A409" s="44" t="s">
        <v>36</v>
      </c>
      <c r="B409" s="63" t="s">
        <v>1426</v>
      </c>
      <c r="C409" s="46" t="s">
        <v>1427</v>
      </c>
      <c r="D409" s="47" t="s">
        <v>18</v>
      </c>
      <c r="E409" s="24" t="s">
        <v>29</v>
      </c>
      <c r="F409" s="24" t="s">
        <v>137</v>
      </c>
      <c r="G409" s="47" t="str">
        <f t="shared" si="1"/>
        <v>#N/A</v>
      </c>
      <c r="H409" s="53" t="s">
        <v>116</v>
      </c>
      <c r="I409" s="53" t="s">
        <v>161</v>
      </c>
      <c r="J409" s="47" t="str">
        <f t="shared" si="4"/>
        <v>Não</v>
      </c>
      <c r="K409" s="49">
        <v>44991.0</v>
      </c>
      <c r="L409" s="24"/>
      <c r="M409" s="24" t="s">
        <v>60</v>
      </c>
      <c r="N409" s="50">
        <v>0.012</v>
      </c>
      <c r="O409" s="47" t="s">
        <v>24</v>
      </c>
      <c r="P409" s="51">
        <v>0.0</v>
      </c>
      <c r="Q409" s="62"/>
      <c r="R409" s="52"/>
      <c r="S409" s="52"/>
      <c r="T409" s="24" t="s">
        <v>89</v>
      </c>
      <c r="U409" s="25" t="s">
        <v>1428</v>
      </c>
      <c r="V409" s="9" t="s">
        <v>29</v>
      </c>
      <c r="W409" s="53" t="str">
        <f t="shared" si="3"/>
        <v>Ativo</v>
      </c>
      <c r="X409" s="24"/>
      <c r="Y409" s="54" t="s">
        <v>95</v>
      </c>
      <c r="Z409" s="56"/>
      <c r="AA409" s="56"/>
      <c r="AB409" s="56"/>
      <c r="AC409" s="56"/>
      <c r="AD409" s="56"/>
      <c r="AE409" s="56"/>
      <c r="AF409" s="56">
        <v>368265.24</v>
      </c>
      <c r="AG409" s="56">
        <v>340562.58</v>
      </c>
      <c r="AH409" s="56">
        <v>312389.67</v>
      </c>
      <c r="AI409" s="56">
        <v>284890.51</v>
      </c>
      <c r="AJ409" s="56">
        <v>226649.71</v>
      </c>
      <c r="AK409" s="56">
        <v>198726.27</v>
      </c>
      <c r="AL409" s="56">
        <v>169987.25</v>
      </c>
      <c r="AM409" s="56">
        <v>141258.94</v>
      </c>
      <c r="AN409" s="56">
        <v>116854.35</v>
      </c>
      <c r="AO409" s="56">
        <v>87389.25</v>
      </c>
      <c r="AP409" s="56">
        <v>55777.95</v>
      </c>
      <c r="AQ409" s="55">
        <v>25885.58</v>
      </c>
      <c r="AR409" s="55">
        <v>0.0</v>
      </c>
      <c r="AS409" s="55">
        <v>0.0</v>
      </c>
      <c r="AT409" s="55" t="str">
        <f t="array" ref="AT409">XLOOKUP(C409,'PL TOTAL D0'!A:A,'PL TOTAL D0'!C:C,"")</f>
        <v/>
      </c>
    </row>
    <row r="410" ht="15.75" customHeight="1">
      <c r="A410" s="44" t="s">
        <v>36</v>
      </c>
      <c r="B410" s="45" t="s">
        <v>1429</v>
      </c>
      <c r="C410" s="46" t="s">
        <v>1430</v>
      </c>
      <c r="D410" s="47" t="s">
        <v>18</v>
      </c>
      <c r="E410" s="24" t="s">
        <v>29</v>
      </c>
      <c r="F410" s="24" t="s">
        <v>137</v>
      </c>
      <c r="G410" s="47" t="str">
        <f t="shared" si="1"/>
        <v>Augusto</v>
      </c>
      <c r="H410" s="53" t="s">
        <v>88</v>
      </c>
      <c r="I410" s="48" t="s">
        <v>24</v>
      </c>
      <c r="J410" s="47" t="str">
        <f t="shared" si="4"/>
        <v>Não</v>
      </c>
      <c r="K410" s="49">
        <v>45100.0</v>
      </c>
      <c r="L410" s="24"/>
      <c r="M410" s="25" t="s">
        <v>40</v>
      </c>
      <c r="N410" s="60">
        <v>0.007</v>
      </c>
      <c r="O410" s="47" t="s">
        <v>24</v>
      </c>
      <c r="P410" s="51">
        <v>0.0</v>
      </c>
      <c r="Q410" s="75"/>
      <c r="R410" s="75"/>
      <c r="S410" s="76" t="s">
        <v>1431</v>
      </c>
      <c r="T410" s="24" t="s">
        <v>89</v>
      </c>
      <c r="U410" s="25" t="s">
        <v>1432</v>
      </c>
      <c r="V410" s="9" t="s">
        <v>29</v>
      </c>
      <c r="W410" s="53" t="str">
        <f t="shared" si="3"/>
        <v>Ativo</v>
      </c>
      <c r="X410" s="24"/>
      <c r="Y410" s="54" t="s">
        <v>95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120847.69</v>
      </c>
      <c r="AJ410" s="56">
        <v>210779.7</v>
      </c>
      <c r="AK410" s="56">
        <v>186414.72</v>
      </c>
      <c r="AL410" s="56">
        <v>188147.5</v>
      </c>
      <c r="AM410" s="56">
        <v>189897.63</v>
      </c>
      <c r="AN410" s="56">
        <v>190792.35</v>
      </c>
      <c r="AO410" s="56">
        <v>192341.63</v>
      </c>
      <c r="AP410" s="56">
        <v>193266.25</v>
      </c>
      <c r="AQ410" s="55">
        <v>95403.65</v>
      </c>
      <c r="AR410" s="55">
        <v>96234.46</v>
      </c>
      <c r="AS410" s="55">
        <v>97100.56</v>
      </c>
      <c r="AT410" s="55">
        <f t="array" ref="AT410">XLOOKUP(C410,'PL TOTAL D0'!A:A,'PL TOTAL D0'!C:C,"")</f>
        <v>97606.59</v>
      </c>
    </row>
    <row r="411" ht="15.75" customHeight="1">
      <c r="A411" s="44" t="s">
        <v>36</v>
      </c>
      <c r="B411" s="45" t="s">
        <v>1429</v>
      </c>
      <c r="C411" s="46" t="s">
        <v>1433</v>
      </c>
      <c r="D411" s="47" t="s">
        <v>18</v>
      </c>
      <c r="E411" s="24" t="s">
        <v>29</v>
      </c>
      <c r="F411" s="24" t="s">
        <v>137</v>
      </c>
      <c r="G411" s="47" t="str">
        <f t="shared" si="1"/>
        <v>Augusto</v>
      </c>
      <c r="H411" s="53" t="s">
        <v>88</v>
      </c>
      <c r="I411" s="48" t="s">
        <v>24</v>
      </c>
      <c r="J411" s="47" t="str">
        <f t="shared" si="4"/>
        <v>Sim</v>
      </c>
      <c r="K411" s="49">
        <v>45163.0</v>
      </c>
      <c r="L411" s="64"/>
      <c r="M411" s="25" t="s">
        <v>111</v>
      </c>
      <c r="N411" s="60">
        <v>0.015</v>
      </c>
      <c r="O411" s="9" t="s">
        <v>46</v>
      </c>
      <c r="P411" s="61">
        <v>0.1</v>
      </c>
      <c r="Q411" s="62" t="s">
        <v>1434</v>
      </c>
      <c r="R411" s="52"/>
      <c r="S411" s="76" t="s">
        <v>1435</v>
      </c>
      <c r="T411" s="24" t="s">
        <v>89</v>
      </c>
      <c r="U411" s="25" t="s">
        <v>1432</v>
      </c>
      <c r="V411" s="9" t="s">
        <v>29</v>
      </c>
      <c r="W411" s="53" t="str">
        <f t="shared" si="3"/>
        <v>Ativo</v>
      </c>
      <c r="X411" s="24"/>
      <c r="Y411" s="54" t="s">
        <v>95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0.0</v>
      </c>
      <c r="AJ411" s="56">
        <v>0.0</v>
      </c>
      <c r="AK411" s="56">
        <v>27085.37</v>
      </c>
      <c r="AL411" s="56">
        <v>29145.96</v>
      </c>
      <c r="AM411" s="56">
        <v>27767.72</v>
      </c>
      <c r="AN411" s="56">
        <v>28598.08</v>
      </c>
      <c r="AO411" s="56">
        <v>30015.27</v>
      </c>
      <c r="AP411" s="56">
        <v>27567.04</v>
      </c>
      <c r="AQ411" s="55">
        <v>181530.14</v>
      </c>
      <c r="AR411" s="55">
        <v>191029.53</v>
      </c>
      <c r="AS411" s="55">
        <v>189458.43</v>
      </c>
      <c r="AT411" s="55">
        <f t="array" ref="AT411">XLOOKUP(C411,'PL TOTAL D0'!A:A,'PL TOTAL D0'!C:C,"")</f>
        <v>191002.1</v>
      </c>
    </row>
    <row r="412" ht="15.75" customHeight="1">
      <c r="A412" s="44" t="s">
        <v>36</v>
      </c>
      <c r="B412" s="45" t="s">
        <v>1436</v>
      </c>
      <c r="C412" s="46" t="s">
        <v>1437</v>
      </c>
      <c r="D412" s="47" t="s">
        <v>18</v>
      </c>
      <c r="E412" s="24" t="s">
        <v>29</v>
      </c>
      <c r="F412" s="24" t="s">
        <v>44</v>
      </c>
      <c r="G412" s="47" t="str">
        <f t="shared" si="1"/>
        <v>#N/A</v>
      </c>
      <c r="H412" s="48" t="s">
        <v>116</v>
      </c>
      <c r="I412" s="48" t="s">
        <v>161</v>
      </c>
      <c r="J412" s="47" t="str">
        <f t="shared" si="4"/>
        <v>Não</v>
      </c>
      <c r="K412" s="49">
        <v>45107.0</v>
      </c>
      <c r="L412" s="24"/>
      <c r="M412" s="24" t="s">
        <v>60</v>
      </c>
      <c r="N412" s="50">
        <v>0.012</v>
      </c>
      <c r="O412" s="47" t="s">
        <v>24</v>
      </c>
      <c r="P412" s="51">
        <v>0.0</v>
      </c>
      <c r="Q412" s="52"/>
      <c r="R412" s="52"/>
      <c r="S412" s="52"/>
      <c r="T412" s="24" t="s">
        <v>89</v>
      </c>
      <c r="U412" s="25" t="s">
        <v>1438</v>
      </c>
      <c r="V412" s="9" t="s">
        <v>121</v>
      </c>
      <c r="W412" s="53" t="str">
        <f t="shared" si="3"/>
        <v>Ativo</v>
      </c>
      <c r="X412" s="24"/>
      <c r="Y412" s="54" t="s">
        <v>91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>
        <v>108827.97</v>
      </c>
      <c r="AJ412" s="56">
        <v>0.0</v>
      </c>
      <c r="AK412" s="56">
        <v>0.0</v>
      </c>
      <c r="AL412" s="56">
        <v>0.0</v>
      </c>
      <c r="AM412" s="56">
        <v>0.0</v>
      </c>
      <c r="AN412" s="56">
        <v>0.0</v>
      </c>
      <c r="AO412" s="56">
        <v>0.0</v>
      </c>
      <c r="AP412" s="56">
        <v>0.0</v>
      </c>
      <c r="AQ412" s="55">
        <v>0.0</v>
      </c>
      <c r="AR412" s="55">
        <v>0.0</v>
      </c>
      <c r="AS412" s="55">
        <v>0.0</v>
      </c>
      <c r="AT412" s="55" t="str">
        <f t="array" ref="AT412">XLOOKUP(C412,'PL TOTAL D0'!A:A,'PL TOTAL D0'!C:C,"")</f>
        <v/>
      </c>
    </row>
    <row r="413" ht="15.75" customHeight="1">
      <c r="A413" s="44" t="s">
        <v>36</v>
      </c>
      <c r="B413" s="68" t="s">
        <v>1439</v>
      </c>
      <c r="C413" s="73" t="s">
        <v>1440</v>
      </c>
      <c r="D413" s="47" t="s">
        <v>18</v>
      </c>
      <c r="E413" s="24" t="s">
        <v>145</v>
      </c>
      <c r="F413" s="24" t="s">
        <v>146</v>
      </c>
      <c r="G413" s="47" t="str">
        <f t="shared" si="1"/>
        <v>Augusto</v>
      </c>
      <c r="H413" s="48" t="s">
        <v>88</v>
      </c>
      <c r="I413" s="48" t="s">
        <v>24</v>
      </c>
      <c r="J413" s="47" t="str">
        <f t="shared" si="4"/>
        <v>Não</v>
      </c>
      <c r="K413" s="49">
        <v>45188.0</v>
      </c>
      <c r="L413" s="24"/>
      <c r="M413" s="24" t="s">
        <v>111</v>
      </c>
      <c r="N413" s="50">
        <v>0.015</v>
      </c>
      <c r="O413" s="47" t="s">
        <v>46</v>
      </c>
      <c r="P413" s="51">
        <v>0.1</v>
      </c>
      <c r="Q413" s="44"/>
      <c r="R413" s="52"/>
      <c r="S413" s="62" t="s">
        <v>326</v>
      </c>
      <c r="T413" s="24" t="s">
        <v>89</v>
      </c>
      <c r="U413" s="25" t="s">
        <v>1441</v>
      </c>
      <c r="V413" s="9" t="s">
        <v>149</v>
      </c>
      <c r="W413" s="53" t="str">
        <f t="shared" si="3"/>
        <v>Ativo</v>
      </c>
      <c r="X413" s="24"/>
      <c r="Y413" s="54" t="s">
        <v>91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>
        <v>208763.51</v>
      </c>
      <c r="AM413" s="56">
        <v>266900.28</v>
      </c>
      <c r="AN413" s="56">
        <v>272939.39</v>
      </c>
      <c r="AO413" s="56">
        <v>278256.37</v>
      </c>
      <c r="AP413" s="56">
        <v>273662.88</v>
      </c>
      <c r="AQ413" s="55">
        <v>276015.91</v>
      </c>
      <c r="AR413" s="55">
        <v>278391.66</v>
      </c>
      <c r="AS413" s="55">
        <v>276463.02</v>
      </c>
      <c r="AT413" s="55">
        <f t="array" ref="AT413">XLOOKUP(C413,'PL TOTAL D0'!A:A,'PL TOTAL D0'!C:C,"")</f>
        <v>278565.9</v>
      </c>
    </row>
    <row r="414" ht="15.75" customHeight="1">
      <c r="A414" s="44" t="s">
        <v>36</v>
      </c>
      <c r="B414" s="45" t="s">
        <v>1442</v>
      </c>
      <c r="C414" s="46" t="s">
        <v>1443</v>
      </c>
      <c r="D414" s="47" t="s">
        <v>18</v>
      </c>
      <c r="E414" s="24" t="s">
        <v>19</v>
      </c>
      <c r="F414" s="47" t="s">
        <v>230</v>
      </c>
      <c r="G414" s="47" t="str">
        <f t="shared" si="1"/>
        <v>Augusto</v>
      </c>
      <c r="H414" s="48" t="s">
        <v>88</v>
      </c>
      <c r="I414" s="48" t="s">
        <v>24</v>
      </c>
      <c r="J414" s="47" t="str">
        <f t="shared" si="4"/>
        <v>Não</v>
      </c>
      <c r="K414" s="49">
        <v>44987.0</v>
      </c>
      <c r="L414" s="24"/>
      <c r="M414" s="24" t="s">
        <v>111</v>
      </c>
      <c r="N414" s="50">
        <v>0.015</v>
      </c>
      <c r="O414" s="47" t="s">
        <v>46</v>
      </c>
      <c r="P414" s="51">
        <v>0.1</v>
      </c>
      <c r="Q414" s="52"/>
      <c r="R414" s="52"/>
      <c r="S414" s="52"/>
      <c r="T414" s="24" t="s">
        <v>89</v>
      </c>
      <c r="U414" s="25" t="s">
        <v>1444</v>
      </c>
      <c r="V414" s="9" t="s">
        <v>19</v>
      </c>
      <c r="W414" s="53" t="str">
        <f t="shared" si="3"/>
        <v>Ativo</v>
      </c>
      <c r="X414" s="24"/>
      <c r="Y414" s="54" t="s">
        <v>95</v>
      </c>
      <c r="Z414" s="56"/>
      <c r="AA414" s="56"/>
      <c r="AB414" s="56"/>
      <c r="AC414" s="56"/>
      <c r="AD414" s="56">
        <v>0.0</v>
      </c>
      <c r="AE414" s="56">
        <v>284090.61</v>
      </c>
      <c r="AF414" s="56">
        <v>339363.55</v>
      </c>
      <c r="AG414" s="56">
        <v>341209.52</v>
      </c>
      <c r="AH414" s="56">
        <v>347483.42</v>
      </c>
      <c r="AI414" s="56">
        <v>353546.33</v>
      </c>
      <c r="AJ414" s="56">
        <v>355920.24</v>
      </c>
      <c r="AK414" s="56">
        <v>353649.99</v>
      </c>
      <c r="AL414" s="56">
        <v>354934.72</v>
      </c>
      <c r="AM414" s="56">
        <v>359135.21</v>
      </c>
      <c r="AN414" s="56">
        <v>366613.03</v>
      </c>
      <c r="AO414" s="56">
        <v>373740.33</v>
      </c>
      <c r="AP414" s="56">
        <v>367839.66</v>
      </c>
      <c r="AQ414" s="55">
        <v>370831.17</v>
      </c>
      <c r="AR414" s="55">
        <v>374712.09</v>
      </c>
      <c r="AS414" s="55">
        <v>370888.0</v>
      </c>
      <c r="AT414" s="55">
        <f t="array" ref="AT414">XLOOKUP(C414,'PL TOTAL D0'!A:A,'PL TOTAL D0'!C:C,"")</f>
        <v>373843.6</v>
      </c>
    </row>
    <row r="415" ht="15.75" customHeight="1">
      <c r="A415" s="6" t="s">
        <v>36</v>
      </c>
      <c r="B415" s="57" t="s">
        <v>1445</v>
      </c>
      <c r="C415" s="7" t="s">
        <v>1446</v>
      </c>
      <c r="D415" s="9" t="s">
        <v>18</v>
      </c>
      <c r="E415" s="25" t="s">
        <v>29</v>
      </c>
      <c r="F415" s="9" t="s">
        <v>761</v>
      </c>
      <c r="G415" s="47" t="str">
        <f t="shared" si="1"/>
        <v>#N/A</v>
      </c>
      <c r="H415" s="53" t="s">
        <v>116</v>
      </c>
      <c r="I415" s="53" t="s">
        <v>161</v>
      </c>
      <c r="J415" s="47" t="str">
        <f t="shared" si="4"/>
        <v>Não</v>
      </c>
      <c r="K415" s="59">
        <v>45356.0</v>
      </c>
      <c r="L415" s="24"/>
      <c r="M415" s="25" t="s">
        <v>60</v>
      </c>
      <c r="N415" s="60">
        <v>0.012</v>
      </c>
      <c r="O415" s="9" t="s">
        <v>24</v>
      </c>
      <c r="P415" s="61">
        <v>0.0</v>
      </c>
      <c r="Q415" s="52"/>
      <c r="R415" s="52"/>
      <c r="S415" s="52"/>
      <c r="T415" s="25" t="s">
        <v>89</v>
      </c>
      <c r="U415" s="5" t="s">
        <v>1447</v>
      </c>
      <c r="V415" s="9" t="s">
        <v>29</v>
      </c>
      <c r="W415" s="53" t="str">
        <f t="shared" si="3"/>
        <v>Ativo</v>
      </c>
      <c r="X415" s="24"/>
      <c r="Y415" s="54" t="s">
        <v>95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5">
        <v>0.0</v>
      </c>
      <c r="AR415" s="55">
        <v>0.0</v>
      </c>
      <c r="AS415" s="55">
        <v>0.0</v>
      </c>
      <c r="AT415" s="55" t="str">
        <f t="array" ref="AT415">XLOOKUP(C415,'PL TOTAL D0'!A:A,'PL TOTAL D0'!C:C,"")</f>
        <v/>
      </c>
    </row>
    <row r="416" ht="15.75" customHeight="1">
      <c r="A416" s="44" t="s">
        <v>36</v>
      </c>
      <c r="B416" s="45" t="s">
        <v>1448</v>
      </c>
      <c r="C416" s="46" t="s">
        <v>1449</v>
      </c>
      <c r="D416" s="47" t="s">
        <v>18</v>
      </c>
      <c r="E416" s="24" t="s">
        <v>19</v>
      </c>
      <c r="F416" s="47" t="s">
        <v>201</v>
      </c>
      <c r="G416" s="47" t="str">
        <f t="shared" si="1"/>
        <v>Augusto</v>
      </c>
      <c r="H416" s="53" t="s">
        <v>116</v>
      </c>
      <c r="I416" s="53" t="s">
        <v>161</v>
      </c>
      <c r="J416" s="47" t="str">
        <f t="shared" si="4"/>
        <v>Não</v>
      </c>
      <c r="K416" s="49">
        <v>44951.0</v>
      </c>
      <c r="L416" s="24"/>
      <c r="M416" s="24" t="s">
        <v>162</v>
      </c>
      <c r="N416" s="50">
        <v>0.025</v>
      </c>
      <c r="O416" s="47" t="s">
        <v>163</v>
      </c>
      <c r="P416" s="51">
        <v>0.2</v>
      </c>
      <c r="Q416" s="62"/>
      <c r="R416" s="52"/>
      <c r="S416" s="62" t="s">
        <v>1450</v>
      </c>
      <c r="T416" s="24" t="s">
        <v>89</v>
      </c>
      <c r="U416" s="25" t="s">
        <v>1451</v>
      </c>
      <c r="V416" s="9" t="s">
        <v>19</v>
      </c>
      <c r="W416" s="53" t="str">
        <f t="shared" si="3"/>
        <v>Ativo</v>
      </c>
      <c r="X416" s="24"/>
      <c r="Y416" s="54" t="s">
        <v>95</v>
      </c>
      <c r="Z416" s="56"/>
      <c r="AA416" s="56"/>
      <c r="AB416" s="56"/>
      <c r="AC416" s="56"/>
      <c r="AD416" s="56">
        <v>31710.6</v>
      </c>
      <c r="AE416" s="56">
        <v>51930.03</v>
      </c>
      <c r="AF416" s="56">
        <v>51039.26</v>
      </c>
      <c r="AG416" s="56">
        <v>52412.85</v>
      </c>
      <c r="AH416" s="56">
        <v>54741.43</v>
      </c>
      <c r="AI416" s="56">
        <v>63009.59</v>
      </c>
      <c r="AJ416" s="56">
        <v>78422.94</v>
      </c>
      <c r="AK416" s="56">
        <v>79176.09</v>
      </c>
      <c r="AL416" s="56">
        <v>82436.51</v>
      </c>
      <c r="AM416" s="56">
        <v>81636.55</v>
      </c>
      <c r="AN416" s="56">
        <v>87652.87</v>
      </c>
      <c r="AO416" s="56">
        <v>91860.35</v>
      </c>
      <c r="AP416" s="56">
        <v>85488.26</v>
      </c>
      <c r="AQ416" s="55">
        <v>86638.59</v>
      </c>
      <c r="AR416" s="55">
        <v>353.0</v>
      </c>
      <c r="AS416" s="55">
        <v>310.18</v>
      </c>
      <c r="AT416" s="55">
        <f t="array" ref="AT416">XLOOKUP(C416,'PL TOTAL D0'!A:A,'PL TOTAL D0'!C:C,"")</f>
        <v>263.44</v>
      </c>
    </row>
    <row r="417" ht="15.75" customHeight="1">
      <c r="A417" s="44" t="s">
        <v>36</v>
      </c>
      <c r="B417" s="45" t="s">
        <v>1452</v>
      </c>
      <c r="C417" s="46" t="s">
        <v>1453</v>
      </c>
      <c r="D417" s="47" t="s">
        <v>18</v>
      </c>
      <c r="E417" s="24" t="s">
        <v>145</v>
      </c>
      <c r="F417" s="47" t="s">
        <v>146</v>
      </c>
      <c r="G417" s="47" t="str">
        <f t="shared" si="1"/>
        <v>Augusto</v>
      </c>
      <c r="H417" s="53" t="s">
        <v>116</v>
      </c>
      <c r="I417" s="53" t="s">
        <v>161</v>
      </c>
      <c r="J417" s="47" t="str">
        <f t="shared" si="4"/>
        <v>Não</v>
      </c>
      <c r="K417" s="49">
        <v>45113.0</v>
      </c>
      <c r="L417" s="64"/>
      <c r="M417" s="24" t="s">
        <v>162</v>
      </c>
      <c r="N417" s="50">
        <v>0.025</v>
      </c>
      <c r="O417" s="47" t="s">
        <v>163</v>
      </c>
      <c r="P417" s="51">
        <v>0.2</v>
      </c>
      <c r="Q417" s="62"/>
      <c r="R417" s="52"/>
      <c r="S417" s="62" t="s">
        <v>1454</v>
      </c>
      <c r="T417" s="24" t="s">
        <v>89</v>
      </c>
      <c r="U417" s="25" t="s">
        <v>1455</v>
      </c>
      <c r="V417" s="9" t="s">
        <v>149</v>
      </c>
      <c r="W417" s="53" t="str">
        <f t="shared" si="3"/>
        <v>Ativo</v>
      </c>
      <c r="X417" s="24"/>
      <c r="Y417" s="54" t="s">
        <v>91</v>
      </c>
      <c r="Z417" s="56"/>
      <c r="AA417" s="56"/>
      <c r="AB417" s="56"/>
      <c r="AC417" s="56"/>
      <c r="AD417" s="56"/>
      <c r="AE417" s="56"/>
      <c r="AF417" s="56"/>
      <c r="AG417" s="56"/>
      <c r="AH417" s="56"/>
      <c r="AI417" s="56">
        <v>4000.0</v>
      </c>
      <c r="AJ417" s="56">
        <v>58760.66</v>
      </c>
      <c r="AK417" s="56">
        <v>100797.46</v>
      </c>
      <c r="AL417" s="56">
        <v>100548.79</v>
      </c>
      <c r="AM417" s="56">
        <v>105060.3</v>
      </c>
      <c r="AN417" s="56">
        <v>112931.1</v>
      </c>
      <c r="AO417" s="56">
        <v>148344.7</v>
      </c>
      <c r="AP417" s="56">
        <v>139817.22</v>
      </c>
      <c r="AQ417" s="55">
        <v>141680.03</v>
      </c>
      <c r="AR417" s="55">
        <v>567.7</v>
      </c>
      <c r="AS417" s="55">
        <v>414.56</v>
      </c>
      <c r="AT417" s="55">
        <f t="array" ref="AT417">XLOOKUP(C417,'PL TOTAL D0'!A:A,'PL TOTAL D0'!C:C,"")</f>
        <v>414.56</v>
      </c>
    </row>
    <row r="418" ht="18.75" customHeight="1">
      <c r="A418" s="44" t="s">
        <v>36</v>
      </c>
      <c r="B418" s="45" t="s">
        <v>1456</v>
      </c>
      <c r="C418" s="46" t="s">
        <v>1457</v>
      </c>
      <c r="D418" s="47" t="s">
        <v>18</v>
      </c>
      <c r="E418" s="24" t="s">
        <v>145</v>
      </c>
      <c r="F418" s="47" t="s">
        <v>146</v>
      </c>
      <c r="G418" s="47" t="str">
        <f t="shared" si="1"/>
        <v>Breno</v>
      </c>
      <c r="H418" s="48" t="s">
        <v>88</v>
      </c>
      <c r="I418" s="48" t="s">
        <v>24</v>
      </c>
      <c r="J418" s="47" t="str">
        <f t="shared" si="4"/>
        <v>Não</v>
      </c>
      <c r="K418" s="49">
        <v>45035.0</v>
      </c>
      <c r="L418" s="24"/>
      <c r="M418" s="24" t="s">
        <v>60</v>
      </c>
      <c r="N418" s="50">
        <v>0.012</v>
      </c>
      <c r="O418" s="47" t="s">
        <v>24</v>
      </c>
      <c r="P418" s="51">
        <v>0.0</v>
      </c>
      <c r="Q418" s="52"/>
      <c r="R418" s="52"/>
      <c r="S418" s="52"/>
      <c r="T418" s="24" t="s">
        <v>89</v>
      </c>
      <c r="U418" s="25" t="s">
        <v>1455</v>
      </c>
      <c r="V418" s="9" t="s">
        <v>149</v>
      </c>
      <c r="W418" s="53" t="str">
        <f t="shared" si="3"/>
        <v>Ativo</v>
      </c>
      <c r="X418" s="24"/>
      <c r="Y418" s="54" t="s">
        <v>91</v>
      </c>
      <c r="Z418" s="56"/>
      <c r="AA418" s="56"/>
      <c r="AB418" s="56"/>
      <c r="AC418" s="56"/>
      <c r="AD418" s="56"/>
      <c r="AE418" s="56"/>
      <c r="AF418" s="56">
        <v>0.0</v>
      </c>
      <c r="AG418" s="56">
        <v>459936.64</v>
      </c>
      <c r="AH418" s="56">
        <v>510336.77</v>
      </c>
      <c r="AI418" s="56">
        <v>515447.49</v>
      </c>
      <c r="AJ418" s="56">
        <v>469355.86</v>
      </c>
      <c r="AK418" s="56">
        <v>432768.81</v>
      </c>
      <c r="AL418" s="56">
        <v>436245.95</v>
      </c>
      <c r="AM418" s="56">
        <v>440042.95</v>
      </c>
      <c r="AN418" s="56">
        <v>443494.03</v>
      </c>
      <c r="AO418" s="56">
        <v>416227.51</v>
      </c>
      <c r="AP418" s="56">
        <v>419873.9</v>
      </c>
      <c r="AQ418" s="55">
        <v>423182.0</v>
      </c>
      <c r="AR418" s="55">
        <v>426797.43</v>
      </c>
      <c r="AS418" s="55">
        <v>426021.0</v>
      </c>
      <c r="AT418" s="55">
        <f t="array" ref="AT418">XLOOKUP(C418,'PL TOTAL D0'!A:A,'PL TOTAL D0'!C:C,"")</f>
        <v>426364.7</v>
      </c>
    </row>
    <row r="419" ht="15.75" customHeight="1">
      <c r="A419" s="44" t="s">
        <v>36</v>
      </c>
      <c r="B419" s="45" t="s">
        <v>1458</v>
      </c>
      <c r="C419" s="46" t="s">
        <v>1459</v>
      </c>
      <c r="D419" s="47" t="s">
        <v>18</v>
      </c>
      <c r="E419" s="24" t="s">
        <v>29</v>
      </c>
      <c r="F419" s="24" t="s">
        <v>58</v>
      </c>
      <c r="G419" s="47" t="str">
        <f t="shared" si="1"/>
        <v>#N/A</v>
      </c>
      <c r="H419" s="48" t="s">
        <v>116</v>
      </c>
      <c r="I419" s="48" t="s">
        <v>161</v>
      </c>
      <c r="J419" s="47" t="str">
        <f t="shared" si="4"/>
        <v>Não</v>
      </c>
      <c r="K419" s="49">
        <v>45163.0</v>
      </c>
      <c r="L419" s="198"/>
      <c r="M419" s="24" t="s">
        <v>60</v>
      </c>
      <c r="N419" s="50">
        <v>0.012</v>
      </c>
      <c r="O419" s="47" t="s">
        <v>24</v>
      </c>
      <c r="P419" s="51">
        <v>0.0</v>
      </c>
      <c r="Q419" s="75"/>
      <c r="R419" s="75"/>
      <c r="S419" s="202" t="s">
        <v>1460</v>
      </c>
      <c r="T419" s="24" t="s">
        <v>89</v>
      </c>
      <c r="U419" s="25" t="s">
        <v>1461</v>
      </c>
      <c r="V419" s="25" t="s">
        <v>29</v>
      </c>
      <c r="W419" s="53" t="str">
        <f t="shared" si="3"/>
        <v>Ativo</v>
      </c>
      <c r="X419" s="24"/>
      <c r="Y419" s="25" t="s">
        <v>95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36</v>
      </c>
      <c r="B420" s="45" t="s">
        <v>1458</v>
      </c>
      <c r="C420" s="46" t="s">
        <v>1462</v>
      </c>
      <c r="D420" s="47" t="s">
        <v>18</v>
      </c>
      <c r="E420" s="24" t="s">
        <v>29</v>
      </c>
      <c r="F420" s="24" t="s">
        <v>58</v>
      </c>
      <c r="G420" s="47" t="str">
        <f t="shared" si="1"/>
        <v>#N/A</v>
      </c>
      <c r="H420" s="48" t="s">
        <v>116</v>
      </c>
      <c r="I420" s="48" t="s">
        <v>161</v>
      </c>
      <c r="J420" s="47" t="str">
        <f t="shared" si="4"/>
        <v>Não</v>
      </c>
      <c r="K420" s="49">
        <v>45163.0</v>
      </c>
      <c r="L420" s="198"/>
      <c r="M420" s="24" t="s">
        <v>111</v>
      </c>
      <c r="N420" s="50">
        <v>0.015</v>
      </c>
      <c r="O420" s="47" t="s">
        <v>46</v>
      </c>
      <c r="P420" s="51">
        <v>0.1</v>
      </c>
      <c r="Q420" s="75"/>
      <c r="R420" s="75"/>
      <c r="S420" s="202" t="s">
        <v>1460</v>
      </c>
      <c r="T420" s="24" t="s">
        <v>89</v>
      </c>
      <c r="U420" s="25" t="s">
        <v>1461</v>
      </c>
      <c r="V420" s="25" t="s">
        <v>29</v>
      </c>
      <c r="W420" s="53" t="str">
        <f t="shared" si="3"/>
        <v>Ativo</v>
      </c>
      <c r="X420" s="24"/>
      <c r="Y420" s="25" t="s">
        <v>95</v>
      </c>
      <c r="Z420" s="44"/>
      <c r="AA420" s="44"/>
      <c r="AB420" s="44"/>
      <c r="AC420" s="44"/>
      <c r="AD420" s="44"/>
      <c r="AE420" s="44"/>
      <c r="AF420" s="44"/>
      <c r="AG420" s="44">
        <v>0.0</v>
      </c>
      <c r="AH420" s="56">
        <v>0.0</v>
      </c>
      <c r="AI420" s="56">
        <v>0.0</v>
      </c>
      <c r="AJ420" s="56">
        <v>0.0</v>
      </c>
      <c r="AK420" s="56">
        <v>0.0</v>
      </c>
      <c r="AL420" s="56">
        <v>0.0</v>
      </c>
      <c r="AM420" s="56">
        <v>0.0</v>
      </c>
      <c r="AN420" s="56">
        <v>0.0</v>
      </c>
      <c r="AO420" s="56">
        <v>0.0</v>
      </c>
      <c r="AP420" s="56">
        <v>0.0</v>
      </c>
      <c r="AQ420" s="55">
        <v>0.0</v>
      </c>
      <c r="AR420" s="55">
        <v>0.0</v>
      </c>
      <c r="AS420" s="55">
        <v>0.0</v>
      </c>
      <c r="AT420" s="55" t="str">
        <f t="array" ref="AT420">XLOOKUP(C420,'PL TOTAL D0'!A:A,'PL TOTAL D0'!C:C,"")</f>
        <v/>
      </c>
    </row>
    <row r="421" ht="15.75" customHeight="1">
      <c r="A421" s="44" t="s">
        <v>36</v>
      </c>
      <c r="B421" s="45" t="s">
        <v>1463</v>
      </c>
      <c r="C421" s="46" t="s">
        <v>1464</v>
      </c>
      <c r="D421" s="47" t="s">
        <v>18</v>
      </c>
      <c r="E421" s="24" t="s">
        <v>29</v>
      </c>
      <c r="F421" s="47" t="s">
        <v>58</v>
      </c>
      <c r="G421" s="47" t="str">
        <f t="shared" si="1"/>
        <v>Augusto</v>
      </c>
      <c r="H421" s="53" t="s">
        <v>88</v>
      </c>
      <c r="I421" s="53" t="s">
        <v>24</v>
      </c>
      <c r="J421" s="47" t="str">
        <f t="shared" si="4"/>
        <v>Não</v>
      </c>
      <c r="K421" s="49">
        <v>44973.0</v>
      </c>
      <c r="L421" s="24"/>
      <c r="M421" s="24" t="s">
        <v>99</v>
      </c>
      <c r="N421" s="50">
        <v>0.0</v>
      </c>
      <c r="O421" s="47" t="s">
        <v>24</v>
      </c>
      <c r="P421" s="51">
        <v>0.0</v>
      </c>
      <c r="Q421" s="44"/>
      <c r="R421" s="52"/>
      <c r="S421" s="62" t="s">
        <v>1465</v>
      </c>
      <c r="T421" s="24" t="s">
        <v>89</v>
      </c>
      <c r="U421" s="25" t="s">
        <v>1466</v>
      </c>
      <c r="V421" s="9" t="s">
        <v>29</v>
      </c>
      <c r="W421" s="53" t="str">
        <f t="shared" si="3"/>
        <v>Ativo</v>
      </c>
      <c r="X421" s="24"/>
      <c r="Y421" s="54" t="s">
        <v>95</v>
      </c>
      <c r="Z421" s="56"/>
      <c r="AA421" s="56"/>
      <c r="AB421" s="56"/>
      <c r="AC421" s="56"/>
      <c r="AD421" s="56"/>
      <c r="AE421" s="56">
        <v>5790.98</v>
      </c>
      <c r="AF421" s="56">
        <v>5852.75</v>
      </c>
      <c r="AG421" s="56">
        <v>5888.04</v>
      </c>
      <c r="AH421" s="56">
        <v>6317.77</v>
      </c>
      <c r="AI421" s="56">
        <v>6868.15</v>
      </c>
      <c r="AJ421" s="56">
        <v>6927.27</v>
      </c>
      <c r="AK421" s="56">
        <v>7834.09</v>
      </c>
      <c r="AL421" s="56">
        <v>8020.29</v>
      </c>
      <c r="AM421" s="56">
        <v>8086.59</v>
      </c>
      <c r="AN421" s="56">
        <v>8649.01</v>
      </c>
      <c r="AO421" s="56">
        <v>9191.0</v>
      </c>
      <c r="AP421" s="56">
        <v>9279.92</v>
      </c>
      <c r="AQ421" s="55">
        <v>10352.1</v>
      </c>
      <c r="AR421" s="55">
        <v>11431.85</v>
      </c>
      <c r="AS421" s="55">
        <v>11508.63</v>
      </c>
      <c r="AT421" s="55">
        <f t="array" ref="AT421">XLOOKUP(C421,'PL TOTAL D0'!A:A,'PL TOTAL D0'!C:C,"")</f>
        <v>11490.79</v>
      </c>
    </row>
    <row r="422" ht="15.75" customHeight="1">
      <c r="A422" s="44" t="s">
        <v>36</v>
      </c>
      <c r="B422" s="45" t="s">
        <v>1467</v>
      </c>
      <c r="C422" s="46" t="s">
        <v>1468</v>
      </c>
      <c r="D422" s="47" t="s">
        <v>18</v>
      </c>
      <c r="E422" s="24" t="s">
        <v>29</v>
      </c>
      <c r="F422" s="47" t="s">
        <v>58</v>
      </c>
      <c r="G422" s="47" t="str">
        <f t="shared" si="1"/>
        <v>Bruno</v>
      </c>
      <c r="H422" s="48" t="s">
        <v>88</v>
      </c>
      <c r="I422" s="48" t="s">
        <v>24</v>
      </c>
      <c r="J422" s="47" t="str">
        <f t="shared" si="4"/>
        <v>Não</v>
      </c>
      <c r="K422" s="49">
        <v>44965.0</v>
      </c>
      <c r="L422" s="24"/>
      <c r="M422" s="24" t="s">
        <v>111</v>
      </c>
      <c r="N422" s="50">
        <v>0.015</v>
      </c>
      <c r="O422" s="47" t="s">
        <v>46</v>
      </c>
      <c r="P422" s="51">
        <v>0.1</v>
      </c>
      <c r="Q422" s="62"/>
      <c r="R422" s="52"/>
      <c r="S422" s="52"/>
      <c r="T422" s="24" t="s">
        <v>89</v>
      </c>
      <c r="U422" s="25" t="s">
        <v>1469</v>
      </c>
      <c r="V422" s="9" t="s">
        <v>29</v>
      </c>
      <c r="W422" s="53" t="str">
        <f t="shared" si="3"/>
        <v>Ativo</v>
      </c>
      <c r="X422" s="24"/>
      <c r="Y422" s="54" t="s">
        <v>95</v>
      </c>
      <c r="Z422" s="56"/>
      <c r="AA422" s="56"/>
      <c r="AB422" s="56"/>
      <c r="AC422" s="56"/>
      <c r="AD422" s="56">
        <v>0.0</v>
      </c>
      <c r="AE422" s="56">
        <v>71695.11</v>
      </c>
      <c r="AF422" s="56">
        <v>72215.39</v>
      </c>
      <c r="AG422" s="56">
        <v>72488.98</v>
      </c>
      <c r="AH422" s="56">
        <v>73058.1</v>
      </c>
      <c r="AI422" s="56">
        <v>44016.3</v>
      </c>
      <c r="AJ422" s="56">
        <v>44694.58</v>
      </c>
      <c r="AK422" s="56">
        <v>44440.77</v>
      </c>
      <c r="AL422" s="56">
        <v>44594.44</v>
      </c>
      <c r="AM422" s="56">
        <v>44838.89</v>
      </c>
      <c r="AN422" s="56">
        <v>44457.26</v>
      </c>
      <c r="AO422" s="56">
        <v>44766.9</v>
      </c>
      <c r="AP422" s="56">
        <v>59625.17</v>
      </c>
      <c r="AQ422" s="55">
        <v>1052792.26</v>
      </c>
      <c r="AR422" s="55">
        <v>1064896.89</v>
      </c>
      <c r="AS422" s="55">
        <v>1059869.39</v>
      </c>
      <c r="AT422" s="55">
        <f t="array" ref="AT422">XLOOKUP(C422,'PL TOTAL D0'!A:A,'PL TOTAL D0'!C:C,"")</f>
        <v>1067604</v>
      </c>
    </row>
    <row r="423" ht="15.75" customHeight="1">
      <c r="A423" s="44" t="s">
        <v>36</v>
      </c>
      <c r="B423" s="45" t="s">
        <v>1470</v>
      </c>
      <c r="C423" s="46" t="s">
        <v>1471</v>
      </c>
      <c r="D423" s="47" t="s">
        <v>18</v>
      </c>
      <c r="E423" s="24" t="s">
        <v>29</v>
      </c>
      <c r="F423" s="47" t="s">
        <v>44</v>
      </c>
      <c r="G423" s="47" t="str">
        <f t="shared" si="1"/>
        <v>Augusto</v>
      </c>
      <c r="H423" s="48" t="s">
        <v>88</v>
      </c>
      <c r="I423" s="48" t="s">
        <v>24</v>
      </c>
      <c r="J423" s="47" t="str">
        <f t="shared" si="4"/>
        <v>Não</v>
      </c>
      <c r="K423" s="49">
        <v>45041.0</v>
      </c>
      <c r="L423" s="24"/>
      <c r="M423" s="24" t="s">
        <v>111</v>
      </c>
      <c r="N423" s="50">
        <v>0.015</v>
      </c>
      <c r="O423" s="47" t="s">
        <v>46</v>
      </c>
      <c r="P423" s="51">
        <v>0.1</v>
      </c>
      <c r="Q423" s="52"/>
      <c r="R423" s="52"/>
      <c r="S423" s="52"/>
      <c r="T423" s="24" t="s">
        <v>89</v>
      </c>
      <c r="U423" s="25" t="s">
        <v>1472</v>
      </c>
      <c r="V423" s="9" t="s">
        <v>29</v>
      </c>
      <c r="W423" s="53" t="str">
        <f t="shared" si="3"/>
        <v>Ativo</v>
      </c>
      <c r="X423" s="24"/>
      <c r="Y423" s="54" t="s">
        <v>95</v>
      </c>
      <c r="Z423" s="56"/>
      <c r="AA423" s="56"/>
      <c r="AB423" s="56"/>
      <c r="AC423" s="56"/>
      <c r="AD423" s="56"/>
      <c r="AE423" s="56"/>
      <c r="AF423" s="56"/>
      <c r="AG423" s="56">
        <v>20624.5</v>
      </c>
      <c r="AH423" s="56">
        <v>13707.4</v>
      </c>
      <c r="AI423" s="56">
        <v>13791.31</v>
      </c>
      <c r="AJ423" s="56">
        <v>13905.96</v>
      </c>
      <c r="AK423" s="56">
        <v>14043.02</v>
      </c>
      <c r="AL423" s="56">
        <v>14113.01</v>
      </c>
      <c r="AM423" s="56">
        <v>7111.33</v>
      </c>
      <c r="AN423" s="56">
        <v>6039.64</v>
      </c>
      <c r="AO423" s="56">
        <v>0.0</v>
      </c>
      <c r="AP423" s="56">
        <v>0.0</v>
      </c>
      <c r="AQ423" s="55">
        <v>15068.39</v>
      </c>
      <c r="AR423" s="55">
        <v>5612.56</v>
      </c>
      <c r="AS423" s="55">
        <v>3633.75</v>
      </c>
      <c r="AT423" s="55">
        <f t="array" ref="AT423">XLOOKUP(C423,'PL TOTAL D0'!A:A,'PL TOTAL D0'!C:C,"")</f>
        <v>3645.99</v>
      </c>
    </row>
    <row r="424" ht="15.75" customHeight="1">
      <c r="A424" s="44" t="s">
        <v>36</v>
      </c>
      <c r="B424" s="63" t="s">
        <v>1473</v>
      </c>
      <c r="C424" s="46" t="s">
        <v>1474</v>
      </c>
      <c r="D424" s="47" t="s">
        <v>18</v>
      </c>
      <c r="E424" s="24" t="s">
        <v>19</v>
      </c>
      <c r="F424" s="47" t="s">
        <v>20</v>
      </c>
      <c r="G424" s="47" t="str">
        <f t="shared" si="1"/>
        <v>Breno</v>
      </c>
      <c r="H424" s="48" t="s">
        <v>88</v>
      </c>
      <c r="I424" s="48" t="s">
        <v>24</v>
      </c>
      <c r="J424" s="47" t="str">
        <f t="shared" si="4"/>
        <v>Não</v>
      </c>
      <c r="K424" s="49">
        <v>45005.0</v>
      </c>
      <c r="L424" s="24"/>
      <c r="M424" s="24" t="s">
        <v>60</v>
      </c>
      <c r="N424" s="50">
        <v>0.012</v>
      </c>
      <c r="O424" s="47" t="s">
        <v>24</v>
      </c>
      <c r="P424" s="51">
        <v>0.0</v>
      </c>
      <c r="Q424" s="52"/>
      <c r="R424" s="52"/>
      <c r="S424" s="52"/>
      <c r="T424" s="24" t="s">
        <v>89</v>
      </c>
      <c r="U424" s="25" t="s">
        <v>1475</v>
      </c>
      <c r="V424" s="9" t="s">
        <v>19</v>
      </c>
      <c r="W424" s="53" t="str">
        <f t="shared" si="3"/>
        <v>Ativo</v>
      </c>
      <c r="X424" s="24"/>
      <c r="Y424" s="54" t="s">
        <v>95</v>
      </c>
      <c r="Z424" s="56"/>
      <c r="AA424" s="56"/>
      <c r="AB424" s="56"/>
      <c r="AC424" s="56"/>
      <c r="AD424" s="56"/>
      <c r="AE424" s="56"/>
      <c r="AF424" s="56">
        <v>490650.14</v>
      </c>
      <c r="AG424" s="56">
        <v>494510.23</v>
      </c>
      <c r="AH424" s="56">
        <v>499291.51</v>
      </c>
      <c r="AI424" s="56">
        <v>503579.04</v>
      </c>
      <c r="AJ424" s="56">
        <v>507721.03</v>
      </c>
      <c r="AK424" s="56">
        <v>512302.95</v>
      </c>
      <c r="AL424" s="56">
        <v>516326.05</v>
      </c>
      <c r="AM424" s="56">
        <v>520849.72</v>
      </c>
      <c r="AN424" s="56">
        <v>524615.85</v>
      </c>
      <c r="AO424" s="56">
        <v>528655.79</v>
      </c>
      <c r="AP424" s="56">
        <v>533438.11</v>
      </c>
      <c r="AQ424" s="55">
        <v>537680.14</v>
      </c>
      <c r="AR424" s="55">
        <v>530776.49</v>
      </c>
      <c r="AS424" s="55">
        <v>533939.9</v>
      </c>
      <c r="AT424" s="55">
        <f t="array" ref="AT424">XLOOKUP(C424,'PL TOTAL D0'!A:A,'PL TOTAL D0'!C:C,"")</f>
        <v>536299.3</v>
      </c>
    </row>
    <row r="425" ht="15.75" customHeight="1">
      <c r="A425" s="44" t="s">
        <v>36</v>
      </c>
      <c r="B425" s="45" t="s">
        <v>1476</v>
      </c>
      <c r="C425" s="46" t="s">
        <v>1477</v>
      </c>
      <c r="D425" s="47" t="s">
        <v>86</v>
      </c>
      <c r="E425" s="24" t="s">
        <v>29</v>
      </c>
      <c r="F425" s="47" t="s">
        <v>741</v>
      </c>
      <c r="G425" s="47" t="str">
        <f t="shared" si="1"/>
        <v>#N/A</v>
      </c>
      <c r="H425" s="48" t="s">
        <v>157</v>
      </c>
      <c r="I425" s="48" t="s">
        <v>24</v>
      </c>
      <c r="J425" s="47" t="str">
        <f t="shared" si="4"/>
        <v>Não</v>
      </c>
      <c r="K425" s="49">
        <v>45070.0</v>
      </c>
      <c r="L425" s="74">
        <v>45126.0</v>
      </c>
      <c r="M425" s="24" t="s">
        <v>111</v>
      </c>
      <c r="N425" s="50">
        <v>0.016</v>
      </c>
      <c r="O425" s="47" t="s">
        <v>46</v>
      </c>
      <c r="P425" s="51">
        <v>0.1</v>
      </c>
      <c r="Q425" s="75"/>
      <c r="R425" s="75"/>
      <c r="S425" s="52"/>
      <c r="T425" s="24" t="s">
        <v>89</v>
      </c>
      <c r="U425" s="25" t="s">
        <v>1478</v>
      </c>
      <c r="V425" s="9" t="s">
        <v>29</v>
      </c>
      <c r="W425" s="53" t="str">
        <f t="shared" si="3"/>
        <v>Encerrado</v>
      </c>
      <c r="X425" s="24"/>
      <c r="Y425" s="54"/>
      <c r="Z425" s="56"/>
      <c r="AA425" s="56"/>
      <c r="AB425" s="56"/>
      <c r="AC425" s="56"/>
      <c r="AD425" s="56"/>
      <c r="AE425" s="56"/>
      <c r="AF425" s="56"/>
      <c r="AG425" s="56">
        <v>0.0</v>
      </c>
      <c r="AH425" s="56">
        <v>2497905.811</v>
      </c>
      <c r="AI425" s="56">
        <v>2498485.38</v>
      </c>
      <c r="AJ425" s="56">
        <v>0.0</v>
      </c>
      <c r="AK425" s="56">
        <v>0.0</v>
      </c>
      <c r="AL425" s="56">
        <v>0.0</v>
      </c>
      <c r="AM425" s="56">
        <v>0.0</v>
      </c>
      <c r="AN425" s="56">
        <v>0.0</v>
      </c>
      <c r="AO425" s="56">
        <v>0.0</v>
      </c>
      <c r="AP425" s="56">
        <v>0.0</v>
      </c>
      <c r="AQ425" s="55">
        <v>0.0</v>
      </c>
      <c r="AR425" s="55">
        <v>0.0</v>
      </c>
      <c r="AS425" s="55">
        <v>0.0</v>
      </c>
      <c r="AT425" s="55" t="str">
        <f t="array" ref="AT425">XLOOKUP(C425,'PL TOTAL D0'!A:A,'PL TOTAL D0'!C:C,"")</f>
        <v/>
      </c>
    </row>
    <row r="426" ht="15.75" customHeight="1">
      <c r="A426" s="44" t="s">
        <v>36</v>
      </c>
      <c r="B426" s="45" t="s">
        <v>1479</v>
      </c>
      <c r="C426" s="46" t="s">
        <v>1480</v>
      </c>
      <c r="D426" s="47" t="s">
        <v>86</v>
      </c>
      <c r="E426" s="24" t="s">
        <v>29</v>
      </c>
      <c r="F426" s="47" t="s">
        <v>87</v>
      </c>
      <c r="G426" s="47" t="str">
        <f t="shared" si="1"/>
        <v>Augusto</v>
      </c>
      <c r="H426" s="48" t="s">
        <v>88</v>
      </c>
      <c r="I426" s="48" t="s">
        <v>24</v>
      </c>
      <c r="J426" s="47" t="str">
        <f t="shared" si="4"/>
        <v>Não</v>
      </c>
      <c r="K426" s="49">
        <v>45168.0</v>
      </c>
      <c r="L426" s="74"/>
      <c r="M426" s="24" t="s">
        <v>111</v>
      </c>
      <c r="N426" s="50">
        <v>0.016</v>
      </c>
      <c r="O426" s="47" t="s">
        <v>46</v>
      </c>
      <c r="P426" s="51">
        <v>0.2</v>
      </c>
      <c r="Q426" s="75"/>
      <c r="R426" s="75"/>
      <c r="S426" s="52"/>
      <c r="T426" s="24" t="s">
        <v>89</v>
      </c>
      <c r="U426" s="25" t="s">
        <v>1481</v>
      </c>
      <c r="V426" s="9" t="s">
        <v>29</v>
      </c>
      <c r="W426" s="53" t="str">
        <f t="shared" si="3"/>
        <v>Ativo</v>
      </c>
      <c r="X426" s="24"/>
      <c r="Y426" s="54" t="s">
        <v>95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>
        <v>86640.52</v>
      </c>
      <c r="AL426" s="56">
        <v>87103.29</v>
      </c>
      <c r="AM426" s="56">
        <v>87579.02</v>
      </c>
      <c r="AN426" s="56">
        <v>87910.08</v>
      </c>
      <c r="AO426" s="56">
        <v>81281.6</v>
      </c>
      <c r="AP426" s="56">
        <v>58806.46</v>
      </c>
      <c r="AQ426" s="55">
        <v>59229.76</v>
      </c>
      <c r="AR426" s="55">
        <v>59694.45</v>
      </c>
      <c r="AS426" s="55">
        <v>59084.54</v>
      </c>
      <c r="AT426" s="55">
        <f t="array" ref="AT426">XLOOKUP(C426,'PL TOTAL D0'!A:A,'PL TOTAL D0'!C:C,"")</f>
        <v>59513.04</v>
      </c>
    </row>
    <row r="427" ht="15.75" customHeight="1">
      <c r="A427" s="44" t="s">
        <v>36</v>
      </c>
      <c r="B427" s="45" t="s">
        <v>1482</v>
      </c>
      <c r="C427" s="46" t="s">
        <v>1483</v>
      </c>
      <c r="D427" s="47" t="s">
        <v>86</v>
      </c>
      <c r="E427" s="24" t="s">
        <v>29</v>
      </c>
      <c r="F427" s="47" t="s">
        <v>87</v>
      </c>
      <c r="G427" s="47" t="str">
        <f t="shared" si="1"/>
        <v>Breno</v>
      </c>
      <c r="H427" s="48" t="s">
        <v>88</v>
      </c>
      <c r="I427" s="48" t="s">
        <v>24</v>
      </c>
      <c r="J427" s="47" t="str">
        <f t="shared" si="4"/>
        <v>Não</v>
      </c>
      <c r="K427" s="49">
        <v>45158.0</v>
      </c>
      <c r="L427" s="24"/>
      <c r="M427" s="24" t="s">
        <v>111</v>
      </c>
      <c r="N427" s="50">
        <v>0.009</v>
      </c>
      <c r="O427" s="47" t="s">
        <v>46</v>
      </c>
      <c r="P427" s="51">
        <v>0.2</v>
      </c>
      <c r="Q427" s="52"/>
      <c r="R427" s="52"/>
      <c r="S427" s="52"/>
      <c r="T427" s="24" t="s">
        <v>89</v>
      </c>
      <c r="U427" s="25" t="s">
        <v>1484</v>
      </c>
      <c r="V427" s="9" t="s">
        <v>29</v>
      </c>
      <c r="W427" s="53" t="str">
        <f t="shared" si="3"/>
        <v>Ativo</v>
      </c>
      <c r="X427" s="24"/>
      <c r="Y427" s="54" t="s">
        <v>95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>
        <v>0.0</v>
      </c>
      <c r="AK427" s="56">
        <v>598103.92</v>
      </c>
      <c r="AL427" s="56">
        <v>594234.29</v>
      </c>
      <c r="AM427" s="56">
        <v>594911.39</v>
      </c>
      <c r="AN427" s="56">
        <v>615008.45</v>
      </c>
      <c r="AO427" s="56">
        <v>649546.84</v>
      </c>
      <c r="AP427" s="56">
        <v>648672.86</v>
      </c>
      <c r="AQ427" s="55">
        <v>652869.66</v>
      </c>
      <c r="AR427" s="55">
        <v>655720.22</v>
      </c>
      <c r="AS427" s="55">
        <v>650035.26</v>
      </c>
      <c r="AT427" s="55">
        <f t="array" ref="AT427">XLOOKUP(C427,'PL TOTAL D0'!A:A,'PL TOTAL D0'!C:C,"")</f>
        <v>655275.5</v>
      </c>
    </row>
    <row r="428" ht="15.75" customHeight="1">
      <c r="A428" s="6" t="s">
        <v>36</v>
      </c>
      <c r="B428" s="57" t="s">
        <v>1485</v>
      </c>
      <c r="C428" s="21" t="s">
        <v>1486</v>
      </c>
      <c r="D428" s="9" t="s">
        <v>86</v>
      </c>
      <c r="E428" s="25" t="s">
        <v>29</v>
      </c>
      <c r="F428" s="9" t="s">
        <v>315</v>
      </c>
      <c r="G428" s="47" t="str">
        <f t="shared" si="1"/>
        <v>Augusto</v>
      </c>
      <c r="H428" s="53" t="s">
        <v>88</v>
      </c>
      <c r="I428" s="53" t="s">
        <v>24</v>
      </c>
      <c r="J428" s="47" t="str">
        <f t="shared" si="4"/>
        <v>Não</v>
      </c>
      <c r="K428" s="59">
        <v>45348.0</v>
      </c>
      <c r="L428" s="24"/>
      <c r="M428" s="25" t="s">
        <v>45</v>
      </c>
      <c r="N428" s="60">
        <v>0.014</v>
      </c>
      <c r="O428" s="9" t="s">
        <v>46</v>
      </c>
      <c r="P428" s="61">
        <v>0.1</v>
      </c>
      <c r="Q428" s="52"/>
      <c r="R428" s="52"/>
      <c r="S428" s="52"/>
      <c r="T428" s="25" t="s">
        <v>89</v>
      </c>
      <c r="U428" s="23" t="s">
        <v>1487</v>
      </c>
      <c r="V428" s="9" t="s">
        <v>29</v>
      </c>
      <c r="W428" s="53" t="str">
        <f t="shared" si="3"/>
        <v>Ativo</v>
      </c>
      <c r="X428" s="24"/>
      <c r="Y428" s="54" t="s">
        <v>91</v>
      </c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5">
        <v>100044.69</v>
      </c>
      <c r="AR428" s="55">
        <v>101250.66</v>
      </c>
      <c r="AS428" s="55">
        <v>101304.98</v>
      </c>
      <c r="AT428" s="55">
        <f t="array" ref="AT428">XLOOKUP(C428,'PL TOTAL D0'!A:A,'PL TOTAL D0'!C:C,"")</f>
        <v>101977.1</v>
      </c>
    </row>
    <row r="429" ht="15.75" customHeight="1">
      <c r="A429" s="44" t="s">
        <v>36</v>
      </c>
      <c r="B429" s="45" t="s">
        <v>1488</v>
      </c>
      <c r="C429" s="46" t="s">
        <v>1489</v>
      </c>
      <c r="D429" s="47" t="s">
        <v>18</v>
      </c>
      <c r="E429" s="24" t="s">
        <v>29</v>
      </c>
      <c r="F429" s="47" t="s">
        <v>58</v>
      </c>
      <c r="G429" s="47" t="str">
        <f t="shared" si="1"/>
        <v>Augusto</v>
      </c>
      <c r="H429" s="53" t="s">
        <v>88</v>
      </c>
      <c r="I429" s="53" t="s">
        <v>24</v>
      </c>
      <c r="J429" s="47" t="str">
        <f t="shared" si="4"/>
        <v>Não</v>
      </c>
      <c r="K429" s="49">
        <v>45043.0</v>
      </c>
      <c r="L429" s="24"/>
      <c r="M429" s="25" t="s">
        <v>713</v>
      </c>
      <c r="N429" s="60">
        <v>0.007</v>
      </c>
      <c r="O429" s="47" t="s">
        <v>24</v>
      </c>
      <c r="P429" s="51">
        <v>0.0</v>
      </c>
      <c r="Q429" s="52"/>
      <c r="R429" s="52"/>
      <c r="S429" s="62" t="s">
        <v>1490</v>
      </c>
      <c r="T429" s="24" t="s">
        <v>89</v>
      </c>
      <c r="U429" s="25" t="s">
        <v>1491</v>
      </c>
      <c r="V429" s="9" t="s">
        <v>29</v>
      </c>
      <c r="W429" s="53" t="str">
        <f t="shared" si="3"/>
        <v>Ativo</v>
      </c>
      <c r="X429" s="24"/>
      <c r="Y429" s="54" t="s">
        <v>95</v>
      </c>
      <c r="Z429" s="56"/>
      <c r="AA429" s="56"/>
      <c r="AB429" s="56"/>
      <c r="AC429" s="56"/>
      <c r="AD429" s="56"/>
      <c r="AE429" s="56"/>
      <c r="AF429" s="56"/>
      <c r="AG429" s="56">
        <v>23000.0</v>
      </c>
      <c r="AH429" s="56">
        <v>15154.39</v>
      </c>
      <c r="AI429" s="56">
        <v>15296.76</v>
      </c>
      <c r="AJ429" s="56">
        <v>15420.75</v>
      </c>
      <c r="AK429" s="56">
        <v>15586.14</v>
      </c>
      <c r="AL429" s="56">
        <v>15725.28</v>
      </c>
      <c r="AM429" s="56">
        <v>15878.29</v>
      </c>
      <c r="AN429" s="56">
        <v>16003.69</v>
      </c>
      <c r="AO429" s="56">
        <v>16135.27</v>
      </c>
      <c r="AP429" s="56">
        <v>16089.04</v>
      </c>
      <c r="AQ429" s="55">
        <v>16200.64</v>
      </c>
      <c r="AR429" s="55">
        <v>51666.39</v>
      </c>
      <c r="AS429" s="55">
        <v>51419.29</v>
      </c>
      <c r="AT429" s="55">
        <f t="array" ref="AT429">XLOOKUP(C429,'PL TOTAL D0'!A:A,'PL TOTAL D0'!C:C,"")</f>
        <v>51776.12</v>
      </c>
    </row>
    <row r="430" ht="15.75" customHeight="1">
      <c r="A430" s="44" t="s">
        <v>36</v>
      </c>
      <c r="B430" s="45" t="s">
        <v>1492</v>
      </c>
      <c r="C430" s="46" t="s">
        <v>1493</v>
      </c>
      <c r="D430" s="47" t="s">
        <v>18</v>
      </c>
      <c r="E430" s="24" t="s">
        <v>180</v>
      </c>
      <c r="F430" s="47" t="s">
        <v>512</v>
      </c>
      <c r="G430" s="47" t="str">
        <f t="shared" si="1"/>
        <v>Augusto</v>
      </c>
      <c r="H430" s="48" t="s">
        <v>88</v>
      </c>
      <c r="I430" s="48" t="s">
        <v>24</v>
      </c>
      <c r="J430" s="47" t="str">
        <f t="shared" si="4"/>
        <v>Não</v>
      </c>
      <c r="K430" s="49">
        <v>44973.0</v>
      </c>
      <c r="L430" s="24"/>
      <c r="M430" s="24" t="s">
        <v>111</v>
      </c>
      <c r="N430" s="50">
        <v>0.015</v>
      </c>
      <c r="O430" s="47" t="s">
        <v>46</v>
      </c>
      <c r="P430" s="51">
        <v>0.1</v>
      </c>
      <c r="Q430" s="52"/>
      <c r="R430" s="52"/>
      <c r="S430" s="52"/>
      <c r="T430" s="24" t="s">
        <v>89</v>
      </c>
      <c r="U430" s="25" t="s">
        <v>1494</v>
      </c>
      <c r="V430" s="9" t="s">
        <v>180</v>
      </c>
      <c r="W430" s="53" t="str">
        <f t="shared" si="3"/>
        <v>Ativo</v>
      </c>
      <c r="X430" s="24"/>
      <c r="Y430" s="54" t="s">
        <v>95</v>
      </c>
      <c r="Z430" s="56"/>
      <c r="AA430" s="56"/>
      <c r="AB430" s="56"/>
      <c r="AC430" s="56"/>
      <c r="AD430" s="56">
        <v>0.0</v>
      </c>
      <c r="AE430" s="56">
        <v>30166.52</v>
      </c>
      <c r="AF430" s="56">
        <v>32411.69</v>
      </c>
      <c r="AG430" s="56">
        <v>34582.67</v>
      </c>
      <c r="AH430" s="56">
        <v>37421.92</v>
      </c>
      <c r="AI430" s="56">
        <v>40114.94</v>
      </c>
      <c r="AJ430" s="56">
        <v>40553.65</v>
      </c>
      <c r="AK430" s="56">
        <v>40571.92</v>
      </c>
      <c r="AL430" s="56">
        <v>40649.3</v>
      </c>
      <c r="AM430" s="56">
        <v>40627.37</v>
      </c>
      <c r="AN430" s="56">
        <v>41061.6</v>
      </c>
      <c r="AO430" s="56">
        <v>41826.03</v>
      </c>
      <c r="AP430" s="56">
        <v>41287.2</v>
      </c>
      <c r="AQ430" s="55">
        <v>41549.16</v>
      </c>
      <c r="AR430" s="55">
        <v>41967.58</v>
      </c>
      <c r="AS430" s="55">
        <v>41272.03</v>
      </c>
      <c r="AT430" s="55">
        <f t="array" ref="AT430">XLOOKUP(C430,'PL TOTAL D0'!A:A,'PL TOTAL D0'!C:C,"")</f>
        <v>41619.8</v>
      </c>
    </row>
    <row r="431" ht="15.75" customHeight="1">
      <c r="A431" s="44" t="s">
        <v>36</v>
      </c>
      <c r="B431" s="96" t="s">
        <v>1495</v>
      </c>
      <c r="C431" s="150" t="s">
        <v>1496</v>
      </c>
      <c r="D431" s="47" t="s">
        <v>18</v>
      </c>
      <c r="E431" s="24" t="s">
        <v>19</v>
      </c>
      <c r="F431" s="47" t="s">
        <v>20</v>
      </c>
      <c r="G431" s="47" t="str">
        <f t="shared" si="1"/>
        <v>Augusto</v>
      </c>
      <c r="H431" s="53" t="s">
        <v>88</v>
      </c>
      <c r="I431" s="53" t="s">
        <v>24</v>
      </c>
      <c r="J431" s="47" t="str">
        <f t="shared" si="4"/>
        <v>Não</v>
      </c>
      <c r="K431" s="49">
        <v>45253.0</v>
      </c>
      <c r="L431" s="24"/>
      <c r="M431" s="24" t="s">
        <v>60</v>
      </c>
      <c r="N431" s="93">
        <v>0.012</v>
      </c>
      <c r="O431" s="94" t="s">
        <v>24</v>
      </c>
      <c r="P431" s="95">
        <v>0.0</v>
      </c>
      <c r="Q431" s="52"/>
      <c r="R431" s="52"/>
      <c r="S431" s="52"/>
      <c r="T431" s="24" t="s">
        <v>89</v>
      </c>
      <c r="U431" s="25" t="s">
        <v>1497</v>
      </c>
      <c r="V431" s="9" t="s">
        <v>19</v>
      </c>
      <c r="W431" s="53" t="str">
        <f t="shared" si="3"/>
        <v>Ativo</v>
      </c>
      <c r="X431" s="24"/>
      <c r="Y431" s="54" t="s">
        <v>95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>
        <v>0.0</v>
      </c>
      <c r="AO431" s="56">
        <v>2300.0</v>
      </c>
      <c r="AP431" s="56">
        <v>2300.0</v>
      </c>
      <c r="AQ431" s="55">
        <v>2311.38</v>
      </c>
      <c r="AR431" s="55">
        <v>2325.06</v>
      </c>
      <c r="AS431" s="55">
        <v>2335.63</v>
      </c>
      <c r="AT431" s="55">
        <f t="array" ref="AT431">XLOOKUP(C431,'PL TOTAL D0'!A:A,'PL TOTAL D0'!C:C,"")</f>
        <v>2347.27</v>
      </c>
    </row>
    <row r="432" ht="15.75" customHeight="1">
      <c r="A432" s="44" t="s">
        <v>36</v>
      </c>
      <c r="B432" s="111" t="s">
        <v>1498</v>
      </c>
      <c r="C432" s="46" t="s">
        <v>1499</v>
      </c>
      <c r="D432" s="47" t="s">
        <v>18</v>
      </c>
      <c r="E432" s="24" t="s">
        <v>19</v>
      </c>
      <c r="F432" s="47" t="s">
        <v>20</v>
      </c>
      <c r="G432" s="47" t="str">
        <f t="shared" si="1"/>
        <v>Augusto</v>
      </c>
      <c r="H432" s="48" t="s">
        <v>88</v>
      </c>
      <c r="I432" s="48" t="s">
        <v>24</v>
      </c>
      <c r="J432" s="47" t="str">
        <f t="shared" si="4"/>
        <v>Não</v>
      </c>
      <c r="K432" s="49">
        <v>45149.0</v>
      </c>
      <c r="L432" s="64"/>
      <c r="M432" s="24" t="s">
        <v>60</v>
      </c>
      <c r="N432" s="50">
        <v>0.012</v>
      </c>
      <c r="O432" s="47" t="s">
        <v>24</v>
      </c>
      <c r="P432" s="51">
        <v>0.0</v>
      </c>
      <c r="Q432" s="52"/>
      <c r="R432" s="52"/>
      <c r="S432" s="52"/>
      <c r="T432" s="24" t="s">
        <v>89</v>
      </c>
      <c r="U432" s="25" t="s">
        <v>1500</v>
      </c>
      <c r="V432" s="9" t="s">
        <v>19</v>
      </c>
      <c r="W432" s="53" t="str">
        <f t="shared" si="3"/>
        <v>Ativo</v>
      </c>
      <c r="X432" s="24"/>
      <c r="Y432" s="54" t="s">
        <v>95</v>
      </c>
      <c r="Z432" s="56"/>
      <c r="AA432" s="56"/>
      <c r="AB432" s="56"/>
      <c r="AC432" s="56"/>
      <c r="AD432" s="56"/>
      <c r="AE432" s="56"/>
      <c r="AF432" s="56"/>
      <c r="AG432" s="56"/>
      <c r="AH432" s="56"/>
      <c r="AI432" s="56">
        <v>0.0</v>
      </c>
      <c r="AJ432" s="56">
        <v>0.0</v>
      </c>
      <c r="AK432" s="56">
        <v>12077.1</v>
      </c>
      <c r="AL432" s="56">
        <v>12189.66</v>
      </c>
      <c r="AM432" s="56">
        <v>13818.94</v>
      </c>
      <c r="AN432" s="56">
        <v>13925.05</v>
      </c>
      <c r="AO432" s="56">
        <v>14038.81</v>
      </c>
      <c r="AP432" s="56">
        <v>14162.82</v>
      </c>
      <c r="AQ432" s="55">
        <v>14265.7</v>
      </c>
      <c r="AR432" s="55">
        <v>15351.73</v>
      </c>
      <c r="AS432" s="55">
        <v>34293.2</v>
      </c>
      <c r="AT432" s="55">
        <f t="array" ref="AT432">XLOOKUP(C432,'PL TOTAL D0'!A:A,'PL TOTAL D0'!C:C,"")</f>
        <v>34895.53</v>
      </c>
    </row>
    <row r="433" ht="15.75" customHeight="1">
      <c r="A433" s="44" t="s">
        <v>36</v>
      </c>
      <c r="B433" s="45" t="s">
        <v>1501</v>
      </c>
      <c r="C433" s="46" t="s">
        <v>1502</v>
      </c>
      <c r="D433" s="47" t="s">
        <v>86</v>
      </c>
      <c r="E433" s="24" t="s">
        <v>29</v>
      </c>
      <c r="F433" s="47" t="s">
        <v>1503</v>
      </c>
      <c r="G433" s="47" t="str">
        <f t="shared" si="1"/>
        <v>Augusto</v>
      </c>
      <c r="H433" s="48" t="s">
        <v>88</v>
      </c>
      <c r="I433" s="48" t="s">
        <v>24</v>
      </c>
      <c r="J433" s="47" t="str">
        <f t="shared" si="4"/>
        <v>Sim</v>
      </c>
      <c r="K433" s="49">
        <v>44973.0</v>
      </c>
      <c r="L433" s="24"/>
      <c r="M433" s="25" t="s">
        <v>652</v>
      </c>
      <c r="N433" s="50">
        <v>0.012</v>
      </c>
      <c r="O433" s="47" t="s">
        <v>24</v>
      </c>
      <c r="P433" s="51">
        <v>0.0</v>
      </c>
      <c r="Q433" s="62" t="s">
        <v>1504</v>
      </c>
      <c r="R433" s="52"/>
      <c r="S433" s="52"/>
      <c r="T433" s="24" t="s">
        <v>89</v>
      </c>
      <c r="U433" s="25" t="s">
        <v>1505</v>
      </c>
      <c r="V433" s="9" t="s">
        <v>29</v>
      </c>
      <c r="W433" s="53" t="str">
        <f t="shared" si="3"/>
        <v>Ativo</v>
      </c>
      <c r="X433" s="24"/>
      <c r="Y433" s="54" t="s">
        <v>91</v>
      </c>
      <c r="Z433" s="56"/>
      <c r="AA433" s="56"/>
      <c r="AB433" s="56"/>
      <c r="AC433" s="56"/>
      <c r="AD433" s="56">
        <v>0.0</v>
      </c>
      <c r="AE433" s="56">
        <v>0.0</v>
      </c>
      <c r="AF433" s="56">
        <v>0.0</v>
      </c>
      <c r="AG433" s="56">
        <v>347988.69</v>
      </c>
      <c r="AH433" s="56">
        <v>357710.52</v>
      </c>
      <c r="AI433" s="56">
        <v>364672.27</v>
      </c>
      <c r="AJ433" s="56">
        <v>370568.08</v>
      </c>
      <c r="AK433" s="56">
        <v>374390.39</v>
      </c>
      <c r="AL433" s="56">
        <v>376886.21</v>
      </c>
      <c r="AM433" s="56">
        <v>376422.29</v>
      </c>
      <c r="AN433" s="56">
        <v>380757.32</v>
      </c>
      <c r="AO433" s="56">
        <v>386224.65</v>
      </c>
      <c r="AP433" s="56">
        <v>388515.52</v>
      </c>
      <c r="AQ433" s="55">
        <v>393413.58</v>
      </c>
      <c r="AR433" s="55">
        <v>396652.54</v>
      </c>
      <c r="AS433" s="55">
        <v>396242.02</v>
      </c>
      <c r="AT433" s="55">
        <f t="array" ref="AT433">XLOOKUP(C433,'PL TOTAL D0'!A:A,'PL TOTAL D0'!C:C,"")</f>
        <v>396654.3</v>
      </c>
    </row>
    <row r="434" ht="15.75" customHeight="1">
      <c r="A434" s="6" t="s">
        <v>36</v>
      </c>
      <c r="B434" s="57" t="s">
        <v>1506</v>
      </c>
      <c r="C434" s="7" t="s">
        <v>1507</v>
      </c>
      <c r="D434" s="9" t="s">
        <v>18</v>
      </c>
      <c r="E434" s="25" t="s">
        <v>29</v>
      </c>
      <c r="F434" s="9" t="s">
        <v>137</v>
      </c>
      <c r="G434" s="47" t="str">
        <f t="shared" si="1"/>
        <v>Augusto</v>
      </c>
      <c r="H434" s="53" t="s">
        <v>88</v>
      </c>
      <c r="I434" s="53" t="s">
        <v>24</v>
      </c>
      <c r="J434" s="47" t="str">
        <f t="shared" si="4"/>
        <v>Sim</v>
      </c>
      <c r="K434" s="59">
        <v>45359.0</v>
      </c>
      <c r="L434" s="64"/>
      <c r="M434" s="25" t="s">
        <v>60</v>
      </c>
      <c r="N434" s="60">
        <v>0.012</v>
      </c>
      <c r="O434" s="9" t="s">
        <v>24</v>
      </c>
      <c r="P434" s="61">
        <v>0.0</v>
      </c>
      <c r="Q434" s="62" t="s">
        <v>1508</v>
      </c>
      <c r="R434" s="52"/>
      <c r="S434" s="62" t="s">
        <v>1509</v>
      </c>
      <c r="T434" s="25" t="s">
        <v>89</v>
      </c>
      <c r="U434" s="5" t="s">
        <v>1510</v>
      </c>
      <c r="V434" s="9" t="s">
        <v>29</v>
      </c>
      <c r="W434" s="53" t="str">
        <f t="shared" si="3"/>
        <v>Ativo</v>
      </c>
      <c r="X434" s="24"/>
      <c r="Y434" s="54" t="s">
        <v>95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5"/>
      <c r="AR434" s="55">
        <v>350725.59</v>
      </c>
      <c r="AS434" s="55">
        <v>351793.23</v>
      </c>
      <c r="AT434" s="55">
        <f t="array" ref="AT434">XLOOKUP(C434,'PL TOTAL D0'!A:A,'PL TOTAL D0'!C:C,"")</f>
        <v>354004.3</v>
      </c>
    </row>
    <row r="435" ht="15.75" customHeight="1">
      <c r="A435" s="44" t="s">
        <v>36</v>
      </c>
      <c r="B435" s="45" t="s">
        <v>1511</v>
      </c>
      <c r="C435" s="46" t="s">
        <v>1512</v>
      </c>
      <c r="D435" s="47" t="s">
        <v>18</v>
      </c>
      <c r="E435" s="24" t="s">
        <v>19</v>
      </c>
      <c r="F435" s="47" t="s">
        <v>20</v>
      </c>
      <c r="G435" s="47" t="str">
        <f t="shared" si="1"/>
        <v>Augusto</v>
      </c>
      <c r="H435" s="48" t="s">
        <v>88</v>
      </c>
      <c r="I435" s="48" t="s">
        <v>24</v>
      </c>
      <c r="J435" s="47" t="str">
        <f t="shared" si="4"/>
        <v>Não</v>
      </c>
      <c r="K435" s="49">
        <v>45034.0</v>
      </c>
      <c r="L435" s="24"/>
      <c r="M435" s="24" t="s">
        <v>60</v>
      </c>
      <c r="N435" s="50">
        <v>0.012</v>
      </c>
      <c r="O435" s="47" t="s">
        <v>24</v>
      </c>
      <c r="P435" s="51">
        <v>0.0</v>
      </c>
      <c r="Q435" s="52"/>
      <c r="R435" s="52"/>
      <c r="S435" s="52"/>
      <c r="T435" s="24" t="s">
        <v>89</v>
      </c>
      <c r="U435" s="25" t="s">
        <v>1513</v>
      </c>
      <c r="V435" s="9" t="s">
        <v>29</v>
      </c>
      <c r="W435" s="53" t="str">
        <f t="shared" si="3"/>
        <v>Ativo</v>
      </c>
      <c r="X435" s="24"/>
      <c r="Y435" s="54" t="s">
        <v>95</v>
      </c>
      <c r="Z435" s="56"/>
      <c r="AA435" s="56"/>
      <c r="AB435" s="56"/>
      <c r="AC435" s="56"/>
      <c r="AD435" s="56"/>
      <c r="AE435" s="56"/>
      <c r="AF435" s="56">
        <v>0.0</v>
      </c>
      <c r="AG435" s="56">
        <v>114482.14</v>
      </c>
      <c r="AH435" s="56">
        <v>116324.12</v>
      </c>
      <c r="AI435" s="56">
        <v>117665.37</v>
      </c>
      <c r="AJ435" s="56">
        <v>158063.24</v>
      </c>
      <c r="AK435" s="56">
        <v>158805.14</v>
      </c>
      <c r="AL435" s="56">
        <v>159033.28</v>
      </c>
      <c r="AM435" s="56">
        <v>160346.51</v>
      </c>
      <c r="AN435" s="56">
        <v>162382.9</v>
      </c>
      <c r="AO435" s="56">
        <v>163655.53</v>
      </c>
      <c r="AP435" s="56">
        <v>164859.7</v>
      </c>
      <c r="AQ435" s="55">
        <v>166549.19</v>
      </c>
      <c r="AR435" s="55">
        <v>167903.82</v>
      </c>
      <c r="AS435" s="55">
        <v>167832.6</v>
      </c>
      <c r="AT435" s="55">
        <f t="array" ref="AT435">XLOOKUP(C435,'PL TOTAL D0'!A:A,'PL TOTAL D0'!C:C,"")</f>
        <v>168628.7</v>
      </c>
    </row>
    <row r="436" ht="15.75" customHeight="1">
      <c r="A436" s="44" t="s">
        <v>36</v>
      </c>
      <c r="B436" s="45" t="s">
        <v>1514</v>
      </c>
      <c r="C436" s="46" t="s">
        <v>1515</v>
      </c>
      <c r="D436" s="47" t="s">
        <v>18</v>
      </c>
      <c r="E436" s="24" t="s">
        <v>145</v>
      </c>
      <c r="F436" s="47" t="s">
        <v>171</v>
      </c>
      <c r="G436" s="47" t="str">
        <f t="shared" si="1"/>
        <v>Breno</v>
      </c>
      <c r="H436" s="48" t="s">
        <v>88</v>
      </c>
      <c r="I436" s="48" t="s">
        <v>24</v>
      </c>
      <c r="J436" s="47" t="str">
        <f t="shared" si="4"/>
        <v>Sim</v>
      </c>
      <c r="K436" s="49">
        <v>45070.0</v>
      </c>
      <c r="L436" s="64"/>
      <c r="M436" s="24" t="s">
        <v>704</v>
      </c>
      <c r="N436" s="50">
        <v>0.02</v>
      </c>
      <c r="O436" s="47" t="s">
        <v>163</v>
      </c>
      <c r="P436" s="51">
        <v>0.2</v>
      </c>
      <c r="Q436" s="52" t="s">
        <v>1516</v>
      </c>
      <c r="R436" s="52" t="s">
        <v>1517</v>
      </c>
      <c r="S436" s="52"/>
      <c r="T436" s="24" t="s">
        <v>89</v>
      </c>
      <c r="U436" s="25" t="s">
        <v>1518</v>
      </c>
      <c r="V436" s="9" t="s">
        <v>149</v>
      </c>
      <c r="W436" s="53" t="str">
        <f t="shared" si="3"/>
        <v>Ativo</v>
      </c>
      <c r="X436" s="24"/>
      <c r="Y436" s="54" t="s">
        <v>91</v>
      </c>
      <c r="Z436" s="56"/>
      <c r="AA436" s="56"/>
      <c r="AB436" s="56"/>
      <c r="AC436" s="56"/>
      <c r="AD436" s="56"/>
      <c r="AE436" s="56"/>
      <c r="AF436" s="56"/>
      <c r="AG436" s="56">
        <v>0.0</v>
      </c>
      <c r="AH436" s="56">
        <v>0.0</v>
      </c>
      <c r="AI436" s="56">
        <v>481579.68</v>
      </c>
      <c r="AJ436" s="56">
        <v>479112.38</v>
      </c>
      <c r="AK436" s="56">
        <v>482826.85</v>
      </c>
      <c r="AL436" s="56">
        <v>494486.85</v>
      </c>
      <c r="AM436" s="56">
        <v>491878.69</v>
      </c>
      <c r="AN436" s="56">
        <v>533565.37</v>
      </c>
      <c r="AO436" s="56">
        <v>585023.88</v>
      </c>
      <c r="AP436" s="56">
        <v>573373.79</v>
      </c>
      <c r="AQ436" s="55">
        <v>575238.78</v>
      </c>
      <c r="AR436" s="55">
        <v>574607.37</v>
      </c>
      <c r="AS436" s="55">
        <v>559333.6</v>
      </c>
      <c r="AT436" s="55">
        <f t="array" ref="AT436">XLOOKUP(C436,'PL TOTAL D0'!A:A,'PL TOTAL D0'!C:C,"")</f>
        <v>580111.9</v>
      </c>
    </row>
    <row r="437" ht="15.75" customHeight="1">
      <c r="A437" s="44" t="s">
        <v>36</v>
      </c>
      <c r="B437" s="68" t="s">
        <v>1519</v>
      </c>
      <c r="C437" s="203" t="s">
        <v>1520</v>
      </c>
      <c r="D437" s="47" t="s">
        <v>18</v>
      </c>
      <c r="E437" s="24" t="s">
        <v>145</v>
      </c>
      <c r="F437" s="47" t="s">
        <v>171</v>
      </c>
      <c r="G437" s="47" t="str">
        <f t="shared" si="1"/>
        <v>#N/A</v>
      </c>
      <c r="H437" s="53" t="s">
        <v>116</v>
      </c>
      <c r="I437" s="53" t="s">
        <v>161</v>
      </c>
      <c r="J437" s="47" t="str">
        <f t="shared" si="4"/>
        <v>Não</v>
      </c>
      <c r="K437" s="49">
        <v>45209.0</v>
      </c>
      <c r="L437" s="24"/>
      <c r="M437" s="24" t="s">
        <v>60</v>
      </c>
      <c r="N437" s="50">
        <v>0.012</v>
      </c>
      <c r="O437" s="47" t="s">
        <v>24</v>
      </c>
      <c r="P437" s="51">
        <v>0.0</v>
      </c>
      <c r="Q437" s="62"/>
      <c r="R437" s="106"/>
      <c r="S437" s="106"/>
      <c r="T437" s="24" t="s">
        <v>89</v>
      </c>
      <c r="U437" s="25" t="s">
        <v>1521</v>
      </c>
      <c r="V437" s="9" t="s">
        <v>149</v>
      </c>
      <c r="W437" s="53" t="str">
        <f t="shared" si="3"/>
        <v>Ativo</v>
      </c>
      <c r="X437" s="24"/>
      <c r="Y437" s="54" t="s">
        <v>91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>
        <v>0.0</v>
      </c>
      <c r="AM437" s="56">
        <v>0.0</v>
      </c>
      <c r="AN437" s="56">
        <v>0.0</v>
      </c>
      <c r="AO437" s="56">
        <v>0.0</v>
      </c>
      <c r="AP437" s="56">
        <v>0.0</v>
      </c>
      <c r="AQ437" s="55">
        <v>0.0</v>
      </c>
      <c r="AR437" s="55">
        <v>0.0</v>
      </c>
      <c r="AS437" s="55">
        <v>0.0</v>
      </c>
      <c r="AT437" s="55" t="str">
        <f t="array" ref="AT437">XLOOKUP(C437,'PL TOTAL D0'!A:A,'PL TOTAL D0'!C:C,"")</f>
        <v/>
      </c>
    </row>
    <row r="438" ht="15.75" customHeight="1">
      <c r="A438" s="44" t="s">
        <v>36</v>
      </c>
      <c r="B438" s="45" t="s">
        <v>1522</v>
      </c>
      <c r="C438" s="46" t="s">
        <v>1523</v>
      </c>
      <c r="D438" s="47" t="s">
        <v>18</v>
      </c>
      <c r="E438" s="24" t="s">
        <v>29</v>
      </c>
      <c r="F438" s="47" t="s">
        <v>58</v>
      </c>
      <c r="G438" s="47" t="str">
        <f t="shared" si="1"/>
        <v>Augusto</v>
      </c>
      <c r="H438" s="53" t="s">
        <v>116</v>
      </c>
      <c r="I438" s="53" t="s">
        <v>161</v>
      </c>
      <c r="J438" s="47" t="str">
        <f t="shared" si="4"/>
        <v>Não</v>
      </c>
      <c r="K438" s="49">
        <v>44911.0</v>
      </c>
      <c r="L438" s="24"/>
      <c r="M438" s="24" t="s">
        <v>162</v>
      </c>
      <c r="N438" s="50">
        <v>0.025</v>
      </c>
      <c r="O438" s="47" t="s">
        <v>163</v>
      </c>
      <c r="P438" s="51">
        <v>0.2</v>
      </c>
      <c r="Q438" s="65"/>
      <c r="R438" s="52"/>
      <c r="S438" s="62" t="s">
        <v>1524</v>
      </c>
      <c r="T438" s="24" t="s">
        <v>89</v>
      </c>
      <c r="U438" s="25" t="s">
        <v>1525</v>
      </c>
      <c r="V438" s="9" t="s">
        <v>29</v>
      </c>
      <c r="W438" s="53" t="str">
        <f t="shared" si="3"/>
        <v>Ativo</v>
      </c>
      <c r="X438" s="24"/>
      <c r="Y438" s="54" t="s">
        <v>95</v>
      </c>
      <c r="Z438" s="56"/>
      <c r="AA438" s="56"/>
      <c r="AB438" s="56"/>
      <c r="AC438" s="56">
        <v>14721.08</v>
      </c>
      <c r="AD438" s="56">
        <v>14932.95</v>
      </c>
      <c r="AE438" s="56">
        <v>15016.78</v>
      </c>
      <c r="AF438" s="56">
        <v>15092.34</v>
      </c>
      <c r="AG438" s="56">
        <v>15185.7</v>
      </c>
      <c r="AH438" s="56">
        <v>5316.89</v>
      </c>
      <c r="AI438" s="56">
        <v>5698.8</v>
      </c>
      <c r="AJ438" s="56">
        <v>5852.36</v>
      </c>
      <c r="AK438" s="56">
        <v>5390.36</v>
      </c>
      <c r="AL438" s="56">
        <v>5272.2</v>
      </c>
      <c r="AM438" s="56">
        <v>5006.41</v>
      </c>
      <c r="AN438" s="56">
        <v>5366.84</v>
      </c>
      <c r="AO438" s="56">
        <v>5643.12</v>
      </c>
      <c r="AP438" s="56">
        <v>35.34</v>
      </c>
      <c r="AQ438" s="55">
        <v>35.29</v>
      </c>
      <c r="AR438" s="55">
        <v>35.29</v>
      </c>
      <c r="AS438" s="55">
        <v>35.29</v>
      </c>
      <c r="AT438" s="55">
        <f t="array" ref="AT438">XLOOKUP(C438,'PL TOTAL D0'!A:A,'PL TOTAL D0'!C:C,"")</f>
        <v>35.29</v>
      </c>
    </row>
    <row r="439" ht="15.75" customHeight="1">
      <c r="A439" s="44" t="s">
        <v>36</v>
      </c>
      <c r="B439" s="45" t="s">
        <v>1522</v>
      </c>
      <c r="C439" s="46" t="s">
        <v>1526</v>
      </c>
      <c r="D439" s="47" t="s">
        <v>18</v>
      </c>
      <c r="E439" s="24" t="s">
        <v>29</v>
      </c>
      <c r="F439" s="47" t="s">
        <v>58</v>
      </c>
      <c r="G439" s="47" t="str">
        <f t="shared" si="1"/>
        <v>Augusto</v>
      </c>
      <c r="H439" s="53" t="s">
        <v>88</v>
      </c>
      <c r="I439" s="48" t="s">
        <v>24</v>
      </c>
      <c r="J439" s="47" t="str">
        <f t="shared" si="4"/>
        <v>Não</v>
      </c>
      <c r="K439" s="49">
        <v>44893.0</v>
      </c>
      <c r="L439" s="24"/>
      <c r="M439" s="25" t="s">
        <v>111</v>
      </c>
      <c r="N439" s="60">
        <v>0.015</v>
      </c>
      <c r="O439" s="9" t="s">
        <v>46</v>
      </c>
      <c r="P439" s="61">
        <v>0.1</v>
      </c>
      <c r="Q439" s="62"/>
      <c r="R439" s="52"/>
      <c r="S439" s="52"/>
      <c r="T439" s="24" t="s">
        <v>89</v>
      </c>
      <c r="U439" s="25" t="s">
        <v>1525</v>
      </c>
      <c r="V439" s="9" t="s">
        <v>29</v>
      </c>
      <c r="W439" s="53" t="str">
        <f t="shared" si="3"/>
        <v>Ativo</v>
      </c>
      <c r="X439" s="24"/>
      <c r="Y439" s="54" t="s">
        <v>95</v>
      </c>
      <c r="Z439" s="56"/>
      <c r="AA439" s="56"/>
      <c r="AB439" s="56"/>
      <c r="AC439" s="56">
        <v>64596.85</v>
      </c>
      <c r="AD439" s="56">
        <v>65271.12</v>
      </c>
      <c r="AE439" s="56">
        <v>65927.09</v>
      </c>
      <c r="AF439" s="56">
        <v>66639.29</v>
      </c>
      <c r="AG439" s="56">
        <v>67134.96</v>
      </c>
      <c r="AH439" s="56">
        <v>67680.42</v>
      </c>
      <c r="AI439" s="56">
        <v>68277.54</v>
      </c>
      <c r="AJ439" s="56">
        <v>68884.14</v>
      </c>
      <c r="AK439" s="56">
        <v>79671.28</v>
      </c>
      <c r="AL439" s="56">
        <v>80142.49</v>
      </c>
      <c r="AM439" s="56">
        <v>80771.11</v>
      </c>
      <c r="AN439" s="56">
        <v>76230.72</v>
      </c>
      <c r="AO439" s="56">
        <v>76436.55</v>
      </c>
      <c r="AP439" s="56">
        <v>77264.27</v>
      </c>
      <c r="AQ439" s="55">
        <v>77705.23</v>
      </c>
      <c r="AR439" s="55">
        <v>98754.33</v>
      </c>
      <c r="AS439" s="55">
        <v>101220.8</v>
      </c>
      <c r="AT439" s="55">
        <f t="array" ref="AT439">XLOOKUP(C439,'PL TOTAL D0'!A:A,'PL TOTAL D0'!C:C,"")</f>
        <v>117260.3</v>
      </c>
    </row>
    <row r="440" ht="15.75" customHeight="1">
      <c r="A440" s="44" t="s">
        <v>36</v>
      </c>
      <c r="B440" s="68" t="s">
        <v>1527</v>
      </c>
      <c r="C440" s="204" t="s">
        <v>1528</v>
      </c>
      <c r="D440" s="47" t="s">
        <v>18</v>
      </c>
      <c r="E440" s="24" t="s">
        <v>29</v>
      </c>
      <c r="F440" s="47" t="s">
        <v>633</v>
      </c>
      <c r="G440" s="47" t="str">
        <f t="shared" si="1"/>
        <v>Bruno</v>
      </c>
      <c r="H440" s="53" t="s">
        <v>88</v>
      </c>
      <c r="I440" s="53" t="s">
        <v>24</v>
      </c>
      <c r="J440" s="47" t="str">
        <f t="shared" si="4"/>
        <v>Não</v>
      </c>
      <c r="K440" s="49">
        <v>45180.0</v>
      </c>
      <c r="L440" s="24"/>
      <c r="M440" s="24" t="s">
        <v>162</v>
      </c>
      <c r="N440" s="50">
        <v>0.015</v>
      </c>
      <c r="O440" s="47" t="s">
        <v>24</v>
      </c>
      <c r="P440" s="51">
        <v>0.0</v>
      </c>
      <c r="Q440" s="52"/>
      <c r="R440" s="52"/>
      <c r="S440" s="106"/>
      <c r="T440" s="24" t="s">
        <v>89</v>
      </c>
      <c r="U440" s="25" t="s">
        <v>1529</v>
      </c>
      <c r="V440" s="9" t="s">
        <v>29</v>
      </c>
      <c r="W440" s="53" t="str">
        <f t="shared" si="3"/>
        <v>Ativo</v>
      </c>
      <c r="X440" s="24"/>
      <c r="Y440" s="54" t="s">
        <v>95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4216123.96</v>
      </c>
      <c r="AR440" s="55">
        <v>4295934.78</v>
      </c>
      <c r="AS440" s="55">
        <v>2815971.09</v>
      </c>
      <c r="AT440" s="55">
        <f t="array" ref="AT440">XLOOKUP(C440,'PL TOTAL D0'!A:A,'PL TOTAL D0'!C:C,"")</f>
        <v>1892385</v>
      </c>
    </row>
    <row r="441" ht="15.75" customHeight="1">
      <c r="A441" s="44" t="s">
        <v>36</v>
      </c>
      <c r="B441" s="68" t="s">
        <v>1527</v>
      </c>
      <c r="C441" s="204" t="s">
        <v>1530</v>
      </c>
      <c r="D441" s="47" t="s">
        <v>18</v>
      </c>
      <c r="E441" s="24" t="s">
        <v>29</v>
      </c>
      <c r="F441" s="47" t="s">
        <v>633</v>
      </c>
      <c r="G441" s="47" t="str">
        <f t="shared" si="1"/>
        <v>Bruno</v>
      </c>
      <c r="H441" s="53" t="s">
        <v>88</v>
      </c>
      <c r="I441" s="53" t="s">
        <v>24</v>
      </c>
      <c r="J441" s="47" t="str">
        <f t="shared" si="4"/>
        <v>Não</v>
      </c>
      <c r="K441" s="49">
        <v>45177.0</v>
      </c>
      <c r="L441" s="24"/>
      <c r="M441" s="24" t="s">
        <v>60</v>
      </c>
      <c r="N441" s="50">
        <v>0.007</v>
      </c>
      <c r="O441" s="47" t="s">
        <v>24</v>
      </c>
      <c r="P441" s="51">
        <v>0.0</v>
      </c>
      <c r="Q441" s="52"/>
      <c r="R441" s="52"/>
      <c r="S441" s="106"/>
      <c r="T441" s="24" t="s">
        <v>89</v>
      </c>
      <c r="U441" s="25" t="s">
        <v>1529</v>
      </c>
      <c r="V441" s="9" t="s">
        <v>29</v>
      </c>
      <c r="W441" s="53" t="str">
        <f t="shared" si="3"/>
        <v>Ativo</v>
      </c>
      <c r="X441" s="24"/>
      <c r="Y441" s="54" t="s">
        <v>95</v>
      </c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>
        <v>0.0</v>
      </c>
      <c r="AL441" s="56">
        <v>0.0</v>
      </c>
      <c r="AM441" s="56">
        <v>0.0</v>
      </c>
      <c r="AN441" s="56">
        <v>0.0</v>
      </c>
      <c r="AO441" s="56">
        <v>0.0</v>
      </c>
      <c r="AP441" s="56">
        <v>0.0</v>
      </c>
      <c r="AQ441" s="55">
        <v>827196.2</v>
      </c>
      <c r="AR441" s="55">
        <v>829370.48</v>
      </c>
      <c r="AS441" s="55">
        <v>2180207.6</v>
      </c>
      <c r="AT441" s="55">
        <f t="array" ref="AT441">XLOOKUP(C441,'PL TOTAL D0'!A:A,'PL TOTAL D0'!C:C,"")</f>
        <v>2358991</v>
      </c>
    </row>
    <row r="442" ht="15.75" customHeight="1">
      <c r="A442" s="44" t="s">
        <v>36</v>
      </c>
      <c r="B442" s="63" t="s">
        <v>1531</v>
      </c>
      <c r="C442" s="46" t="s">
        <v>1532</v>
      </c>
      <c r="D442" s="47" t="s">
        <v>18</v>
      </c>
      <c r="E442" s="24" t="s">
        <v>29</v>
      </c>
      <c r="F442" s="47" t="s">
        <v>137</v>
      </c>
      <c r="G442" s="47" t="str">
        <f t="shared" si="1"/>
        <v>Augusto</v>
      </c>
      <c r="H442" s="48" t="s">
        <v>88</v>
      </c>
      <c r="I442" s="48" t="s">
        <v>24</v>
      </c>
      <c r="J442" s="47" t="str">
        <f t="shared" si="4"/>
        <v>Não</v>
      </c>
      <c r="K442" s="49">
        <v>45042.0</v>
      </c>
      <c r="L442" s="24"/>
      <c r="M442" s="24" t="s">
        <v>162</v>
      </c>
      <c r="N442" s="50">
        <v>0.025</v>
      </c>
      <c r="O442" s="47" t="s">
        <v>163</v>
      </c>
      <c r="P442" s="51">
        <v>0.2</v>
      </c>
      <c r="Q442" s="106"/>
      <c r="R442" s="106"/>
      <c r="S442" s="106"/>
      <c r="T442" s="24" t="s">
        <v>89</v>
      </c>
      <c r="U442" s="25" t="s">
        <v>1533</v>
      </c>
      <c r="V442" s="9" t="s">
        <v>29</v>
      </c>
      <c r="W442" s="53" t="str">
        <f t="shared" si="3"/>
        <v>Ativo</v>
      </c>
      <c r="X442" s="24"/>
      <c r="Y442" s="54" t="s">
        <v>95</v>
      </c>
      <c r="Z442" s="56"/>
      <c r="AA442" s="56"/>
      <c r="AB442" s="56"/>
      <c r="AC442" s="56"/>
      <c r="AD442" s="56"/>
      <c r="AE442" s="56"/>
      <c r="AF442" s="56">
        <v>0.0</v>
      </c>
      <c r="AG442" s="56">
        <v>53520.35</v>
      </c>
      <c r="AH442" s="56">
        <v>54661.25</v>
      </c>
      <c r="AI442" s="56">
        <v>58707.84</v>
      </c>
      <c r="AJ442" s="56">
        <v>60765.6</v>
      </c>
      <c r="AK442" s="56">
        <v>58978.07</v>
      </c>
      <c r="AL442" s="56">
        <v>58569.48</v>
      </c>
      <c r="AM442" s="56">
        <v>55998.07</v>
      </c>
      <c r="AN442" s="56">
        <v>60194.16</v>
      </c>
      <c r="AO442" s="56">
        <v>63255.04</v>
      </c>
      <c r="AP442" s="56">
        <v>58666.86</v>
      </c>
      <c r="AQ442" s="55">
        <v>160547.06</v>
      </c>
      <c r="AR442" s="55">
        <v>163478.71</v>
      </c>
      <c r="AS442" s="55">
        <v>157336.19</v>
      </c>
      <c r="AT442" s="55">
        <f t="array" ref="AT442">XLOOKUP(C442,'PL TOTAL D0'!A:A,'PL TOTAL D0'!C:C,"")</f>
        <v>160910.5</v>
      </c>
    </row>
    <row r="443" ht="15.75" customHeight="1">
      <c r="A443" s="44" t="s">
        <v>36</v>
      </c>
      <c r="B443" s="45" t="s">
        <v>1531</v>
      </c>
      <c r="C443" s="46" t="s">
        <v>1534</v>
      </c>
      <c r="D443" s="47" t="s">
        <v>18</v>
      </c>
      <c r="E443" s="24" t="s">
        <v>29</v>
      </c>
      <c r="F443" s="47" t="s">
        <v>137</v>
      </c>
      <c r="G443" s="47" t="str">
        <f t="shared" si="1"/>
        <v>Bruno</v>
      </c>
      <c r="H443" s="48" t="s">
        <v>88</v>
      </c>
      <c r="I443" s="48" t="s">
        <v>24</v>
      </c>
      <c r="J443" s="47" t="str">
        <f t="shared" si="4"/>
        <v>Não</v>
      </c>
      <c r="K443" s="49">
        <v>45006.0</v>
      </c>
      <c r="L443" s="24"/>
      <c r="M443" s="24" t="s">
        <v>60</v>
      </c>
      <c r="N443" s="50">
        <v>0.012</v>
      </c>
      <c r="O443" s="47" t="s">
        <v>24</v>
      </c>
      <c r="P443" s="51">
        <v>0.0</v>
      </c>
      <c r="Q443" s="106"/>
      <c r="R443" s="106"/>
      <c r="S443" s="106"/>
      <c r="T443" s="24" t="s">
        <v>89</v>
      </c>
      <c r="U443" s="25" t="s">
        <v>1533</v>
      </c>
      <c r="V443" s="9" t="s">
        <v>29</v>
      </c>
      <c r="W443" s="53" t="str">
        <f t="shared" si="3"/>
        <v>Ativo</v>
      </c>
      <c r="X443" s="24"/>
      <c r="Y443" s="54" t="s">
        <v>95</v>
      </c>
      <c r="Z443" s="56"/>
      <c r="AA443" s="56"/>
      <c r="AB443" s="56"/>
      <c r="AC443" s="56"/>
      <c r="AD443" s="56"/>
      <c r="AE443" s="56"/>
      <c r="AF443" s="56">
        <v>711474.6</v>
      </c>
      <c r="AG443" s="56">
        <v>664128.98</v>
      </c>
      <c r="AH443" s="56">
        <v>671497.32</v>
      </c>
      <c r="AI443" s="56">
        <v>675072.26</v>
      </c>
      <c r="AJ443" s="56">
        <v>680203.78</v>
      </c>
      <c r="AK443" s="56">
        <v>684676.14</v>
      </c>
      <c r="AL443" s="56">
        <v>686452.52</v>
      </c>
      <c r="AM443" s="56">
        <v>690160.78</v>
      </c>
      <c r="AN443" s="56">
        <v>697458.11</v>
      </c>
      <c r="AO443" s="56">
        <v>704478.61</v>
      </c>
      <c r="AP443" s="56">
        <v>705505.43</v>
      </c>
      <c r="AQ443" s="55">
        <v>1111761.26</v>
      </c>
      <c r="AR443" s="55">
        <v>1120231.44</v>
      </c>
      <c r="AS443" s="55">
        <v>1127213.29</v>
      </c>
      <c r="AT443" s="55">
        <f t="array" ref="AT443">XLOOKUP(C443,'PL TOTAL D0'!A:A,'PL TOTAL D0'!C:C,"")</f>
        <v>1131672</v>
      </c>
    </row>
    <row r="444" ht="15.75" customHeight="1">
      <c r="A444" s="44" t="s">
        <v>36</v>
      </c>
      <c r="B444" s="45" t="s">
        <v>1535</v>
      </c>
      <c r="C444" s="46" t="s">
        <v>1536</v>
      </c>
      <c r="D444" s="47" t="s">
        <v>86</v>
      </c>
      <c r="E444" s="24" t="s">
        <v>29</v>
      </c>
      <c r="F444" s="47" t="s">
        <v>87</v>
      </c>
      <c r="G444" s="47" t="str">
        <f t="shared" si="1"/>
        <v>Breno</v>
      </c>
      <c r="H444" s="48" t="s">
        <v>88</v>
      </c>
      <c r="I444" s="48" t="s">
        <v>24</v>
      </c>
      <c r="J444" s="47" t="str">
        <f t="shared" si="4"/>
        <v>Não</v>
      </c>
      <c r="K444" s="49">
        <v>45104.0</v>
      </c>
      <c r="L444" s="64"/>
      <c r="M444" s="24" t="s">
        <v>1251</v>
      </c>
      <c r="N444" s="50">
        <v>0.012</v>
      </c>
      <c r="O444" s="47" t="s">
        <v>46</v>
      </c>
      <c r="P444" s="51">
        <v>0.1</v>
      </c>
      <c r="Q444" s="52"/>
      <c r="R444" s="52"/>
      <c r="S444" s="52"/>
      <c r="T444" s="24" t="s">
        <v>89</v>
      </c>
      <c r="U444" s="25" t="s">
        <v>1537</v>
      </c>
      <c r="V444" s="9" t="s">
        <v>715</v>
      </c>
      <c r="W444" s="53" t="str">
        <f t="shared" si="3"/>
        <v>Ativo</v>
      </c>
      <c r="X444" s="24"/>
      <c r="Y444" s="54" t="s">
        <v>95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>
        <v>155770.65</v>
      </c>
      <c r="AJ444" s="56">
        <v>286860.28</v>
      </c>
      <c r="AK444" s="56">
        <v>406228.53</v>
      </c>
      <c r="AL444" s="56">
        <v>408929.28</v>
      </c>
      <c r="AM444" s="56">
        <v>410236.8</v>
      </c>
      <c r="AN444" s="56">
        <v>415850.21</v>
      </c>
      <c r="AO444" s="56">
        <v>420654.55</v>
      </c>
      <c r="AP444" s="56">
        <v>421571.79</v>
      </c>
      <c r="AQ444" s="55">
        <v>424971.39</v>
      </c>
      <c r="AR444" s="55">
        <v>428542.58</v>
      </c>
      <c r="AS444" s="55">
        <v>428300.89</v>
      </c>
      <c r="AT444" s="55">
        <f t="array" ref="AT444">XLOOKUP(C444,'PL TOTAL D0'!A:A,'PL TOTAL D0'!C:C,"")</f>
        <v>430906.4</v>
      </c>
    </row>
    <row r="445" ht="15.75" customHeight="1">
      <c r="A445" s="44" t="s">
        <v>36</v>
      </c>
      <c r="B445" s="45" t="s">
        <v>1538</v>
      </c>
      <c r="C445" s="46" t="s">
        <v>1539</v>
      </c>
      <c r="D445" s="47" t="s">
        <v>18</v>
      </c>
      <c r="E445" s="24" t="s">
        <v>145</v>
      </c>
      <c r="F445" s="47" t="s">
        <v>171</v>
      </c>
      <c r="G445" s="47" t="str">
        <f t="shared" si="1"/>
        <v>#N/A</v>
      </c>
      <c r="H445" s="48" t="s">
        <v>116</v>
      </c>
      <c r="I445" s="48" t="s">
        <v>161</v>
      </c>
      <c r="J445" s="47" t="str">
        <f t="shared" si="4"/>
        <v>Não</v>
      </c>
      <c r="K445" s="49">
        <v>45163.0</v>
      </c>
      <c r="L445" s="64"/>
      <c r="M445" s="24" t="s">
        <v>111</v>
      </c>
      <c r="N445" s="50">
        <v>0.015</v>
      </c>
      <c r="O445" s="47" t="s">
        <v>46</v>
      </c>
      <c r="P445" s="51">
        <v>0.1</v>
      </c>
      <c r="Q445" s="106"/>
      <c r="R445" s="106"/>
      <c r="S445" s="52" t="s">
        <v>1540</v>
      </c>
      <c r="T445" s="24" t="s">
        <v>89</v>
      </c>
      <c r="U445" s="25" t="s">
        <v>1541</v>
      </c>
      <c r="V445" s="9" t="s">
        <v>149</v>
      </c>
      <c r="W445" s="53" t="str">
        <f t="shared" si="3"/>
        <v>Ativo</v>
      </c>
      <c r="X445" s="24"/>
      <c r="Y445" s="54" t="s">
        <v>91</v>
      </c>
      <c r="Z445" s="56"/>
      <c r="AA445" s="56"/>
      <c r="AB445" s="56"/>
      <c r="AC445" s="56"/>
      <c r="AD445" s="56"/>
      <c r="AE445" s="56"/>
      <c r="AF445" s="56"/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36</v>
      </c>
      <c r="B446" s="63" t="s">
        <v>1542</v>
      </c>
      <c r="C446" s="46" t="s">
        <v>1543</v>
      </c>
      <c r="D446" s="47" t="s">
        <v>18</v>
      </c>
      <c r="E446" s="24" t="s">
        <v>19</v>
      </c>
      <c r="F446" s="47" t="s">
        <v>230</v>
      </c>
      <c r="G446" s="47" t="str">
        <f t="shared" si="1"/>
        <v>#N/A</v>
      </c>
      <c r="H446" s="53" t="s">
        <v>116</v>
      </c>
      <c r="I446" s="48" t="s">
        <v>161</v>
      </c>
      <c r="J446" s="47" t="str">
        <f t="shared" si="4"/>
        <v>Não</v>
      </c>
      <c r="K446" s="49">
        <v>45163.0</v>
      </c>
      <c r="L446" s="64"/>
      <c r="M446" s="24" t="s">
        <v>243</v>
      </c>
      <c r="N446" s="50">
        <v>0.02</v>
      </c>
      <c r="O446" s="47" t="s">
        <v>46</v>
      </c>
      <c r="P446" s="51">
        <v>0.2</v>
      </c>
      <c r="Q446" s="106"/>
      <c r="R446" s="106"/>
      <c r="S446" s="106"/>
      <c r="T446" s="24" t="s">
        <v>89</v>
      </c>
      <c r="U446" s="25" t="s">
        <v>1544</v>
      </c>
      <c r="V446" s="9" t="s">
        <v>121</v>
      </c>
      <c r="W446" s="53" t="str">
        <f t="shared" si="3"/>
        <v>Ativo</v>
      </c>
      <c r="X446" s="24"/>
      <c r="Y446" s="54" t="s">
        <v>95</v>
      </c>
      <c r="Z446" s="56"/>
      <c r="AA446" s="56"/>
      <c r="AB446" s="56"/>
      <c r="AC446" s="56"/>
      <c r="AD446" s="56"/>
      <c r="AE446" s="56"/>
      <c r="AF446" s="56">
        <v>0.0</v>
      </c>
      <c r="AG446" s="56">
        <v>0.0</v>
      </c>
      <c r="AH446" s="56">
        <v>0.0</v>
      </c>
      <c r="AI446" s="56">
        <v>0.0</v>
      </c>
      <c r="AJ446" s="56">
        <v>0.0</v>
      </c>
      <c r="AK446" s="56">
        <v>0.0</v>
      </c>
      <c r="AL446" s="56">
        <v>0.0</v>
      </c>
      <c r="AM446" s="56">
        <v>0.0</v>
      </c>
      <c r="AN446" s="56">
        <v>0.0</v>
      </c>
      <c r="AO446" s="56">
        <v>0.0</v>
      </c>
      <c r="AP446" s="56">
        <v>0.0</v>
      </c>
      <c r="AQ446" s="55">
        <v>0.0</v>
      </c>
      <c r="AR446" s="55">
        <v>0.0</v>
      </c>
      <c r="AS446" s="55">
        <v>0.0</v>
      </c>
      <c r="AT446" s="55" t="str">
        <f t="array" ref="AT446">XLOOKUP(C446,'PL TOTAL D0'!A:A,'PL TOTAL D0'!C:C,"")</f>
        <v/>
      </c>
    </row>
    <row r="447" ht="15.75" customHeight="1">
      <c r="A447" s="44" t="s">
        <v>36</v>
      </c>
      <c r="B447" s="45" t="s">
        <v>1545</v>
      </c>
      <c r="C447" s="46" t="s">
        <v>1546</v>
      </c>
      <c r="D447" s="47" t="s">
        <v>86</v>
      </c>
      <c r="E447" s="24" t="s">
        <v>29</v>
      </c>
      <c r="F447" s="47" t="s">
        <v>87</v>
      </c>
      <c r="G447" s="47" t="str">
        <f t="shared" si="1"/>
        <v>Augusto</v>
      </c>
      <c r="H447" s="48" t="s">
        <v>88</v>
      </c>
      <c r="I447" s="48" t="s">
        <v>24</v>
      </c>
      <c r="J447" s="47" t="str">
        <f t="shared" si="4"/>
        <v>Não</v>
      </c>
      <c r="K447" s="49">
        <v>45142.0</v>
      </c>
      <c r="L447" s="64"/>
      <c r="M447" s="24" t="s">
        <v>45</v>
      </c>
      <c r="N447" s="50">
        <v>0.012</v>
      </c>
      <c r="O447" s="47" t="s">
        <v>46</v>
      </c>
      <c r="P447" s="51">
        <v>0.1</v>
      </c>
      <c r="Q447" s="106"/>
      <c r="R447" s="106"/>
      <c r="S447" s="106"/>
      <c r="T447" s="24" t="s">
        <v>89</v>
      </c>
      <c r="U447" s="25" t="s">
        <v>1547</v>
      </c>
      <c r="V447" s="9" t="s">
        <v>29</v>
      </c>
      <c r="W447" s="53" t="str">
        <f t="shared" si="3"/>
        <v>Ativo</v>
      </c>
      <c r="X447" s="24"/>
      <c r="Y447" s="54" t="s">
        <v>95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>
        <v>113710.95</v>
      </c>
      <c r="AL447" s="56">
        <v>140590.94</v>
      </c>
      <c r="AM447" s="56">
        <v>140857.09</v>
      </c>
      <c r="AN447" s="56">
        <v>143109.31</v>
      </c>
      <c r="AO447" s="56">
        <v>145201.68</v>
      </c>
      <c r="AP447" s="56">
        <v>103439.6</v>
      </c>
      <c r="AQ447" s="55">
        <v>104207.06</v>
      </c>
      <c r="AR447" s="55">
        <v>104868.18</v>
      </c>
      <c r="AS447" s="55">
        <v>104717.38</v>
      </c>
      <c r="AT447" s="55">
        <f t="array" ref="AT447">XLOOKUP(C447,'PL TOTAL D0'!A:A,'PL TOTAL D0'!C:C,"")</f>
        <v>54243.17</v>
      </c>
    </row>
    <row r="448" ht="15.75" customHeight="1">
      <c r="A448" s="44" t="s">
        <v>36</v>
      </c>
      <c r="B448" s="45" t="s">
        <v>1548</v>
      </c>
      <c r="C448" s="46" t="s">
        <v>1549</v>
      </c>
      <c r="D448" s="47" t="s">
        <v>18</v>
      </c>
      <c r="E448" s="24" t="s">
        <v>19</v>
      </c>
      <c r="F448" s="47" t="s">
        <v>230</v>
      </c>
      <c r="G448" s="47" t="str">
        <f t="shared" si="1"/>
        <v>Augusto</v>
      </c>
      <c r="H448" s="48" t="s">
        <v>88</v>
      </c>
      <c r="I448" s="48" t="s">
        <v>24</v>
      </c>
      <c r="J448" s="47" t="str">
        <f t="shared" si="4"/>
        <v>Sim</v>
      </c>
      <c r="K448" s="49">
        <v>45061.0</v>
      </c>
      <c r="L448" s="24"/>
      <c r="M448" s="24" t="s">
        <v>60</v>
      </c>
      <c r="N448" s="50">
        <v>0.012</v>
      </c>
      <c r="O448" s="47" t="s">
        <v>24</v>
      </c>
      <c r="P448" s="51">
        <v>0.0</v>
      </c>
      <c r="Q448" s="15" t="s">
        <v>1434</v>
      </c>
      <c r="R448" s="75"/>
      <c r="S448" s="75"/>
      <c r="T448" s="24" t="s">
        <v>89</v>
      </c>
      <c r="U448" s="25" t="s">
        <v>1550</v>
      </c>
      <c r="V448" s="9" t="s">
        <v>19</v>
      </c>
      <c r="W448" s="53" t="str">
        <f t="shared" si="3"/>
        <v>Ativo</v>
      </c>
      <c r="X448" s="24"/>
      <c r="Y448" s="54" t="s">
        <v>95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100563.06</v>
      </c>
      <c r="AI448" s="56">
        <v>101482.84</v>
      </c>
      <c r="AJ448" s="56">
        <v>98285.69</v>
      </c>
      <c r="AK448" s="56">
        <v>99818.75</v>
      </c>
      <c r="AL448" s="56">
        <v>101218.18</v>
      </c>
      <c r="AM448" s="56">
        <v>102112.14</v>
      </c>
      <c r="AN448" s="56">
        <v>107887.84</v>
      </c>
      <c r="AO448" s="56">
        <v>112538.41</v>
      </c>
      <c r="AP448" s="56">
        <v>115488.71</v>
      </c>
      <c r="AQ448" s="55">
        <v>117061.56</v>
      </c>
      <c r="AR448" s="55">
        <v>124791.66</v>
      </c>
      <c r="AS448" s="55">
        <v>129535.66</v>
      </c>
      <c r="AT448" s="55">
        <f t="array" ref="AT448">XLOOKUP(C448,'PL TOTAL D0'!A:A,'PL TOTAL D0'!C:C,"")</f>
        <v>130070.5</v>
      </c>
    </row>
    <row r="449" ht="15.75" customHeight="1">
      <c r="A449" s="44" t="s">
        <v>36</v>
      </c>
      <c r="B449" s="45" t="s">
        <v>1551</v>
      </c>
      <c r="C449" s="46" t="s">
        <v>1552</v>
      </c>
      <c r="D449" s="47" t="s">
        <v>18</v>
      </c>
      <c r="E449" s="24" t="s">
        <v>29</v>
      </c>
      <c r="F449" s="47" t="s">
        <v>137</v>
      </c>
      <c r="G449" s="47" t="str">
        <f t="shared" si="1"/>
        <v>Augusto</v>
      </c>
      <c r="H449" s="48" t="s">
        <v>88</v>
      </c>
      <c r="I449" s="48" t="s">
        <v>24</v>
      </c>
      <c r="J449" s="47" t="str">
        <f t="shared" si="4"/>
        <v>Sim</v>
      </c>
      <c r="K449" s="49">
        <v>45163.0</v>
      </c>
      <c r="L449" s="64"/>
      <c r="M449" s="24" t="s">
        <v>60</v>
      </c>
      <c r="N449" s="50">
        <v>0.012</v>
      </c>
      <c r="O449" s="47" t="s">
        <v>24</v>
      </c>
      <c r="P449" s="51">
        <v>0.0</v>
      </c>
      <c r="Q449" s="15" t="s">
        <v>1553</v>
      </c>
      <c r="R449" s="106"/>
      <c r="S449" s="106"/>
      <c r="T449" s="24" t="s">
        <v>89</v>
      </c>
      <c r="U449" s="58" t="s">
        <v>1554</v>
      </c>
      <c r="V449" s="9" t="s">
        <v>29</v>
      </c>
      <c r="W449" s="53" t="str">
        <f t="shared" si="3"/>
        <v>Ativo</v>
      </c>
      <c r="X449" s="24"/>
      <c r="Y449" s="54" t="s">
        <v>95</v>
      </c>
      <c r="Z449" s="56"/>
      <c r="AA449" s="56"/>
      <c r="AB449" s="56"/>
      <c r="AC449" s="56"/>
      <c r="AD449" s="56"/>
      <c r="AE449" s="56"/>
      <c r="AF449" s="56"/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69433.98</v>
      </c>
      <c r="AM449" s="56">
        <v>119309.69</v>
      </c>
      <c r="AN449" s="56">
        <v>120232.86</v>
      </c>
      <c r="AO449" s="56">
        <v>121160.89</v>
      </c>
      <c r="AP449" s="56">
        <v>111265.43</v>
      </c>
      <c r="AQ449" s="55">
        <v>101675.26</v>
      </c>
      <c r="AR449" s="55">
        <v>94987.15</v>
      </c>
      <c r="AS449" s="55">
        <v>88119.86</v>
      </c>
      <c r="AT449" s="55">
        <f t="array" ref="AT449">XLOOKUP(C449,'PL TOTAL D0'!A:A,'PL TOTAL D0'!C:C,"")</f>
        <v>80786.35</v>
      </c>
    </row>
    <row r="450" ht="15.75" customHeight="1">
      <c r="A450" s="44" t="s">
        <v>36</v>
      </c>
      <c r="B450" s="45" t="s">
        <v>1555</v>
      </c>
      <c r="C450" s="46" t="s">
        <v>1556</v>
      </c>
      <c r="D450" s="47" t="s">
        <v>18</v>
      </c>
      <c r="E450" s="24" t="s">
        <v>19</v>
      </c>
      <c r="F450" s="47" t="s">
        <v>20</v>
      </c>
      <c r="G450" s="47" t="str">
        <f t="shared" si="1"/>
        <v>#N/A</v>
      </c>
      <c r="H450" s="53" t="s">
        <v>116</v>
      </c>
      <c r="I450" s="48" t="s">
        <v>161</v>
      </c>
      <c r="J450" s="47" t="str">
        <f t="shared" si="4"/>
        <v>Não</v>
      </c>
      <c r="K450" s="49">
        <v>45163.0</v>
      </c>
      <c r="L450" s="64"/>
      <c r="M450" s="24" t="s">
        <v>60</v>
      </c>
      <c r="N450" s="50">
        <v>0.01</v>
      </c>
      <c r="O450" s="47" t="s">
        <v>24</v>
      </c>
      <c r="P450" s="51">
        <v>0.0</v>
      </c>
      <c r="Q450" s="106"/>
      <c r="R450" s="106"/>
      <c r="S450" s="169"/>
      <c r="T450" s="24" t="s">
        <v>89</v>
      </c>
      <c r="U450" s="25" t="s">
        <v>1557</v>
      </c>
      <c r="V450" s="9" t="s">
        <v>19</v>
      </c>
      <c r="W450" s="53" t="str">
        <f t="shared" si="3"/>
        <v>Inativo</v>
      </c>
      <c r="X450" s="24"/>
      <c r="Y450" s="54" t="s">
        <v>95</v>
      </c>
      <c r="Z450" s="56"/>
      <c r="AA450" s="56"/>
      <c r="AB450" s="56"/>
      <c r="AC450" s="56"/>
      <c r="AD450" s="56"/>
      <c r="AE450" s="56">
        <v>0.0</v>
      </c>
      <c r="AF450" s="56">
        <v>0.0</v>
      </c>
      <c r="AG450" s="56">
        <v>0.0</v>
      </c>
      <c r="AH450" s="56">
        <v>0.0</v>
      </c>
      <c r="AI450" s="56">
        <v>0.0</v>
      </c>
      <c r="AJ450" s="56">
        <v>0.0</v>
      </c>
      <c r="AK450" s="56">
        <v>0.0</v>
      </c>
      <c r="AL450" s="56">
        <v>0.0</v>
      </c>
      <c r="AM450" s="56">
        <v>0.0</v>
      </c>
      <c r="AN450" s="56">
        <v>0.0</v>
      </c>
      <c r="AO450" s="56">
        <v>0.0</v>
      </c>
      <c r="AP450" s="56">
        <v>0.0</v>
      </c>
      <c r="AQ450" s="55">
        <v>0.0</v>
      </c>
      <c r="AR450" s="55">
        <v>0.0</v>
      </c>
      <c r="AS450" s="55">
        <v>0.0</v>
      </c>
      <c r="AT450" s="55" t="str">
        <f t="array" ref="AT450">XLOOKUP(C450,'PL TOTAL D0'!A:A,'PL TOTAL D0'!C:C,"")</f>
        <v/>
      </c>
    </row>
    <row r="451" ht="15.75" customHeight="1">
      <c r="A451" s="44" t="s">
        <v>36</v>
      </c>
      <c r="B451" s="45" t="s">
        <v>1558</v>
      </c>
      <c r="C451" s="46" t="s">
        <v>1559</v>
      </c>
      <c r="D451" s="47" t="s">
        <v>18</v>
      </c>
      <c r="E451" s="24" t="s">
        <v>29</v>
      </c>
      <c r="F451" s="24" t="s">
        <v>110</v>
      </c>
      <c r="G451" s="47" t="str">
        <f t="shared" si="1"/>
        <v>Augusto</v>
      </c>
      <c r="H451" s="48" t="s">
        <v>88</v>
      </c>
      <c r="I451" s="48" t="s">
        <v>24</v>
      </c>
      <c r="J451" s="47" t="str">
        <f t="shared" si="4"/>
        <v>Não</v>
      </c>
      <c r="K451" s="49">
        <v>45048.0</v>
      </c>
      <c r="L451" s="24"/>
      <c r="M451" s="24" t="s">
        <v>60</v>
      </c>
      <c r="N451" s="50">
        <v>0.012</v>
      </c>
      <c r="O451" s="47" t="s">
        <v>24</v>
      </c>
      <c r="P451" s="51">
        <v>0.0</v>
      </c>
      <c r="Q451" s="106"/>
      <c r="R451" s="106"/>
      <c r="S451" s="106"/>
      <c r="T451" s="24" t="s">
        <v>89</v>
      </c>
      <c r="U451" s="25" t="s">
        <v>1560</v>
      </c>
      <c r="V451" s="9" t="s">
        <v>29</v>
      </c>
      <c r="W451" s="53" t="str">
        <f t="shared" si="3"/>
        <v>Ativo</v>
      </c>
      <c r="X451" s="24"/>
      <c r="Y451" s="54" t="s">
        <v>95</v>
      </c>
      <c r="Z451" s="56"/>
      <c r="AA451" s="56"/>
      <c r="AB451" s="56"/>
      <c r="AC451" s="56"/>
      <c r="AD451" s="56"/>
      <c r="AE451" s="56"/>
      <c r="AF451" s="56">
        <v>0.0</v>
      </c>
      <c r="AG451" s="56">
        <v>0.0</v>
      </c>
      <c r="AH451" s="56">
        <v>230828.89</v>
      </c>
      <c r="AI451" s="56">
        <v>233457.5</v>
      </c>
      <c r="AJ451" s="56">
        <v>235284.62</v>
      </c>
      <c r="AK451" s="56">
        <v>236929.21</v>
      </c>
      <c r="AL451" s="56">
        <v>236309.68</v>
      </c>
      <c r="AM451" s="56">
        <v>237754.02</v>
      </c>
      <c r="AN451" s="56">
        <v>240176.41</v>
      </c>
      <c r="AO451" s="56">
        <v>242739.59</v>
      </c>
      <c r="AP451" s="56">
        <v>241480.57</v>
      </c>
      <c r="AQ451" s="55">
        <v>243002.64</v>
      </c>
      <c r="AR451" s="55">
        <v>244225.82</v>
      </c>
      <c r="AS451" s="55">
        <v>244913.65</v>
      </c>
      <c r="AT451" s="55">
        <f t="array" ref="AT451">XLOOKUP(C451,'PL TOTAL D0'!A:A,'PL TOTAL D0'!C:C,"")</f>
        <v>246186.3</v>
      </c>
    </row>
    <row r="452" ht="15.75" customHeight="1">
      <c r="A452" s="44" t="s">
        <v>36</v>
      </c>
      <c r="B452" s="45" t="s">
        <v>1561</v>
      </c>
      <c r="C452" s="46" t="s">
        <v>1562</v>
      </c>
      <c r="D452" s="47" t="s">
        <v>18</v>
      </c>
      <c r="E452" s="24" t="s">
        <v>19</v>
      </c>
      <c r="F452" s="47" t="s">
        <v>52</v>
      </c>
      <c r="G452" s="47" t="str">
        <f t="shared" si="1"/>
        <v>Augusto</v>
      </c>
      <c r="H452" s="53" t="s">
        <v>116</v>
      </c>
      <c r="I452" s="53" t="s">
        <v>161</v>
      </c>
      <c r="J452" s="47" t="str">
        <f t="shared" si="4"/>
        <v>Não</v>
      </c>
      <c r="K452" s="49">
        <v>45029.0</v>
      </c>
      <c r="L452" s="24"/>
      <c r="M452" s="25" t="s">
        <v>162</v>
      </c>
      <c r="N452" s="60">
        <v>0.025</v>
      </c>
      <c r="O452" s="9" t="s">
        <v>163</v>
      </c>
      <c r="P452" s="61">
        <v>0.2</v>
      </c>
      <c r="Q452" s="106"/>
      <c r="R452" s="106"/>
      <c r="S452" s="132" t="s">
        <v>1563</v>
      </c>
      <c r="T452" s="24" t="s">
        <v>89</v>
      </c>
      <c r="U452" s="25" t="s">
        <v>1564</v>
      </c>
      <c r="V452" s="9" t="s">
        <v>19</v>
      </c>
      <c r="W452" s="53" t="str">
        <f t="shared" si="3"/>
        <v>Ativo</v>
      </c>
      <c r="X452" s="24"/>
      <c r="Y452" s="54" t="s">
        <v>95</v>
      </c>
      <c r="Z452" s="56"/>
      <c r="AA452" s="56"/>
      <c r="AB452" s="56"/>
      <c r="AC452" s="56"/>
      <c r="AD452" s="56">
        <v>0.0</v>
      </c>
      <c r="AE452" s="56">
        <v>0.0</v>
      </c>
      <c r="AF452" s="56">
        <v>0.0</v>
      </c>
      <c r="AG452" s="56">
        <v>286046.33</v>
      </c>
      <c r="AH452" s="56">
        <v>289366.31</v>
      </c>
      <c r="AI452" s="56">
        <v>292898.11</v>
      </c>
      <c r="AJ452" s="56">
        <v>295833.26</v>
      </c>
      <c r="AK452" s="56">
        <v>297702.8</v>
      </c>
      <c r="AL452" s="56">
        <v>300124.35</v>
      </c>
      <c r="AM452" s="56">
        <v>302212.93</v>
      </c>
      <c r="AN452" s="56">
        <v>305456.62</v>
      </c>
      <c r="AO452" s="56">
        <v>308888.3</v>
      </c>
      <c r="AP452" s="56">
        <v>309347.39</v>
      </c>
      <c r="AQ452" s="55">
        <v>225.73</v>
      </c>
      <c r="AR452" s="55">
        <v>68.39</v>
      </c>
      <c r="AS452" s="55">
        <v>68.39</v>
      </c>
      <c r="AT452" s="55">
        <f t="array" ref="AT452">XLOOKUP(C452,'PL TOTAL D0'!A:A,'PL TOTAL D0'!C:C,"")</f>
        <v>68.39</v>
      </c>
    </row>
    <row r="453" ht="15.75" customHeight="1">
      <c r="A453" s="44" t="s">
        <v>36</v>
      </c>
      <c r="B453" s="63" t="s">
        <v>1565</v>
      </c>
      <c r="C453" s="46" t="s">
        <v>1566</v>
      </c>
      <c r="D453" s="47" t="s">
        <v>18</v>
      </c>
      <c r="E453" s="24" t="s">
        <v>29</v>
      </c>
      <c r="F453" s="47" t="s">
        <v>865</v>
      </c>
      <c r="G453" s="47" t="str">
        <f t="shared" si="1"/>
        <v>Augusto</v>
      </c>
      <c r="H453" s="48" t="s">
        <v>88</v>
      </c>
      <c r="I453" s="48" t="s">
        <v>24</v>
      </c>
      <c r="J453" s="47" t="str">
        <f t="shared" si="4"/>
        <v>Não</v>
      </c>
      <c r="K453" s="49">
        <v>44995.0</v>
      </c>
      <c r="L453" s="24"/>
      <c r="M453" s="24" t="s">
        <v>162</v>
      </c>
      <c r="N453" s="50">
        <v>0.025</v>
      </c>
      <c r="O453" s="47" t="s">
        <v>163</v>
      </c>
      <c r="P453" s="51">
        <v>0.2</v>
      </c>
      <c r="Q453" s="52"/>
      <c r="R453" s="52"/>
      <c r="S453" s="52"/>
      <c r="T453" s="24" t="s">
        <v>89</v>
      </c>
      <c r="U453" s="25" t="s">
        <v>1567</v>
      </c>
      <c r="V453" s="9" t="s">
        <v>121</v>
      </c>
      <c r="W453" s="53" t="str">
        <f t="shared" si="3"/>
        <v>Ativo</v>
      </c>
      <c r="X453" s="24"/>
      <c r="Y453" s="54" t="s">
        <v>91</v>
      </c>
      <c r="Z453" s="56"/>
      <c r="AA453" s="56"/>
      <c r="AB453" s="56"/>
      <c r="AC453" s="56"/>
      <c r="AD453" s="56"/>
      <c r="AE453" s="56"/>
      <c r="AF453" s="56">
        <v>367764.99</v>
      </c>
      <c r="AG453" s="56">
        <v>367686.19</v>
      </c>
      <c r="AH453" s="56">
        <v>406919.01</v>
      </c>
      <c r="AI453" s="56">
        <v>438425.42</v>
      </c>
      <c r="AJ453" s="56">
        <v>436082.42</v>
      </c>
      <c r="AK453" s="56">
        <v>416674.53</v>
      </c>
      <c r="AL453" s="56">
        <v>366586.03</v>
      </c>
      <c r="AM453" s="56">
        <v>348048.83</v>
      </c>
      <c r="AN453" s="56">
        <v>374041.62</v>
      </c>
      <c r="AO453" s="56">
        <v>391888.29</v>
      </c>
      <c r="AP453" s="56">
        <v>364856.23</v>
      </c>
      <c r="AQ453" s="55">
        <v>369881.45</v>
      </c>
      <c r="AR453" s="55">
        <v>376620.2</v>
      </c>
      <c r="AS453" s="55">
        <v>362153.74</v>
      </c>
      <c r="AT453" s="55">
        <f t="array" ref="AT453">XLOOKUP(C453,'PL TOTAL D0'!A:A,'PL TOTAL D0'!C:C,"")</f>
        <v>368581.9</v>
      </c>
    </row>
    <row r="454" ht="15.75" customHeight="1">
      <c r="A454" s="44" t="s">
        <v>36</v>
      </c>
      <c r="B454" s="63" t="s">
        <v>1565</v>
      </c>
      <c r="C454" s="46" t="s">
        <v>1568</v>
      </c>
      <c r="D454" s="47" t="s">
        <v>18</v>
      </c>
      <c r="E454" s="24" t="s">
        <v>29</v>
      </c>
      <c r="F454" s="47" t="s">
        <v>865</v>
      </c>
      <c r="G454" s="47" t="str">
        <f t="shared" si="1"/>
        <v>Augusto</v>
      </c>
      <c r="H454" s="48" t="s">
        <v>88</v>
      </c>
      <c r="I454" s="48" t="s">
        <v>24</v>
      </c>
      <c r="J454" s="47" t="str">
        <f t="shared" si="4"/>
        <v>Não</v>
      </c>
      <c r="K454" s="49">
        <v>44995.0</v>
      </c>
      <c r="L454" s="24"/>
      <c r="M454" s="24" t="s">
        <v>378</v>
      </c>
      <c r="N454" s="50">
        <v>0.02</v>
      </c>
      <c r="O454" s="47" t="s">
        <v>163</v>
      </c>
      <c r="P454" s="51">
        <v>0.2</v>
      </c>
      <c r="Q454" s="52"/>
      <c r="R454" s="52"/>
      <c r="S454" s="52"/>
      <c r="T454" s="24" t="s">
        <v>89</v>
      </c>
      <c r="U454" s="25" t="s">
        <v>1567</v>
      </c>
      <c r="V454" s="9" t="s">
        <v>121</v>
      </c>
      <c r="W454" s="53" t="str">
        <f t="shared" si="3"/>
        <v>Ativo</v>
      </c>
      <c r="X454" s="24"/>
      <c r="Y454" s="54" t="s">
        <v>91</v>
      </c>
      <c r="Z454" s="56"/>
      <c r="AA454" s="56"/>
      <c r="AB454" s="56"/>
      <c r="AC454" s="56"/>
      <c r="AD454" s="56"/>
      <c r="AE454" s="56"/>
      <c r="AF454" s="56">
        <v>156498.64</v>
      </c>
      <c r="AG454" s="56">
        <v>159700.37</v>
      </c>
      <c r="AH454" s="56">
        <v>174038.01</v>
      </c>
      <c r="AI454" s="56">
        <v>187209.86</v>
      </c>
      <c r="AJ454" s="56">
        <v>201894.44</v>
      </c>
      <c r="AK454" s="56">
        <v>203267.32</v>
      </c>
      <c r="AL454" s="56">
        <v>200471.45</v>
      </c>
      <c r="AM454" s="56">
        <v>183105.1</v>
      </c>
      <c r="AN454" s="56">
        <v>196445.33</v>
      </c>
      <c r="AO454" s="56">
        <v>207938.86</v>
      </c>
      <c r="AP454" s="56">
        <v>191185.99</v>
      </c>
      <c r="AQ454" s="55">
        <v>189479.82</v>
      </c>
      <c r="AR454" s="55">
        <v>196353.37</v>
      </c>
      <c r="AS454" s="55">
        <v>180285.43</v>
      </c>
      <c r="AT454" s="55">
        <f t="array" ref="AT454">XLOOKUP(C454,'PL TOTAL D0'!A:A,'PL TOTAL D0'!C:C,"")</f>
        <v>173947.2</v>
      </c>
    </row>
    <row r="455" ht="15.75" customHeight="1">
      <c r="A455" s="44" t="s">
        <v>36</v>
      </c>
      <c r="B455" s="63" t="s">
        <v>1569</v>
      </c>
      <c r="C455" s="46" t="s">
        <v>1570</v>
      </c>
      <c r="D455" s="47" t="s">
        <v>18</v>
      </c>
      <c r="E455" s="24" t="s">
        <v>145</v>
      </c>
      <c r="F455" s="47" t="s">
        <v>171</v>
      </c>
      <c r="G455" s="47" t="str">
        <f t="shared" si="1"/>
        <v>Bruno</v>
      </c>
      <c r="H455" s="48" t="s">
        <v>88</v>
      </c>
      <c r="I455" s="48" t="s">
        <v>24</v>
      </c>
      <c r="J455" s="47" t="str">
        <f t="shared" si="4"/>
        <v>Não</v>
      </c>
      <c r="K455" s="49">
        <v>45002.0</v>
      </c>
      <c r="L455" s="24"/>
      <c r="M455" s="24" t="s">
        <v>45</v>
      </c>
      <c r="N455" s="50">
        <v>0.01</v>
      </c>
      <c r="O455" s="47" t="s">
        <v>24</v>
      </c>
      <c r="P455" s="51">
        <v>0.0</v>
      </c>
      <c r="Q455" s="106"/>
      <c r="R455" s="106"/>
      <c r="S455" s="106"/>
      <c r="T455" s="24" t="s">
        <v>89</v>
      </c>
      <c r="U455" s="25" t="s">
        <v>1571</v>
      </c>
      <c r="V455" s="9" t="s">
        <v>180</v>
      </c>
      <c r="W455" s="53" t="str">
        <f t="shared" si="3"/>
        <v>Ativo</v>
      </c>
      <c r="X455" s="24"/>
      <c r="Y455" s="54" t="s">
        <v>95</v>
      </c>
      <c r="Z455" s="56"/>
      <c r="AA455" s="56"/>
      <c r="AB455" s="56"/>
      <c r="AC455" s="56"/>
      <c r="AD455" s="56"/>
      <c r="AE455" s="56"/>
      <c r="AF455" s="56">
        <v>943347.36</v>
      </c>
      <c r="AG455" s="56">
        <v>950389.54</v>
      </c>
      <c r="AH455" s="56">
        <v>1089087.97</v>
      </c>
      <c r="AI455" s="56">
        <v>1096279.87</v>
      </c>
      <c r="AJ455" s="56">
        <v>1104974.04</v>
      </c>
      <c r="AK455" s="56">
        <v>1113323.77</v>
      </c>
      <c r="AL455" s="56">
        <v>1400497.04</v>
      </c>
      <c r="AM455" s="56">
        <v>1401599.23</v>
      </c>
      <c r="AN455" s="56">
        <v>1425706.0</v>
      </c>
      <c r="AO455" s="56">
        <v>1441206.32</v>
      </c>
      <c r="AP455" s="56">
        <v>1439806.42</v>
      </c>
      <c r="AQ455" s="55">
        <v>1446953.94</v>
      </c>
      <c r="AR455" s="55">
        <v>1459910.2</v>
      </c>
      <c r="AS455" s="55">
        <v>1449446.83</v>
      </c>
      <c r="AT455" s="55">
        <f t="array" ref="AT455">XLOOKUP(C455,'PL TOTAL D0'!A:A,'PL TOTAL D0'!C:C,"")</f>
        <v>1458529</v>
      </c>
    </row>
    <row r="456" ht="15.75" customHeight="1">
      <c r="A456" s="44" t="s">
        <v>36</v>
      </c>
      <c r="B456" s="66" t="s">
        <v>1572</v>
      </c>
      <c r="C456" s="67" t="s">
        <v>1573</v>
      </c>
      <c r="D456" s="9" t="s">
        <v>18</v>
      </c>
      <c r="E456" s="25" t="s">
        <v>19</v>
      </c>
      <c r="F456" s="9" t="s">
        <v>52</v>
      </c>
      <c r="G456" s="47" t="str">
        <f t="shared" si="1"/>
        <v>#N/A</v>
      </c>
      <c r="H456" s="53" t="s">
        <v>116</v>
      </c>
      <c r="I456" s="53" t="s">
        <v>24</v>
      </c>
      <c r="J456" s="47" t="str">
        <f t="shared" si="4"/>
        <v>Não</v>
      </c>
      <c r="K456" s="59">
        <v>45390.0</v>
      </c>
      <c r="L456" s="24"/>
      <c r="M456" s="25" t="s">
        <v>1574</v>
      </c>
      <c r="N456" s="60">
        <v>0.02</v>
      </c>
      <c r="O456" s="9" t="s">
        <v>24</v>
      </c>
      <c r="P456" s="61">
        <v>0.0</v>
      </c>
      <c r="Q456" s="62"/>
      <c r="R456" s="106"/>
      <c r="S456" s="106"/>
      <c r="T456" s="25" t="s">
        <v>89</v>
      </c>
      <c r="U456" s="5" t="s">
        <v>1575</v>
      </c>
      <c r="V456" s="9" t="s">
        <v>19</v>
      </c>
      <c r="W456" s="53" t="str">
        <f t="shared" si="3"/>
        <v>Ativo</v>
      </c>
      <c r="X456" s="24"/>
      <c r="Y456" s="54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5"/>
      <c r="AR456" s="55"/>
      <c r="AS456" s="55">
        <v>1314611.13</v>
      </c>
      <c r="AT456" s="55" t="str">
        <f t="array" ref="AT456">XLOOKUP(C456,'PL TOTAL D0'!A:A,'PL TOTAL D0'!C:C,"")</f>
        <v/>
      </c>
    </row>
    <row r="457" ht="15.75" customHeight="1">
      <c r="A457" s="44" t="s">
        <v>36</v>
      </c>
      <c r="B457" s="45" t="s">
        <v>1576</v>
      </c>
      <c r="C457" s="46" t="s">
        <v>1577</v>
      </c>
      <c r="D457" s="47" t="s">
        <v>18</v>
      </c>
      <c r="E457" s="24" t="s">
        <v>29</v>
      </c>
      <c r="F457" s="47" t="s">
        <v>58</v>
      </c>
      <c r="G457" s="47" t="str">
        <f t="shared" si="1"/>
        <v>Breno</v>
      </c>
      <c r="H457" s="53" t="s">
        <v>88</v>
      </c>
      <c r="I457" s="53" t="s">
        <v>24</v>
      </c>
      <c r="J457" s="47" t="str">
        <f t="shared" si="4"/>
        <v>Sim</v>
      </c>
      <c r="K457" s="49">
        <v>44908.0</v>
      </c>
      <c r="L457" s="24"/>
      <c r="M457" s="25" t="s">
        <v>162</v>
      </c>
      <c r="N457" s="60">
        <v>0.02</v>
      </c>
      <c r="O457" s="9" t="s">
        <v>163</v>
      </c>
      <c r="P457" s="51">
        <v>0.2</v>
      </c>
      <c r="Q457" s="205" t="s">
        <v>1578</v>
      </c>
      <c r="R457" s="52"/>
      <c r="S457" s="62" t="s">
        <v>1579</v>
      </c>
      <c r="T457" s="24" t="s">
        <v>89</v>
      </c>
      <c r="U457" s="25" t="s">
        <v>1580</v>
      </c>
      <c r="V457" s="9" t="s">
        <v>29</v>
      </c>
      <c r="W457" s="53" t="str">
        <f t="shared" si="3"/>
        <v>Ativo</v>
      </c>
      <c r="X457" s="24"/>
      <c r="Y457" s="54" t="s">
        <v>95</v>
      </c>
      <c r="Z457" s="56"/>
      <c r="AA457" s="56"/>
      <c r="AB457" s="56"/>
      <c r="AC457" s="56">
        <v>818196.58</v>
      </c>
      <c r="AD457" s="56">
        <v>828082.58</v>
      </c>
      <c r="AE457" s="56">
        <v>990968.05</v>
      </c>
      <c r="AF457" s="56">
        <v>1038419.02</v>
      </c>
      <c r="AG457" s="56">
        <v>1044490.68</v>
      </c>
      <c r="AH457" s="56">
        <v>1140148.39</v>
      </c>
      <c r="AI457" s="56">
        <v>1175009.74</v>
      </c>
      <c r="AJ457" s="56">
        <v>1266407.64</v>
      </c>
      <c r="AK457" s="56">
        <v>1248695.89</v>
      </c>
      <c r="AL457" s="56">
        <v>1251801.63</v>
      </c>
      <c r="AM457" s="56">
        <v>1230464.75</v>
      </c>
      <c r="AN457" s="56">
        <v>1260351.36</v>
      </c>
      <c r="AO457" s="56">
        <v>1280008.15</v>
      </c>
      <c r="AP457" s="56">
        <v>1284055.75</v>
      </c>
      <c r="AQ457" s="55">
        <v>1307211.23</v>
      </c>
      <c r="AR457" s="55">
        <v>802110.67</v>
      </c>
      <c r="AS457" s="55">
        <v>586142.46</v>
      </c>
      <c r="AT457" s="55">
        <f t="array" ref="AT457">XLOOKUP(C457,'PL TOTAL D0'!A:A,'PL TOTAL D0'!C:C,"")</f>
        <v>592630.9</v>
      </c>
    </row>
    <row r="458" ht="15.75" customHeight="1">
      <c r="A458" s="6" t="s">
        <v>36</v>
      </c>
      <c r="B458" s="57" t="s">
        <v>1576</v>
      </c>
      <c r="C458" s="58" t="s">
        <v>1581</v>
      </c>
      <c r="D458" s="9" t="s">
        <v>18</v>
      </c>
      <c r="E458" s="25" t="s">
        <v>29</v>
      </c>
      <c r="F458" s="9" t="s">
        <v>58</v>
      </c>
      <c r="G458" s="47" t="str">
        <f t="shared" si="1"/>
        <v>Breno</v>
      </c>
      <c r="H458" s="53" t="s">
        <v>88</v>
      </c>
      <c r="I458" s="53" t="s">
        <v>24</v>
      </c>
      <c r="J458" s="47" t="str">
        <f t="shared" si="4"/>
        <v>Sim</v>
      </c>
      <c r="K458" s="59">
        <v>45330.0</v>
      </c>
      <c r="L458" s="24"/>
      <c r="M458" s="25" t="s">
        <v>60</v>
      </c>
      <c r="N458" s="60">
        <v>0.012</v>
      </c>
      <c r="O458" s="9" t="s">
        <v>24</v>
      </c>
      <c r="P458" s="61">
        <v>0.0</v>
      </c>
      <c r="Q458" s="62" t="s">
        <v>1582</v>
      </c>
      <c r="R458" s="52"/>
      <c r="S458" s="72" t="s">
        <v>1583</v>
      </c>
      <c r="T458" s="25" t="s">
        <v>89</v>
      </c>
      <c r="U458" s="25" t="s">
        <v>1580</v>
      </c>
      <c r="V458" s="9" t="s">
        <v>29</v>
      </c>
      <c r="W458" s="53" t="str">
        <f t="shared" si="3"/>
        <v>Ativo</v>
      </c>
      <c r="X458" s="24"/>
      <c r="Y458" s="54" t="s">
        <v>95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5">
        <v>0.0</v>
      </c>
      <c r="AR458" s="55">
        <v>527081.27</v>
      </c>
      <c r="AS458" s="55">
        <v>715155.64</v>
      </c>
      <c r="AT458" s="55">
        <f t="array" ref="AT458">XLOOKUP(C458,'PL TOTAL D0'!A:A,'PL TOTAL D0'!C:C,"")</f>
        <v>715733.8</v>
      </c>
    </row>
    <row r="459" ht="15.75" customHeight="1">
      <c r="A459" s="44" t="s">
        <v>36</v>
      </c>
      <c r="B459" s="45" t="s">
        <v>1584</v>
      </c>
      <c r="C459" s="46" t="s">
        <v>1585</v>
      </c>
      <c r="D459" s="47" t="s">
        <v>18</v>
      </c>
      <c r="E459" s="24" t="s">
        <v>19</v>
      </c>
      <c r="F459" s="47" t="s">
        <v>52</v>
      </c>
      <c r="G459" s="47" t="str">
        <f t="shared" si="1"/>
        <v>Augusto</v>
      </c>
      <c r="H459" s="48" t="s">
        <v>88</v>
      </c>
      <c r="I459" s="48" t="s">
        <v>24</v>
      </c>
      <c r="J459" s="47" t="str">
        <f t="shared" si="4"/>
        <v>Não</v>
      </c>
      <c r="K459" s="49">
        <v>45118.0</v>
      </c>
      <c r="L459" s="24"/>
      <c r="M459" s="24" t="s">
        <v>60</v>
      </c>
      <c r="N459" s="50">
        <v>0.012</v>
      </c>
      <c r="O459" s="47" t="s">
        <v>24</v>
      </c>
      <c r="P459" s="51">
        <v>0.0</v>
      </c>
      <c r="Q459" s="52"/>
      <c r="R459" s="52"/>
      <c r="S459" s="52"/>
      <c r="T459" s="24" t="s">
        <v>89</v>
      </c>
      <c r="U459" s="25" t="s">
        <v>1586</v>
      </c>
      <c r="V459" s="9" t="s">
        <v>19</v>
      </c>
      <c r="W459" s="53" t="str">
        <f t="shared" si="3"/>
        <v>Ativo</v>
      </c>
      <c r="X459" s="24"/>
      <c r="Y459" s="54" t="s">
        <v>95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236912.56</v>
      </c>
      <c r="AK459" s="56">
        <v>239432.92</v>
      </c>
      <c r="AL459" s="56">
        <v>268544.31</v>
      </c>
      <c r="AM459" s="56">
        <v>279721.99</v>
      </c>
      <c r="AN459" s="56">
        <v>281711.45</v>
      </c>
      <c r="AO459" s="56">
        <v>316793.96</v>
      </c>
      <c r="AP459" s="56">
        <v>319594.49</v>
      </c>
      <c r="AQ459" s="55">
        <v>317694.94</v>
      </c>
      <c r="AR459" s="55">
        <v>316403.92</v>
      </c>
      <c r="AS459" s="55">
        <v>323401.14</v>
      </c>
      <c r="AT459" s="55">
        <f t="array" ref="AT459">XLOOKUP(C459,'PL TOTAL D0'!A:A,'PL TOTAL D0'!C:C,"")</f>
        <v>336863.9</v>
      </c>
    </row>
    <row r="460" ht="15.75" customHeight="1">
      <c r="A460" s="44" t="s">
        <v>36</v>
      </c>
      <c r="B460" s="45" t="s">
        <v>1587</v>
      </c>
      <c r="C460" s="46" t="s">
        <v>1588</v>
      </c>
      <c r="D460" s="47" t="s">
        <v>18</v>
      </c>
      <c r="E460" s="24" t="s">
        <v>145</v>
      </c>
      <c r="F460" s="47" t="s">
        <v>146</v>
      </c>
      <c r="G460" s="47" t="str">
        <f t="shared" si="1"/>
        <v>Augusto</v>
      </c>
      <c r="H460" s="48" t="s">
        <v>88</v>
      </c>
      <c r="I460" s="48" t="s">
        <v>24</v>
      </c>
      <c r="J460" s="47" t="str">
        <f t="shared" si="4"/>
        <v>Não</v>
      </c>
      <c r="K460" s="49">
        <v>45127.0</v>
      </c>
      <c r="L460" s="64"/>
      <c r="M460" s="24" t="s">
        <v>162</v>
      </c>
      <c r="N460" s="50">
        <v>0.025</v>
      </c>
      <c r="O460" s="47" t="s">
        <v>163</v>
      </c>
      <c r="P460" s="51">
        <v>0.2</v>
      </c>
      <c r="Q460" s="106"/>
      <c r="R460" s="106"/>
      <c r="S460" s="106"/>
      <c r="T460" s="24" t="s">
        <v>89</v>
      </c>
      <c r="U460" s="25" t="s">
        <v>1589</v>
      </c>
      <c r="V460" s="9" t="s">
        <v>149</v>
      </c>
      <c r="W460" s="53" t="str">
        <f t="shared" si="3"/>
        <v>Ativo</v>
      </c>
      <c r="X460" s="24"/>
      <c r="Y460" s="54" t="s">
        <v>91</v>
      </c>
      <c r="Z460" s="56"/>
      <c r="AA460" s="56"/>
      <c r="AB460" s="56"/>
      <c r="AC460" s="56"/>
      <c r="AD460" s="56"/>
      <c r="AE460" s="56"/>
      <c r="AF460" s="56"/>
      <c r="AG460" s="56"/>
      <c r="AH460" s="56"/>
      <c r="AI460" s="56">
        <v>0.0</v>
      </c>
      <c r="AJ460" s="56">
        <v>51761.9</v>
      </c>
      <c r="AK460" s="56">
        <v>51743.98</v>
      </c>
      <c r="AL460" s="56">
        <v>50555.96</v>
      </c>
      <c r="AM460" s="56">
        <v>48256.8</v>
      </c>
      <c r="AN460" s="56">
        <v>51908.81</v>
      </c>
      <c r="AO460" s="56">
        <v>49827.07</v>
      </c>
      <c r="AP460" s="56">
        <v>47231.72</v>
      </c>
      <c r="AQ460" s="55">
        <v>47847.12</v>
      </c>
      <c r="AR460" s="55">
        <v>48585.14</v>
      </c>
      <c r="AS460" s="55">
        <v>46484.02</v>
      </c>
      <c r="AT460" s="55">
        <f t="array" ref="AT460">XLOOKUP(C460,'PL TOTAL D0'!A:A,'PL TOTAL D0'!C:C,"")</f>
        <v>47282.12</v>
      </c>
    </row>
    <row r="461" ht="15.75" customHeight="1">
      <c r="A461" s="44" t="s">
        <v>36</v>
      </c>
      <c r="B461" s="63" t="s">
        <v>1587</v>
      </c>
      <c r="C461" s="46" t="s">
        <v>1590</v>
      </c>
      <c r="D461" s="47" t="s">
        <v>18</v>
      </c>
      <c r="E461" s="24" t="s">
        <v>145</v>
      </c>
      <c r="F461" s="47" t="s">
        <v>146</v>
      </c>
      <c r="G461" s="47" t="str">
        <f t="shared" si="1"/>
        <v>Augusto</v>
      </c>
      <c r="H461" s="48" t="s">
        <v>88</v>
      </c>
      <c r="I461" s="48" t="s">
        <v>24</v>
      </c>
      <c r="J461" s="47" t="str">
        <f t="shared" si="4"/>
        <v>Não</v>
      </c>
      <c r="K461" s="49">
        <v>45064.0</v>
      </c>
      <c r="L461" s="64"/>
      <c r="M461" s="24" t="s">
        <v>60</v>
      </c>
      <c r="N461" s="50">
        <v>0.012</v>
      </c>
      <c r="O461" s="47" t="s">
        <v>24</v>
      </c>
      <c r="P461" s="51">
        <v>0.0</v>
      </c>
      <c r="Q461" s="52"/>
      <c r="R461" s="52"/>
      <c r="S461" s="106"/>
      <c r="T461" s="24" t="s">
        <v>89</v>
      </c>
      <c r="U461" s="25" t="s">
        <v>1589</v>
      </c>
      <c r="V461" s="9" t="s">
        <v>149</v>
      </c>
      <c r="W461" s="53" t="str">
        <f t="shared" si="3"/>
        <v>Ativo</v>
      </c>
      <c r="X461" s="24"/>
      <c r="Y461" s="54" t="s">
        <v>91</v>
      </c>
      <c r="Z461" s="56"/>
      <c r="AA461" s="56"/>
      <c r="AB461" s="56"/>
      <c r="AC461" s="56"/>
      <c r="AD461" s="56"/>
      <c r="AE461" s="56"/>
      <c r="AF461" s="56">
        <v>0.0</v>
      </c>
      <c r="AG461" s="56">
        <v>0.0</v>
      </c>
      <c r="AH461" s="56">
        <v>0.0</v>
      </c>
      <c r="AI461" s="56">
        <v>177711.3</v>
      </c>
      <c r="AJ461" s="56">
        <v>128735.41</v>
      </c>
      <c r="AK461" s="56">
        <v>130008.98</v>
      </c>
      <c r="AL461" s="56">
        <v>131025.4</v>
      </c>
      <c r="AM461" s="56">
        <v>132166.66</v>
      </c>
      <c r="AN461" s="56">
        <v>133117.54</v>
      </c>
      <c r="AO461" s="56">
        <v>118089.24</v>
      </c>
      <c r="AP461" s="56">
        <v>102899.13</v>
      </c>
      <c r="AQ461" s="55">
        <v>103738.25</v>
      </c>
      <c r="AR461" s="55">
        <v>104723.2</v>
      </c>
      <c r="AS461" s="55">
        <v>105554.87</v>
      </c>
      <c r="AT461" s="55">
        <f t="array" ref="AT461">XLOOKUP(C461,'PL TOTAL D0'!A:A,'PL TOTAL D0'!C:C,"")</f>
        <v>106019</v>
      </c>
    </row>
    <row r="462" ht="15.75" customHeight="1">
      <c r="A462" s="44" t="s">
        <v>36</v>
      </c>
      <c r="B462" s="45" t="s">
        <v>1591</v>
      </c>
      <c r="C462" s="46" t="s">
        <v>1592</v>
      </c>
      <c r="D462" s="47" t="s">
        <v>86</v>
      </c>
      <c r="E462" s="24" t="s">
        <v>29</v>
      </c>
      <c r="F462" s="47" t="s">
        <v>87</v>
      </c>
      <c r="G462" s="47" t="str">
        <f t="shared" si="1"/>
        <v>Augusto</v>
      </c>
      <c r="H462" s="48" t="s">
        <v>88</v>
      </c>
      <c r="I462" s="48" t="s">
        <v>24</v>
      </c>
      <c r="J462" s="47" t="str">
        <f t="shared" si="4"/>
        <v>Sim</v>
      </c>
      <c r="K462" s="49">
        <v>45105.0</v>
      </c>
      <c r="L462" s="64"/>
      <c r="M462" s="24" t="s">
        <v>111</v>
      </c>
      <c r="N462" s="50">
        <v>0.015</v>
      </c>
      <c r="O462" s="47" t="s">
        <v>46</v>
      </c>
      <c r="P462" s="51">
        <v>0.1</v>
      </c>
      <c r="Q462" s="62" t="s">
        <v>1593</v>
      </c>
      <c r="R462" s="52"/>
      <c r="S462" s="52"/>
      <c r="T462" s="24" t="s">
        <v>89</v>
      </c>
      <c r="U462" s="25" t="s">
        <v>1594</v>
      </c>
      <c r="V462" s="9" t="s">
        <v>29</v>
      </c>
      <c r="W462" s="53" t="str">
        <f t="shared" si="3"/>
        <v>Ativo</v>
      </c>
      <c r="X462" s="24"/>
      <c r="Y462" s="54" t="s">
        <v>95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144597.64</v>
      </c>
      <c r="AJ462" s="56">
        <v>249151.62</v>
      </c>
      <c r="AK462" s="56">
        <v>240637.98</v>
      </c>
      <c r="AL462" s="56">
        <v>222998.54</v>
      </c>
      <c r="AM462" s="56">
        <v>206781.25</v>
      </c>
      <c r="AN462" s="56">
        <v>204344.21</v>
      </c>
      <c r="AO462" s="56">
        <v>208352.87</v>
      </c>
      <c r="AP462" s="56">
        <v>255201.5</v>
      </c>
      <c r="AQ462" s="55">
        <v>249479.85</v>
      </c>
      <c r="AR462" s="55">
        <v>243986.61</v>
      </c>
      <c r="AS462" s="55">
        <v>233685.22</v>
      </c>
      <c r="AT462" s="55">
        <f t="array" ref="AT462">XLOOKUP(C462,'PL TOTAL D0'!A:A,'PL TOTAL D0'!C:C,"")</f>
        <v>234438.5</v>
      </c>
    </row>
    <row r="463" ht="15.75" customHeight="1">
      <c r="A463" s="44" t="s">
        <v>36</v>
      </c>
      <c r="B463" s="57" t="s">
        <v>1595</v>
      </c>
      <c r="C463" s="21" t="s">
        <v>1596</v>
      </c>
      <c r="D463" s="9" t="s">
        <v>86</v>
      </c>
      <c r="E463" s="25" t="s">
        <v>29</v>
      </c>
      <c r="F463" s="47" t="s">
        <v>87</v>
      </c>
      <c r="G463" s="47" t="str">
        <f t="shared" si="1"/>
        <v>#N/A</v>
      </c>
      <c r="H463" s="53" t="s">
        <v>116</v>
      </c>
      <c r="I463" s="53" t="s">
        <v>161</v>
      </c>
      <c r="J463" s="47" t="str">
        <f t="shared" si="4"/>
        <v>Não</v>
      </c>
      <c r="K463" s="59">
        <v>45345.0</v>
      </c>
      <c r="L463" s="64"/>
      <c r="M463" s="25" t="s">
        <v>60</v>
      </c>
      <c r="N463" s="60">
        <v>0.012</v>
      </c>
      <c r="O463" s="9" t="s">
        <v>24</v>
      </c>
      <c r="P463" s="61">
        <v>0.0</v>
      </c>
      <c r="Q463" s="62"/>
      <c r="R463" s="52"/>
      <c r="S463" s="52"/>
      <c r="T463" s="25" t="s">
        <v>89</v>
      </c>
      <c r="U463" s="23" t="s">
        <v>1594</v>
      </c>
      <c r="V463" s="9" t="s">
        <v>29</v>
      </c>
      <c r="W463" s="53" t="str">
        <f t="shared" si="3"/>
        <v>Ativo</v>
      </c>
      <c r="X463" s="24"/>
      <c r="Y463" s="54" t="s">
        <v>95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5">
        <v>0.0</v>
      </c>
      <c r="AR463" s="55">
        <v>0.0</v>
      </c>
      <c r="AS463" s="55">
        <v>0.0</v>
      </c>
      <c r="AT463" s="55" t="str">
        <f t="array" ref="AT463">XLOOKUP(C463,'PL TOTAL D0'!A:A,'PL TOTAL D0'!C:C,"")</f>
        <v/>
      </c>
    </row>
    <row r="464" ht="15.75" customHeight="1">
      <c r="A464" s="44" t="s">
        <v>36</v>
      </c>
      <c r="B464" s="124" t="s">
        <v>1597</v>
      </c>
      <c r="C464" s="46" t="s">
        <v>1598</v>
      </c>
      <c r="D464" s="47" t="s">
        <v>86</v>
      </c>
      <c r="E464" s="24" t="s">
        <v>29</v>
      </c>
      <c r="F464" s="47" t="s">
        <v>371</v>
      </c>
      <c r="G464" s="47" t="str">
        <f t="shared" si="1"/>
        <v>Breno</v>
      </c>
      <c r="H464" s="48" t="s">
        <v>88</v>
      </c>
      <c r="I464" s="48" t="s">
        <v>24</v>
      </c>
      <c r="J464" s="47" t="str">
        <f t="shared" si="4"/>
        <v>Não</v>
      </c>
      <c r="K464" s="49">
        <v>45105.0</v>
      </c>
      <c r="L464" s="64"/>
      <c r="M464" s="24" t="s">
        <v>60</v>
      </c>
      <c r="N464" s="50">
        <v>0.0085</v>
      </c>
      <c r="O464" s="47" t="s">
        <v>24</v>
      </c>
      <c r="P464" s="51">
        <v>0.0</v>
      </c>
      <c r="Q464" s="52"/>
      <c r="R464" s="52" t="s">
        <v>1599</v>
      </c>
      <c r="S464" s="52"/>
      <c r="T464" s="24" t="s">
        <v>89</v>
      </c>
      <c r="U464" s="25" t="s">
        <v>1600</v>
      </c>
      <c r="V464" s="9" t="s">
        <v>180</v>
      </c>
      <c r="W464" s="53" t="str">
        <f t="shared" si="3"/>
        <v>Ativo</v>
      </c>
      <c r="X464" s="24"/>
      <c r="Y464" s="54" t="s">
        <v>91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791856.43</v>
      </c>
      <c r="AK464" s="56">
        <v>817625.14</v>
      </c>
      <c r="AL464" s="56">
        <v>819516.43</v>
      </c>
      <c r="AM464" s="56">
        <v>885191.86</v>
      </c>
      <c r="AN464" s="56">
        <v>886981.65</v>
      </c>
      <c r="AO464" s="56">
        <v>892805.98</v>
      </c>
      <c r="AP464" s="56">
        <v>883088.38</v>
      </c>
      <c r="AQ464" s="55">
        <v>890559.72</v>
      </c>
      <c r="AR464" s="55">
        <v>898278.39</v>
      </c>
      <c r="AS464" s="55">
        <v>984105.29</v>
      </c>
      <c r="AT464" s="55">
        <f t="array" ref="AT464">XLOOKUP(C464,'PL TOTAL D0'!A:A,'PL TOTAL D0'!C:C,"")</f>
        <v>988866.7</v>
      </c>
    </row>
    <row r="465" ht="15.75" customHeight="1">
      <c r="A465" s="44" t="s">
        <v>36</v>
      </c>
      <c r="B465" s="45" t="s">
        <v>1601</v>
      </c>
      <c r="C465" s="46" t="s">
        <v>1602</v>
      </c>
      <c r="D465" s="47" t="s">
        <v>86</v>
      </c>
      <c r="E465" s="24" t="s">
        <v>29</v>
      </c>
      <c r="F465" s="47" t="s">
        <v>87</v>
      </c>
      <c r="G465" s="47" t="str">
        <f t="shared" si="1"/>
        <v>Augusto</v>
      </c>
      <c r="H465" s="48" t="s">
        <v>88</v>
      </c>
      <c r="I465" s="48" t="s">
        <v>24</v>
      </c>
      <c r="J465" s="47" t="str">
        <f t="shared" si="4"/>
        <v>Sim</v>
      </c>
      <c r="K465" s="49">
        <v>45132.0</v>
      </c>
      <c r="L465" s="64"/>
      <c r="M465" s="24" t="s">
        <v>60</v>
      </c>
      <c r="N465" s="50">
        <v>0.007</v>
      </c>
      <c r="O465" s="47" t="s">
        <v>24</v>
      </c>
      <c r="P465" s="51">
        <v>0.0</v>
      </c>
      <c r="Q465" s="62" t="s">
        <v>1603</v>
      </c>
      <c r="R465" s="52"/>
      <c r="S465" s="52"/>
      <c r="T465" s="24" t="s">
        <v>89</v>
      </c>
      <c r="U465" s="25" t="s">
        <v>1604</v>
      </c>
      <c r="V465" s="9" t="s">
        <v>180</v>
      </c>
      <c r="W465" s="53" t="str">
        <f t="shared" si="3"/>
        <v>Ativo</v>
      </c>
      <c r="X465" s="24"/>
      <c r="Y465" s="54" t="s">
        <v>95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>
        <v>565393.68</v>
      </c>
      <c r="AK465" s="56">
        <v>544900.07</v>
      </c>
      <c r="AL465" s="56">
        <v>512555.95</v>
      </c>
      <c r="AM465" s="56">
        <v>500246.61</v>
      </c>
      <c r="AN465" s="56">
        <v>486733.81</v>
      </c>
      <c r="AO465" s="56">
        <v>463036.36</v>
      </c>
      <c r="AP465" s="56">
        <v>419820.89</v>
      </c>
      <c r="AQ465" s="55">
        <v>396521.35</v>
      </c>
      <c r="AR465" s="55">
        <v>388775.0</v>
      </c>
      <c r="AS465" s="55">
        <v>369081.1</v>
      </c>
      <c r="AT465" s="55">
        <f t="array" ref="AT465">XLOOKUP(C465,'PL TOTAL D0'!A:A,'PL TOTAL D0'!C:C,"")</f>
        <v>375245.1</v>
      </c>
    </row>
    <row r="466" ht="15.75" customHeight="1">
      <c r="A466" s="44" t="s">
        <v>36</v>
      </c>
      <c r="B466" s="45" t="s">
        <v>1605</v>
      </c>
      <c r="C466" s="46" t="s">
        <v>1606</v>
      </c>
      <c r="D466" s="47" t="s">
        <v>18</v>
      </c>
      <c r="E466" s="24" t="s">
        <v>29</v>
      </c>
      <c r="F466" s="47" t="s">
        <v>58</v>
      </c>
      <c r="G466" s="47" t="str">
        <f t="shared" si="1"/>
        <v>Bruno</v>
      </c>
      <c r="H466" s="48" t="s">
        <v>88</v>
      </c>
      <c r="I466" s="48" t="s">
        <v>24</v>
      </c>
      <c r="J466" s="47" t="str">
        <f t="shared" si="4"/>
        <v>Não</v>
      </c>
      <c r="K466" s="49">
        <v>45158.0</v>
      </c>
      <c r="L466" s="64"/>
      <c r="M466" s="24" t="s">
        <v>709</v>
      </c>
      <c r="N466" s="50">
        <v>0.008</v>
      </c>
      <c r="O466" s="47" t="s">
        <v>24</v>
      </c>
      <c r="P466" s="51">
        <v>0.0</v>
      </c>
      <c r="Q466" s="106"/>
      <c r="R466" s="106"/>
      <c r="S466" s="106"/>
      <c r="T466" s="24" t="s">
        <v>89</v>
      </c>
      <c r="U466" s="25" t="s">
        <v>1607</v>
      </c>
      <c r="V466" s="9" t="s">
        <v>29</v>
      </c>
      <c r="W466" s="53" t="str">
        <f t="shared" si="3"/>
        <v>Ativo</v>
      </c>
      <c r="X466" s="24"/>
      <c r="Y466" s="54" t="s">
        <v>95</v>
      </c>
      <c r="Z466" s="56"/>
      <c r="AA466" s="56"/>
      <c r="AB466" s="56"/>
      <c r="AC466" s="56"/>
      <c r="AD466" s="56"/>
      <c r="AE466" s="56"/>
      <c r="AF466" s="56"/>
      <c r="AG466" s="56">
        <v>0.0</v>
      </c>
      <c r="AH466" s="56">
        <v>0.0</v>
      </c>
      <c r="AI466" s="56">
        <v>0.0</v>
      </c>
      <c r="AJ466" s="56">
        <v>0.0</v>
      </c>
      <c r="AK466" s="56">
        <v>1194211.62</v>
      </c>
      <c r="AL466" s="56">
        <v>1208400.83</v>
      </c>
      <c r="AM466" s="56">
        <v>1219197.63</v>
      </c>
      <c r="AN466" s="56">
        <v>1229323.33</v>
      </c>
      <c r="AO466" s="56">
        <v>1244149.42</v>
      </c>
      <c r="AP466" s="56">
        <v>1255754.27</v>
      </c>
      <c r="AQ466" s="55">
        <v>1264467.51</v>
      </c>
      <c r="AR466" s="55">
        <v>1277140.44</v>
      </c>
      <c r="AS466" s="55">
        <v>1282517.68</v>
      </c>
      <c r="AT466" s="55">
        <f t="array" ref="AT466">XLOOKUP(C466,'PL TOTAL D0'!A:A,'PL TOTAL D0'!C:C,"")</f>
        <v>1290283</v>
      </c>
    </row>
    <row r="467" ht="15.75" customHeight="1">
      <c r="A467" s="44" t="s">
        <v>36</v>
      </c>
      <c r="B467" s="45" t="s">
        <v>1605</v>
      </c>
      <c r="C467" s="46" t="s">
        <v>1608</v>
      </c>
      <c r="D467" s="47" t="s">
        <v>18</v>
      </c>
      <c r="E467" s="24" t="s">
        <v>29</v>
      </c>
      <c r="F467" s="47" t="s">
        <v>58</v>
      </c>
      <c r="G467" s="47" t="str">
        <f t="shared" si="1"/>
        <v>#N/A</v>
      </c>
      <c r="H467" s="48" t="s">
        <v>116</v>
      </c>
      <c r="I467" s="48" t="s">
        <v>161</v>
      </c>
      <c r="J467" s="47" t="str">
        <f t="shared" si="4"/>
        <v>Não</v>
      </c>
      <c r="K467" s="49">
        <v>45163.0</v>
      </c>
      <c r="L467" s="64"/>
      <c r="M467" s="24" t="s">
        <v>60</v>
      </c>
      <c r="N467" s="50">
        <v>0.012</v>
      </c>
      <c r="O467" s="47" t="s">
        <v>24</v>
      </c>
      <c r="P467" s="51">
        <v>0.0</v>
      </c>
      <c r="Q467" s="52"/>
      <c r="R467" s="52"/>
      <c r="S467" s="52" t="s">
        <v>1609</v>
      </c>
      <c r="T467" s="24" t="s">
        <v>89</v>
      </c>
      <c r="U467" s="25" t="s">
        <v>1607</v>
      </c>
      <c r="V467" s="9" t="s">
        <v>29</v>
      </c>
      <c r="W467" s="53" t="str">
        <f t="shared" si="3"/>
        <v>Ativo</v>
      </c>
      <c r="X467" s="24"/>
      <c r="Y467" s="54" t="s">
        <v>95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>
        <v>0.0</v>
      </c>
      <c r="AJ467" s="56">
        <v>0.0</v>
      </c>
      <c r="AK467" s="56">
        <v>0.0</v>
      </c>
      <c r="AL467" s="56">
        <v>0.0</v>
      </c>
      <c r="AM467" s="56">
        <v>0.0</v>
      </c>
      <c r="AN467" s="56">
        <v>0.0</v>
      </c>
      <c r="AO467" s="56">
        <v>0.0</v>
      </c>
      <c r="AP467" s="56">
        <v>0.0</v>
      </c>
      <c r="AQ467" s="55">
        <v>0.0</v>
      </c>
      <c r="AR467" s="55">
        <v>0.0</v>
      </c>
      <c r="AS467" s="55">
        <v>0.0</v>
      </c>
      <c r="AT467" s="55" t="str">
        <f t="array" ref="AT467">XLOOKUP(C467,'PL TOTAL D0'!A:A,'PL TOTAL D0'!C:C,"")</f>
        <v/>
      </c>
    </row>
    <row r="468" ht="15.75" customHeight="1">
      <c r="A468" s="44" t="s">
        <v>36</v>
      </c>
      <c r="B468" s="66" t="s">
        <v>1610</v>
      </c>
      <c r="C468" s="67" t="s">
        <v>1611</v>
      </c>
      <c r="D468" s="9" t="s">
        <v>822</v>
      </c>
      <c r="E468" s="25" t="s">
        <v>19</v>
      </c>
      <c r="F468" s="9" t="s">
        <v>823</v>
      </c>
      <c r="G468" s="47" t="str">
        <f t="shared" si="1"/>
        <v>Breno</v>
      </c>
      <c r="H468" s="53" t="s">
        <v>88</v>
      </c>
      <c r="I468" s="53" t="s">
        <v>24</v>
      </c>
      <c r="J468" s="47" t="str">
        <f t="shared" si="4"/>
        <v>Não</v>
      </c>
      <c r="K468" s="59">
        <v>45387.0</v>
      </c>
      <c r="L468" s="64"/>
      <c r="M468" s="25" t="s">
        <v>60</v>
      </c>
      <c r="N468" s="60">
        <v>0.012</v>
      </c>
      <c r="O468" s="9" t="s">
        <v>24</v>
      </c>
      <c r="P468" s="61">
        <v>0.0</v>
      </c>
      <c r="Q468" s="106"/>
      <c r="R468" s="106"/>
      <c r="S468" s="106"/>
      <c r="T468" s="25" t="s">
        <v>89</v>
      </c>
      <c r="U468" s="5" t="s">
        <v>1612</v>
      </c>
      <c r="V468" s="9" t="s">
        <v>19</v>
      </c>
      <c r="W468" s="53" t="str">
        <f t="shared" si="3"/>
        <v>Ativo</v>
      </c>
      <c r="X468" s="24"/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419685.46</v>
      </c>
      <c r="AT468" s="55">
        <f t="array" ref="AT468">XLOOKUP(C468,'PL TOTAL D0'!A:A,'PL TOTAL D0'!C:C,"")</f>
        <v>425397.6</v>
      </c>
    </row>
    <row r="469" ht="15.75" customHeight="1">
      <c r="A469" s="44" t="s">
        <v>36</v>
      </c>
      <c r="B469" s="66" t="s">
        <v>1613</v>
      </c>
      <c r="C469" s="67" t="s">
        <v>1614</v>
      </c>
      <c r="D469" s="9" t="s">
        <v>18</v>
      </c>
      <c r="E469" s="25" t="s">
        <v>29</v>
      </c>
      <c r="F469" s="9" t="s">
        <v>569</v>
      </c>
      <c r="G469" s="47" t="str">
        <f t="shared" si="1"/>
        <v>Breno</v>
      </c>
      <c r="H469" s="53" t="s">
        <v>88</v>
      </c>
      <c r="I469" s="53" t="s">
        <v>24</v>
      </c>
      <c r="J469" s="47" t="str">
        <f t="shared" si="4"/>
        <v>Não</v>
      </c>
      <c r="K469" s="59">
        <v>45401.0</v>
      </c>
      <c r="L469" s="64"/>
      <c r="M469" s="25" t="s">
        <v>45</v>
      </c>
      <c r="N469" s="60">
        <v>0.012</v>
      </c>
      <c r="O469" s="9" t="s">
        <v>46</v>
      </c>
      <c r="P469" s="61">
        <v>0.1</v>
      </c>
      <c r="Q469" s="106"/>
      <c r="R469" s="106"/>
      <c r="S469" s="106"/>
      <c r="T469" s="25" t="s">
        <v>89</v>
      </c>
      <c r="U469" s="5" t="s">
        <v>1615</v>
      </c>
      <c r="V469" s="9" t="s">
        <v>29</v>
      </c>
      <c r="W469" s="53" t="str">
        <f t="shared" si="3"/>
        <v>Ativo</v>
      </c>
      <c r="X469" s="25" t="s">
        <v>48</v>
      </c>
      <c r="Y469" s="54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5"/>
      <c r="AR469" s="55"/>
      <c r="AS469" s="55">
        <v>967127.32</v>
      </c>
      <c r="AT469" s="55">
        <f t="array" ref="AT469">XLOOKUP(C469,'PL TOTAL D0'!A:A,'PL TOTAL D0'!C:C,"")</f>
        <v>946264.2</v>
      </c>
    </row>
    <row r="470" ht="15.0" customHeight="1">
      <c r="A470" s="44" t="s">
        <v>36</v>
      </c>
      <c r="B470" s="45" t="s">
        <v>1616</v>
      </c>
      <c r="C470" s="46" t="s">
        <v>1617</v>
      </c>
      <c r="D470" s="47" t="s">
        <v>18</v>
      </c>
      <c r="E470" s="24" t="s">
        <v>19</v>
      </c>
      <c r="F470" s="47" t="s">
        <v>201</v>
      </c>
      <c r="G470" s="47" t="str">
        <f t="shared" si="1"/>
        <v>Breno</v>
      </c>
      <c r="H470" s="53" t="s">
        <v>88</v>
      </c>
      <c r="I470" s="53" t="s">
        <v>24</v>
      </c>
      <c r="J470" s="47" t="str">
        <f t="shared" si="4"/>
        <v>Sim</v>
      </c>
      <c r="K470" s="49">
        <v>44957.0</v>
      </c>
      <c r="L470" s="24"/>
      <c r="M470" s="25" t="s">
        <v>162</v>
      </c>
      <c r="N470" s="60">
        <v>0.012</v>
      </c>
      <c r="O470" s="9" t="s">
        <v>163</v>
      </c>
      <c r="P470" s="61">
        <v>0.2</v>
      </c>
      <c r="Q470" s="27" t="s">
        <v>1618</v>
      </c>
      <c r="R470" s="106"/>
      <c r="S470" s="132" t="s">
        <v>1509</v>
      </c>
      <c r="T470" s="24" t="s">
        <v>89</v>
      </c>
      <c r="U470" s="25" t="s">
        <v>1619</v>
      </c>
      <c r="V470" s="9" t="s">
        <v>19</v>
      </c>
      <c r="W470" s="53" t="str">
        <f t="shared" si="3"/>
        <v>Ativo</v>
      </c>
      <c r="X470" s="25" t="s">
        <v>318</v>
      </c>
      <c r="Y470" s="54" t="s">
        <v>95</v>
      </c>
      <c r="Z470" s="56"/>
      <c r="AA470" s="56"/>
      <c r="AB470" s="56"/>
      <c r="AC470" s="56"/>
      <c r="AD470" s="56">
        <v>11787.84</v>
      </c>
      <c r="AE470" s="56">
        <v>22682.07</v>
      </c>
      <c r="AF470" s="56">
        <v>26103.99</v>
      </c>
      <c r="AG470" s="56">
        <v>56051.76</v>
      </c>
      <c r="AH470" s="56">
        <v>52222.99</v>
      </c>
      <c r="AI470" s="56">
        <v>54504.69</v>
      </c>
      <c r="AJ470" s="56">
        <v>52409.24</v>
      </c>
      <c r="AK470" s="56">
        <v>49494.51</v>
      </c>
      <c r="AL470" s="56">
        <v>1410.83</v>
      </c>
      <c r="AM470" s="56">
        <v>397.94</v>
      </c>
      <c r="AN470" s="56">
        <v>452.52</v>
      </c>
      <c r="AO470" s="56">
        <v>514.44</v>
      </c>
      <c r="AP470" s="56">
        <v>495.5</v>
      </c>
      <c r="AQ470" s="55">
        <v>557.09</v>
      </c>
      <c r="AR470" s="55">
        <v>33853.44</v>
      </c>
      <c r="AS470" s="55">
        <v>131448.95</v>
      </c>
      <c r="AT470" s="55">
        <f t="array" ref="AT470">XLOOKUP(C470,'PL TOTAL D0'!A:A,'PL TOTAL D0'!C:C,"")</f>
        <v>665397.2</v>
      </c>
    </row>
    <row r="471" ht="15.0" customHeight="1">
      <c r="A471" s="44" t="s">
        <v>36</v>
      </c>
      <c r="B471" s="45" t="s">
        <v>1616</v>
      </c>
      <c r="C471" s="46" t="s">
        <v>1620</v>
      </c>
      <c r="D471" s="47" t="s">
        <v>18</v>
      </c>
      <c r="E471" s="24" t="s">
        <v>19</v>
      </c>
      <c r="F471" s="47" t="s">
        <v>201</v>
      </c>
      <c r="G471" s="47" t="str">
        <f t="shared" si="1"/>
        <v>Bruno</v>
      </c>
      <c r="H471" s="53" t="s">
        <v>88</v>
      </c>
      <c r="I471" s="53" t="s">
        <v>24</v>
      </c>
      <c r="J471" s="47" t="str">
        <f t="shared" si="4"/>
        <v>Não</v>
      </c>
      <c r="K471" s="49">
        <v>44957.0</v>
      </c>
      <c r="L471" s="24"/>
      <c r="M471" s="25" t="s">
        <v>60</v>
      </c>
      <c r="N471" s="50">
        <v>0.01</v>
      </c>
      <c r="O471" s="47" t="s">
        <v>24</v>
      </c>
      <c r="P471" s="51">
        <v>0.0</v>
      </c>
      <c r="Q471" s="65"/>
      <c r="R471" s="52"/>
      <c r="S471" s="52" t="s">
        <v>1621</v>
      </c>
      <c r="T471" s="24" t="s">
        <v>89</v>
      </c>
      <c r="U471" s="25" t="s">
        <v>1619</v>
      </c>
      <c r="V471" s="9" t="s">
        <v>19</v>
      </c>
      <c r="W471" s="53" t="str">
        <f t="shared" si="3"/>
        <v>Ativo</v>
      </c>
      <c r="X471" s="25" t="s">
        <v>318</v>
      </c>
      <c r="Y471" s="54" t="s">
        <v>95</v>
      </c>
      <c r="Z471" s="56"/>
      <c r="AA471" s="56"/>
      <c r="AB471" s="56"/>
      <c r="AC471" s="56"/>
      <c r="AD471" s="56">
        <v>817484.12</v>
      </c>
      <c r="AE471" s="56">
        <v>2780380.17</v>
      </c>
      <c r="AF471" s="56">
        <v>2812325.28</v>
      </c>
      <c r="AG471" s="56">
        <v>3204638.15</v>
      </c>
      <c r="AH471" s="56">
        <v>3239178.93</v>
      </c>
      <c r="AI471" s="56">
        <v>3268216.61</v>
      </c>
      <c r="AJ471" s="56">
        <v>3297963.12</v>
      </c>
      <c r="AK471" s="56">
        <v>3323567.62</v>
      </c>
      <c r="AL471" s="56">
        <v>3322940.36</v>
      </c>
      <c r="AM471" s="56">
        <v>3316293.09</v>
      </c>
      <c r="AN471" s="56">
        <v>3365051.12</v>
      </c>
      <c r="AO471" s="56">
        <v>3412356.99</v>
      </c>
      <c r="AP471" s="56">
        <v>3403625.52</v>
      </c>
      <c r="AQ471" s="55">
        <v>3428944.68</v>
      </c>
      <c r="AR471" s="55">
        <v>3431369.99</v>
      </c>
      <c r="AS471" s="55">
        <v>3288861.95</v>
      </c>
      <c r="AT471" s="55">
        <f t="array" ref="AT471">XLOOKUP(C471,'PL TOTAL D0'!A:A,'PL TOTAL D0'!C:C,"")</f>
        <v>2789791</v>
      </c>
    </row>
    <row r="472" ht="15.75" customHeight="1">
      <c r="A472" s="44" t="s">
        <v>36</v>
      </c>
      <c r="B472" s="63" t="s">
        <v>1622</v>
      </c>
      <c r="C472" s="46" t="s">
        <v>1623</v>
      </c>
      <c r="D472" s="47" t="s">
        <v>18</v>
      </c>
      <c r="E472" s="24" t="s">
        <v>19</v>
      </c>
      <c r="F472" s="47" t="s">
        <v>20</v>
      </c>
      <c r="G472" s="47" t="str">
        <f t="shared" si="1"/>
        <v>#N/A</v>
      </c>
      <c r="H472" s="53" t="s">
        <v>116</v>
      </c>
      <c r="I472" s="48" t="s">
        <v>161</v>
      </c>
      <c r="J472" s="47" t="str">
        <f t="shared" si="4"/>
        <v>Não</v>
      </c>
      <c r="K472" s="49">
        <v>45163.0</v>
      </c>
      <c r="L472" s="24"/>
      <c r="M472" s="24" t="s">
        <v>60</v>
      </c>
      <c r="N472" s="50">
        <v>0.012</v>
      </c>
      <c r="O472" s="47" t="s">
        <v>24</v>
      </c>
      <c r="P472" s="51">
        <v>0.0</v>
      </c>
      <c r="Q472" s="76"/>
      <c r="R472" s="206" t="s">
        <v>223</v>
      </c>
      <c r="S472" s="75"/>
      <c r="T472" s="24" t="s">
        <v>89</v>
      </c>
      <c r="U472" s="25" t="s">
        <v>1624</v>
      </c>
      <c r="V472" s="9" t="s">
        <v>19</v>
      </c>
      <c r="W472" s="53" t="str">
        <f t="shared" si="3"/>
        <v>Ativo</v>
      </c>
      <c r="X472" s="24"/>
      <c r="Y472" s="54" t="s">
        <v>95</v>
      </c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36</v>
      </c>
      <c r="B473" s="45" t="s">
        <v>1625</v>
      </c>
      <c r="C473" s="46" t="s">
        <v>1626</v>
      </c>
      <c r="D473" s="47" t="s">
        <v>18</v>
      </c>
      <c r="E473" s="24" t="s">
        <v>145</v>
      </c>
      <c r="F473" s="47" t="s">
        <v>171</v>
      </c>
      <c r="G473" s="47" t="str">
        <f t="shared" si="1"/>
        <v>#N/A</v>
      </c>
      <c r="H473" s="48" t="s">
        <v>116</v>
      </c>
      <c r="I473" s="48" t="s">
        <v>161</v>
      </c>
      <c r="J473" s="47" t="str">
        <f t="shared" si="4"/>
        <v>Não</v>
      </c>
      <c r="K473" s="49">
        <v>45163.0</v>
      </c>
      <c r="L473" s="64"/>
      <c r="M473" s="24" t="s">
        <v>60</v>
      </c>
      <c r="N473" s="50">
        <v>0.012</v>
      </c>
      <c r="O473" s="47" t="s">
        <v>24</v>
      </c>
      <c r="P473" s="51">
        <v>0.0</v>
      </c>
      <c r="Q473" s="106"/>
      <c r="R473" s="106"/>
      <c r="S473" s="52" t="s">
        <v>1540</v>
      </c>
      <c r="T473" s="24" t="s">
        <v>89</v>
      </c>
      <c r="U473" s="25" t="s">
        <v>1627</v>
      </c>
      <c r="V473" s="9" t="s">
        <v>149</v>
      </c>
      <c r="W473" s="53" t="str">
        <f t="shared" si="3"/>
        <v>Ativo</v>
      </c>
      <c r="X473" s="24"/>
      <c r="Y473" s="54" t="s">
        <v>91</v>
      </c>
      <c r="Z473" s="56"/>
      <c r="AA473" s="56"/>
      <c r="AB473" s="56"/>
      <c r="AC473" s="56"/>
      <c r="AD473" s="56"/>
      <c r="AE473" s="56"/>
      <c r="AF473" s="56"/>
      <c r="AG473" s="56">
        <v>0.0</v>
      </c>
      <c r="AH473" s="56">
        <v>0.0</v>
      </c>
      <c r="AI473" s="56">
        <v>0.0</v>
      </c>
      <c r="AJ473" s="56">
        <v>0.0</v>
      </c>
      <c r="AK473" s="56">
        <v>0.0</v>
      </c>
      <c r="AL473" s="56">
        <v>0.0</v>
      </c>
      <c r="AM473" s="56">
        <v>0.0</v>
      </c>
      <c r="AN473" s="56">
        <v>0.0</v>
      </c>
      <c r="AO473" s="56">
        <v>0.0</v>
      </c>
      <c r="AP473" s="56">
        <v>0.0</v>
      </c>
      <c r="AQ473" s="55">
        <v>0.0</v>
      </c>
      <c r="AR473" s="55">
        <v>0.0</v>
      </c>
      <c r="AS473" s="55">
        <v>0.0</v>
      </c>
      <c r="AT473" s="55" t="str">
        <f t="array" ref="AT473">XLOOKUP(C473,'PL TOTAL D0'!A:A,'PL TOTAL D0'!C:C,"")</f>
        <v/>
      </c>
    </row>
    <row r="474" ht="15.75" customHeight="1">
      <c r="A474" s="44" t="s">
        <v>36</v>
      </c>
      <c r="B474" s="45" t="s">
        <v>1628</v>
      </c>
      <c r="C474" s="69" t="s">
        <v>1629</v>
      </c>
      <c r="D474" s="47" t="s">
        <v>18</v>
      </c>
      <c r="E474" s="24" t="s">
        <v>19</v>
      </c>
      <c r="F474" s="207" t="s">
        <v>20</v>
      </c>
      <c r="G474" s="47" t="str">
        <f t="shared" si="1"/>
        <v>Augusto</v>
      </c>
      <c r="H474" s="48" t="s">
        <v>88</v>
      </c>
      <c r="I474" s="48" t="s">
        <v>24</v>
      </c>
      <c r="J474" s="47" t="str">
        <f t="shared" si="4"/>
        <v>Não</v>
      </c>
      <c r="K474" s="49">
        <v>45173.0</v>
      </c>
      <c r="L474" s="116"/>
      <c r="M474" s="24" t="s">
        <v>60</v>
      </c>
      <c r="N474" s="50">
        <v>0.012</v>
      </c>
      <c r="O474" s="47" t="s">
        <v>24</v>
      </c>
      <c r="P474" s="51">
        <v>0.0</v>
      </c>
      <c r="Q474" s="208"/>
      <c r="R474" s="208"/>
      <c r="S474" s="62"/>
      <c r="T474" s="24" t="s">
        <v>89</v>
      </c>
      <c r="U474" s="25" t="s">
        <v>1630</v>
      </c>
      <c r="V474" s="122" t="s">
        <v>19</v>
      </c>
      <c r="W474" s="53" t="str">
        <f t="shared" si="3"/>
        <v>Ativo</v>
      </c>
      <c r="X474" s="208"/>
      <c r="Y474" s="62" t="s">
        <v>95</v>
      </c>
      <c r="Z474" s="208"/>
      <c r="AA474" s="209"/>
      <c r="AB474" s="209"/>
      <c r="AC474" s="209"/>
      <c r="AD474" s="209"/>
      <c r="AE474" s="209"/>
      <c r="AF474" s="209"/>
      <c r="AG474" s="209"/>
      <c r="AH474" s="209"/>
      <c r="AI474" s="209"/>
      <c r="AJ474" s="209"/>
      <c r="AK474" s="210">
        <v>0.0</v>
      </c>
      <c r="AL474" s="56">
        <v>70505.92</v>
      </c>
      <c r="AM474" s="56">
        <v>71100.93</v>
      </c>
      <c r="AN474" s="56">
        <v>71586.33</v>
      </c>
      <c r="AO474" s="56">
        <v>72109.81</v>
      </c>
      <c r="AP474" s="56">
        <v>72717.95</v>
      </c>
      <c r="AQ474" s="55">
        <v>73256.82</v>
      </c>
      <c r="AR474" s="55">
        <v>73840.23</v>
      </c>
      <c r="AS474" s="55">
        <v>74216.2</v>
      </c>
      <c r="AT474" s="55">
        <f t="array" ref="AT474">XLOOKUP(C474,'PL TOTAL D0'!A:A,'PL TOTAL D0'!C:C,"")</f>
        <v>74533.29</v>
      </c>
    </row>
    <row r="475" ht="15.75" customHeight="1">
      <c r="A475" s="44" t="s">
        <v>36</v>
      </c>
      <c r="B475" s="45" t="s">
        <v>1631</v>
      </c>
      <c r="C475" s="46" t="s">
        <v>1632</v>
      </c>
      <c r="D475" s="47" t="s">
        <v>18</v>
      </c>
      <c r="E475" s="24" t="s">
        <v>29</v>
      </c>
      <c r="F475" s="47" t="s">
        <v>633</v>
      </c>
      <c r="G475" s="47" t="str">
        <f t="shared" si="1"/>
        <v>Bruno</v>
      </c>
      <c r="H475" s="48" t="s">
        <v>88</v>
      </c>
      <c r="I475" s="48" t="s">
        <v>24</v>
      </c>
      <c r="J475" s="47" t="str">
        <f t="shared" si="4"/>
        <v>Não</v>
      </c>
      <c r="K475" s="49">
        <v>44993.0</v>
      </c>
      <c r="L475" s="24"/>
      <c r="M475" s="24" t="s">
        <v>60</v>
      </c>
      <c r="N475" s="50">
        <v>0.007</v>
      </c>
      <c r="O475" s="47" t="s">
        <v>24</v>
      </c>
      <c r="P475" s="51">
        <v>0.0</v>
      </c>
      <c r="Q475" s="52"/>
      <c r="R475" s="52"/>
      <c r="S475" s="106"/>
      <c r="T475" s="24" t="s">
        <v>89</v>
      </c>
      <c r="U475" s="25" t="s">
        <v>1633</v>
      </c>
      <c r="V475" s="9" t="s">
        <v>19</v>
      </c>
      <c r="W475" s="53" t="str">
        <f t="shared" si="3"/>
        <v>Ativo</v>
      </c>
      <c r="X475" s="24"/>
      <c r="Y475" s="54" t="s">
        <v>95</v>
      </c>
      <c r="Z475" s="56"/>
      <c r="AA475" s="56"/>
      <c r="AB475" s="56"/>
      <c r="AC475" s="56"/>
      <c r="AD475" s="56"/>
      <c r="AE475" s="56">
        <v>0.0</v>
      </c>
      <c r="AF475" s="56">
        <v>1604739.39</v>
      </c>
      <c r="AG475" s="56">
        <v>1473903.2</v>
      </c>
      <c r="AH475" s="56">
        <v>1481389.2</v>
      </c>
      <c r="AI475" s="56">
        <v>1491823.87</v>
      </c>
      <c r="AJ475" s="56">
        <v>1242237.9</v>
      </c>
      <c r="AK475" s="56">
        <v>1248948.75</v>
      </c>
      <c r="AL475" s="56">
        <v>1248278.35</v>
      </c>
      <c r="AM475" s="56">
        <v>1249070.19</v>
      </c>
      <c r="AN475" s="56">
        <v>1262605.28</v>
      </c>
      <c r="AO475" s="56">
        <v>1269804.17</v>
      </c>
      <c r="AP475" s="56">
        <v>1268448.41</v>
      </c>
      <c r="AQ475" s="55">
        <v>1277858.49</v>
      </c>
      <c r="AR475" s="55">
        <v>1200219.25</v>
      </c>
      <c r="AS475" s="55">
        <v>1203299.21</v>
      </c>
      <c r="AT475" s="55">
        <f t="array" ref="AT475">XLOOKUP(C475,'PL TOTAL D0'!A:A,'PL TOTAL D0'!C:C,"")</f>
        <v>1208783</v>
      </c>
    </row>
    <row r="476" ht="15.75" customHeight="1">
      <c r="A476" s="44" t="s">
        <v>36</v>
      </c>
      <c r="B476" s="68" t="s">
        <v>1634</v>
      </c>
      <c r="C476" s="69" t="s">
        <v>1635</v>
      </c>
      <c r="D476" s="47" t="s">
        <v>86</v>
      </c>
      <c r="E476" s="24" t="s">
        <v>29</v>
      </c>
      <c r="F476" s="47" t="s">
        <v>87</v>
      </c>
      <c r="G476" s="47" t="str">
        <f t="shared" si="1"/>
        <v>Bruno</v>
      </c>
      <c r="H476" s="48" t="s">
        <v>88</v>
      </c>
      <c r="I476" s="48" t="s">
        <v>24</v>
      </c>
      <c r="J476" s="47" t="str">
        <f t="shared" si="4"/>
        <v>Não</v>
      </c>
      <c r="K476" s="49">
        <v>45184.0</v>
      </c>
      <c r="L476" s="116"/>
      <c r="M476" s="24" t="s">
        <v>60</v>
      </c>
      <c r="N476" s="50">
        <v>0.008</v>
      </c>
      <c r="O476" s="47" t="s">
        <v>24</v>
      </c>
      <c r="P476" s="51">
        <v>0.0</v>
      </c>
      <c r="Q476" s="44"/>
      <c r="R476" s="208"/>
      <c r="S476" s="109"/>
      <c r="T476" s="24" t="s">
        <v>89</v>
      </c>
      <c r="U476" s="25" t="s">
        <v>1636</v>
      </c>
      <c r="V476" s="122" t="s">
        <v>29</v>
      </c>
      <c r="W476" s="53" t="str">
        <f t="shared" si="3"/>
        <v>Ativo</v>
      </c>
      <c r="X476" s="208"/>
      <c r="Y476" s="62" t="s">
        <v>91</v>
      </c>
      <c r="Z476" s="208"/>
      <c r="AA476" s="209"/>
      <c r="AB476" s="209"/>
      <c r="AC476" s="209"/>
      <c r="AD476" s="209"/>
      <c r="AE476" s="209"/>
      <c r="AF476" s="209"/>
      <c r="AG476" s="209"/>
      <c r="AH476" s="209"/>
      <c r="AI476" s="209"/>
      <c r="AJ476" s="209"/>
      <c r="AK476" s="210"/>
      <c r="AL476" s="56">
        <v>2545016.37</v>
      </c>
      <c r="AM476" s="56">
        <v>3615194.62</v>
      </c>
      <c r="AN476" s="56">
        <v>4149605.23</v>
      </c>
      <c r="AO476" s="56">
        <v>4189690.54</v>
      </c>
      <c r="AP476" s="56">
        <v>4230755.17</v>
      </c>
      <c r="AQ476" s="55">
        <v>4419040.94</v>
      </c>
      <c r="AR476" s="55">
        <v>4460551.74</v>
      </c>
      <c r="AS476" s="55">
        <v>4494765.13</v>
      </c>
      <c r="AT476" s="55">
        <f t="array" ref="AT476">XLOOKUP(C476,'PL TOTAL D0'!A:A,'PL TOTAL D0'!C:C,"")</f>
        <v>4521245</v>
      </c>
    </row>
    <row r="477" ht="15.75" customHeight="1">
      <c r="A477" s="44" t="s">
        <v>36</v>
      </c>
      <c r="B477" s="45" t="s">
        <v>1637</v>
      </c>
      <c r="C477" s="46" t="s">
        <v>1638</v>
      </c>
      <c r="D477" s="47" t="s">
        <v>18</v>
      </c>
      <c r="E477" s="24" t="s">
        <v>19</v>
      </c>
      <c r="F477" s="47" t="s">
        <v>201</v>
      </c>
      <c r="G477" s="47" t="str">
        <f t="shared" si="1"/>
        <v>Augusto</v>
      </c>
      <c r="H477" s="53" t="s">
        <v>116</v>
      </c>
      <c r="I477" s="53" t="s">
        <v>161</v>
      </c>
      <c r="J477" s="47" t="str">
        <f t="shared" si="4"/>
        <v>Não</v>
      </c>
      <c r="K477" s="49">
        <v>44951.0</v>
      </c>
      <c r="L477" s="24"/>
      <c r="M477" s="24" t="s">
        <v>60</v>
      </c>
      <c r="N477" s="50">
        <v>0.007</v>
      </c>
      <c r="O477" s="47" t="s">
        <v>24</v>
      </c>
      <c r="P477" s="51">
        <v>0.0</v>
      </c>
      <c r="Q477" s="106"/>
      <c r="R477" s="106"/>
      <c r="S477" s="106"/>
      <c r="T477" s="24" t="s">
        <v>89</v>
      </c>
      <c r="U477" s="25" t="s">
        <v>1639</v>
      </c>
      <c r="V477" s="9" t="s">
        <v>19</v>
      </c>
      <c r="W477" s="53" t="str">
        <f t="shared" si="3"/>
        <v>Ativo</v>
      </c>
      <c r="X477" s="24"/>
      <c r="Y477" s="54" t="s">
        <v>95</v>
      </c>
      <c r="Z477" s="56"/>
      <c r="AA477" s="56"/>
      <c r="AB477" s="56"/>
      <c r="AC477" s="56"/>
      <c r="AD477" s="56">
        <v>116998.11</v>
      </c>
      <c r="AE477" s="56">
        <v>124923.21</v>
      </c>
      <c r="AF477" s="56">
        <v>110310.81</v>
      </c>
      <c r="AG477" s="56">
        <v>109478.85</v>
      </c>
      <c r="AH477" s="56">
        <v>86217.05</v>
      </c>
      <c r="AI477" s="56">
        <v>50580.59</v>
      </c>
      <c r="AJ477" s="56">
        <v>35709.37</v>
      </c>
      <c r="AK477" s="56">
        <v>25952.12</v>
      </c>
      <c r="AL477" s="56">
        <v>22046.5</v>
      </c>
      <c r="AM477" s="56">
        <v>22262.6</v>
      </c>
      <c r="AN477" s="56">
        <v>20432.4</v>
      </c>
      <c r="AO477" s="56">
        <v>26.17</v>
      </c>
      <c r="AP477" s="56">
        <v>19.08</v>
      </c>
      <c r="AQ477" s="55">
        <v>20.72</v>
      </c>
      <c r="AR477" s="55">
        <v>20.72</v>
      </c>
      <c r="AS477" s="55">
        <v>20.75</v>
      </c>
      <c r="AT477" s="55">
        <f t="array" ref="AT477">XLOOKUP(C477,'PL TOTAL D0'!A:A,'PL TOTAL D0'!C:C,"")</f>
        <v>20.75</v>
      </c>
    </row>
    <row r="478" ht="17.25" customHeight="1">
      <c r="A478" s="44" t="s">
        <v>36</v>
      </c>
      <c r="B478" s="45" t="s">
        <v>1640</v>
      </c>
      <c r="C478" s="46" t="s">
        <v>1641</v>
      </c>
      <c r="D478" s="47" t="s">
        <v>18</v>
      </c>
      <c r="E478" s="24" t="s">
        <v>19</v>
      </c>
      <c r="F478" s="47" t="s">
        <v>201</v>
      </c>
      <c r="G478" s="47" t="str">
        <f t="shared" si="1"/>
        <v>Bruno</v>
      </c>
      <c r="H478" s="53" t="s">
        <v>88</v>
      </c>
      <c r="I478" s="53" t="s">
        <v>24</v>
      </c>
      <c r="J478" s="47" t="str">
        <f t="shared" si="4"/>
        <v>Sim</v>
      </c>
      <c r="K478" s="49">
        <v>44949.0</v>
      </c>
      <c r="L478" s="24"/>
      <c r="M478" s="25" t="s">
        <v>60</v>
      </c>
      <c r="N478" s="60">
        <v>0.012</v>
      </c>
      <c r="O478" s="47" t="s">
        <v>24</v>
      </c>
      <c r="P478" s="51">
        <v>0.0</v>
      </c>
      <c r="Q478" s="6" t="s">
        <v>1642</v>
      </c>
      <c r="R478" s="52"/>
      <c r="S478" s="52" t="s">
        <v>1643</v>
      </c>
      <c r="T478" s="24" t="s">
        <v>89</v>
      </c>
      <c r="U478" s="25" t="s">
        <v>1644</v>
      </c>
      <c r="V478" s="9" t="s">
        <v>19</v>
      </c>
      <c r="W478" s="53" t="str">
        <f t="shared" si="3"/>
        <v>Ativo</v>
      </c>
      <c r="X478" s="25" t="s">
        <v>48</v>
      </c>
      <c r="Y478" s="54" t="s">
        <v>95</v>
      </c>
      <c r="Z478" s="56"/>
      <c r="AA478" s="56"/>
      <c r="AB478" s="56"/>
      <c r="AC478" s="56"/>
      <c r="AD478" s="56">
        <v>1652218.89</v>
      </c>
      <c r="AE478" s="56">
        <v>1718110.98</v>
      </c>
      <c r="AF478" s="56">
        <v>1737740.56</v>
      </c>
      <c r="AG478" s="56">
        <v>1751867.31</v>
      </c>
      <c r="AH478" s="56">
        <v>1769481.97</v>
      </c>
      <c r="AI478" s="56">
        <v>1781611.74</v>
      </c>
      <c r="AJ478" s="56">
        <v>1795213.42</v>
      </c>
      <c r="AK478" s="56">
        <v>1805336.03</v>
      </c>
      <c r="AL478" s="56">
        <v>1810474.77</v>
      </c>
      <c r="AM478" s="56">
        <v>1815036.86</v>
      </c>
      <c r="AN478" s="56">
        <v>1842147.25</v>
      </c>
      <c r="AO478" s="56">
        <v>1867845.05</v>
      </c>
      <c r="AP478" s="56">
        <v>1848323.25</v>
      </c>
      <c r="AQ478" s="55">
        <v>1862905.58</v>
      </c>
      <c r="AR478" s="55">
        <v>1882119.94</v>
      </c>
      <c r="AS478" s="55">
        <v>1878261.46</v>
      </c>
      <c r="AT478" s="55">
        <f t="array" ref="AT478">XLOOKUP(C478,'PL TOTAL D0'!A:A,'PL TOTAL D0'!C:C,"")</f>
        <v>1884381</v>
      </c>
    </row>
    <row r="479" ht="17.25" customHeight="1">
      <c r="A479" s="44" t="s">
        <v>36</v>
      </c>
      <c r="B479" s="57" t="s">
        <v>1640</v>
      </c>
      <c r="C479" s="58" t="s">
        <v>1645</v>
      </c>
      <c r="D479" s="9" t="s">
        <v>18</v>
      </c>
      <c r="E479" s="25" t="s">
        <v>19</v>
      </c>
      <c r="F479" s="47" t="s">
        <v>201</v>
      </c>
      <c r="G479" s="47" t="str">
        <f t="shared" si="1"/>
        <v>Augusto</v>
      </c>
      <c r="H479" s="53" t="s">
        <v>178</v>
      </c>
      <c r="I479" s="53" t="s">
        <v>130</v>
      </c>
      <c r="J479" s="47" t="str">
        <f t="shared" si="4"/>
        <v>Não</v>
      </c>
      <c r="K479" s="59">
        <v>45432.0</v>
      </c>
      <c r="L479" s="24"/>
      <c r="M479" s="25" t="s">
        <v>162</v>
      </c>
      <c r="N479" s="60">
        <v>0.011</v>
      </c>
      <c r="O479" s="9" t="s">
        <v>163</v>
      </c>
      <c r="P479" s="61">
        <v>0.2</v>
      </c>
      <c r="Q479" s="6"/>
      <c r="R479" s="52"/>
      <c r="S479" s="52"/>
      <c r="T479" s="25" t="s">
        <v>89</v>
      </c>
      <c r="U479" s="25" t="s">
        <v>1644</v>
      </c>
      <c r="V479" s="9" t="s">
        <v>19</v>
      </c>
      <c r="W479" s="53" t="str">
        <f t="shared" si="3"/>
        <v>Ativo</v>
      </c>
      <c r="X479" s="25" t="s">
        <v>48</v>
      </c>
      <c r="Y479" s="54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5"/>
      <c r="AR479" s="55"/>
      <c r="AS479" s="55"/>
      <c r="AT479" s="55"/>
    </row>
    <row r="480" ht="15.75" customHeight="1">
      <c r="A480" s="44" t="s">
        <v>36</v>
      </c>
      <c r="B480" s="45" t="s">
        <v>1646</v>
      </c>
      <c r="C480" s="46" t="s">
        <v>1647</v>
      </c>
      <c r="D480" s="47" t="s">
        <v>18</v>
      </c>
      <c r="E480" s="24" t="s">
        <v>19</v>
      </c>
      <c r="F480" s="47" t="s">
        <v>20</v>
      </c>
      <c r="G480" s="47" t="str">
        <f t="shared" si="1"/>
        <v>Augusto</v>
      </c>
      <c r="H480" s="48" t="s">
        <v>88</v>
      </c>
      <c r="I480" s="48" t="s">
        <v>24</v>
      </c>
      <c r="J480" s="47" t="str">
        <f t="shared" si="4"/>
        <v>Sim</v>
      </c>
      <c r="K480" s="49">
        <v>44957.0</v>
      </c>
      <c r="L480" s="24"/>
      <c r="M480" s="24" t="s">
        <v>60</v>
      </c>
      <c r="N480" s="50">
        <v>0.01</v>
      </c>
      <c r="O480" s="47" t="s">
        <v>24</v>
      </c>
      <c r="P480" s="51">
        <v>0.0</v>
      </c>
      <c r="Q480" s="62" t="s">
        <v>1648</v>
      </c>
      <c r="R480" s="128"/>
      <c r="S480" s="52"/>
      <c r="T480" s="24" t="s">
        <v>89</v>
      </c>
      <c r="U480" s="25" t="s">
        <v>1649</v>
      </c>
      <c r="V480" s="9" t="s">
        <v>19</v>
      </c>
      <c r="W480" s="53" t="str">
        <f t="shared" si="3"/>
        <v>Ativo</v>
      </c>
      <c r="X480" s="24"/>
      <c r="Y480" s="54" t="s">
        <v>95</v>
      </c>
      <c r="Z480" s="56"/>
      <c r="AA480" s="56"/>
      <c r="AB480" s="56"/>
      <c r="AC480" s="56"/>
      <c r="AD480" s="56">
        <v>77520.32</v>
      </c>
      <c r="AE480" s="56">
        <v>78310.67</v>
      </c>
      <c r="AF480" s="56">
        <v>79413.38</v>
      </c>
      <c r="AG480" s="56">
        <v>84128.08</v>
      </c>
      <c r="AH480" s="56">
        <v>80132.51</v>
      </c>
      <c r="AI480" s="56">
        <v>70966.44</v>
      </c>
      <c r="AJ480" s="56">
        <v>71598.24</v>
      </c>
      <c r="AK480" s="56">
        <v>67173.2</v>
      </c>
      <c r="AL480" s="56">
        <v>46567.55</v>
      </c>
      <c r="AM480" s="56">
        <v>86670.15</v>
      </c>
      <c r="AN480" s="56">
        <v>90825.27</v>
      </c>
      <c r="AO480" s="56">
        <v>75577.76</v>
      </c>
      <c r="AP480" s="56">
        <v>73095.18</v>
      </c>
      <c r="AQ480" s="55">
        <v>56074.58</v>
      </c>
      <c r="AR480" s="55">
        <v>53505.91</v>
      </c>
      <c r="AS480" s="55">
        <v>50057.03</v>
      </c>
      <c r="AT480" s="55">
        <f t="array" ref="AT480">XLOOKUP(C480,'PL TOTAL D0'!A:A,'PL TOTAL D0'!C:C,"")</f>
        <v>45271.58</v>
      </c>
    </row>
    <row r="481" ht="15.0" customHeight="1">
      <c r="A481" s="44" t="s">
        <v>36</v>
      </c>
      <c r="B481" s="68" t="s">
        <v>1650</v>
      </c>
      <c r="C481" s="69" t="s">
        <v>1651</v>
      </c>
      <c r="D481" s="47" t="s">
        <v>18</v>
      </c>
      <c r="E481" s="24" t="s">
        <v>145</v>
      </c>
      <c r="F481" s="47" t="s">
        <v>171</v>
      </c>
      <c r="G481" s="47" t="str">
        <f t="shared" si="1"/>
        <v>Augusto</v>
      </c>
      <c r="H481" s="48" t="s">
        <v>88</v>
      </c>
      <c r="I481" s="48" t="s">
        <v>24</v>
      </c>
      <c r="J481" s="47" t="str">
        <f t="shared" si="4"/>
        <v>Não</v>
      </c>
      <c r="K481" s="49">
        <v>45188.0</v>
      </c>
      <c r="L481" s="64"/>
      <c r="M481" s="24" t="s">
        <v>60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4" t="s">
        <v>89</v>
      </c>
      <c r="U481" s="25" t="s">
        <v>1652</v>
      </c>
      <c r="V481" s="9" t="s">
        <v>149</v>
      </c>
      <c r="W481" s="53" t="str">
        <f t="shared" si="3"/>
        <v>Ativo</v>
      </c>
      <c r="X481" s="24"/>
      <c r="Y481" s="54" t="s">
        <v>91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>
        <v>0.0</v>
      </c>
      <c r="AM481" s="56">
        <v>0.0</v>
      </c>
      <c r="AN481" s="56">
        <v>51205.92</v>
      </c>
      <c r="AO481" s="56">
        <v>55414.38</v>
      </c>
      <c r="AP481" s="56">
        <v>55914.48</v>
      </c>
      <c r="AQ481" s="55">
        <v>56330.84</v>
      </c>
      <c r="AR481" s="55">
        <v>56802.0</v>
      </c>
      <c r="AS481" s="55">
        <v>58242.94</v>
      </c>
      <c r="AT481" s="55">
        <f t="array" ref="AT481">XLOOKUP(C481,'PL TOTAL D0'!A:A,'PL TOTAL D0'!C:C,"")</f>
        <v>59512.95</v>
      </c>
    </row>
    <row r="482" ht="15.0" customHeight="1">
      <c r="A482" s="44" t="s">
        <v>36</v>
      </c>
      <c r="B482" s="96" t="s">
        <v>1650</v>
      </c>
      <c r="C482" s="130" t="s">
        <v>1653</v>
      </c>
      <c r="D482" s="47" t="s">
        <v>18</v>
      </c>
      <c r="E482" s="24" t="s">
        <v>145</v>
      </c>
      <c r="F482" s="47" t="s">
        <v>171</v>
      </c>
      <c r="G482" s="47" t="str">
        <f t="shared" si="1"/>
        <v>Augusto</v>
      </c>
      <c r="H482" s="48" t="s">
        <v>88</v>
      </c>
      <c r="I482" s="48" t="s">
        <v>24</v>
      </c>
      <c r="J482" s="47" t="str">
        <f t="shared" si="4"/>
        <v>Não</v>
      </c>
      <c r="K482" s="49">
        <v>45212.0</v>
      </c>
      <c r="L482" s="64"/>
      <c r="M482" s="24" t="s">
        <v>60</v>
      </c>
      <c r="N482" s="50">
        <v>0.012</v>
      </c>
      <c r="O482" s="47" t="s">
        <v>24</v>
      </c>
      <c r="P482" s="51">
        <v>0.0</v>
      </c>
      <c r="Q482" s="106"/>
      <c r="R482" s="106"/>
      <c r="S482" s="106"/>
      <c r="T482" s="24" t="s">
        <v>89</v>
      </c>
      <c r="U482" s="25" t="s">
        <v>1652</v>
      </c>
      <c r="V482" s="9" t="s">
        <v>149</v>
      </c>
      <c r="W482" s="53" t="str">
        <f t="shared" si="3"/>
        <v>Ativo</v>
      </c>
      <c r="X482" s="24"/>
      <c r="Y482" s="54" t="s">
        <v>91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>
        <v>0.0</v>
      </c>
      <c r="AN482" s="56">
        <v>54117.31</v>
      </c>
      <c r="AO482" s="56">
        <v>54555.82</v>
      </c>
      <c r="AP482" s="56">
        <v>64099.99</v>
      </c>
      <c r="AQ482" s="55">
        <v>143730.62</v>
      </c>
      <c r="AR482" s="55">
        <v>162158.77</v>
      </c>
      <c r="AS482" s="55">
        <v>173441.07</v>
      </c>
      <c r="AT482" s="55">
        <f t="array" ref="AT482">XLOOKUP(C482,'PL TOTAL D0'!A:A,'PL TOTAL D0'!C:C,"")</f>
        <v>180549.8</v>
      </c>
    </row>
    <row r="483" ht="15.75" customHeight="1">
      <c r="A483" s="6" t="s">
        <v>36</v>
      </c>
      <c r="B483" s="57" t="s">
        <v>1654</v>
      </c>
      <c r="C483" s="58" t="s">
        <v>1655</v>
      </c>
      <c r="D483" s="9" t="s">
        <v>18</v>
      </c>
      <c r="E483" s="25" t="s">
        <v>19</v>
      </c>
      <c r="F483" s="9" t="s">
        <v>52</v>
      </c>
      <c r="G483" s="47" t="str">
        <f t="shared" si="1"/>
        <v>#N/A</v>
      </c>
      <c r="H483" s="53" t="s">
        <v>116</v>
      </c>
      <c r="I483" s="53" t="s">
        <v>161</v>
      </c>
      <c r="J483" s="47" t="str">
        <f t="shared" si="4"/>
        <v>Não</v>
      </c>
      <c r="K483" s="59">
        <v>45356.0</v>
      </c>
      <c r="L483" s="64"/>
      <c r="M483" s="25" t="s">
        <v>60</v>
      </c>
      <c r="N483" s="60">
        <v>0.012</v>
      </c>
      <c r="O483" s="9" t="s">
        <v>24</v>
      </c>
      <c r="P483" s="61">
        <v>0.0</v>
      </c>
      <c r="Q483" s="62"/>
      <c r="R483" s="106"/>
      <c r="S483" s="52"/>
      <c r="T483" s="25" t="s">
        <v>89</v>
      </c>
      <c r="U483" s="5" t="s">
        <v>1656</v>
      </c>
      <c r="V483" s="9" t="s">
        <v>121</v>
      </c>
      <c r="W483" s="53" t="str">
        <f t="shared" si="3"/>
        <v>Ativo</v>
      </c>
      <c r="X483" s="24"/>
      <c r="Y483" s="54" t="s">
        <v>95</v>
      </c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36</v>
      </c>
      <c r="B484" s="45" t="s">
        <v>1657</v>
      </c>
      <c r="C484" s="170" t="s">
        <v>1658</v>
      </c>
      <c r="D484" s="47" t="s">
        <v>18</v>
      </c>
      <c r="E484" s="24" t="s">
        <v>145</v>
      </c>
      <c r="F484" s="47" t="s">
        <v>478</v>
      </c>
      <c r="G484" s="47" t="str">
        <f t="shared" si="1"/>
        <v>#N/A</v>
      </c>
      <c r="H484" s="48" t="s">
        <v>116</v>
      </c>
      <c r="I484" s="48" t="s">
        <v>161</v>
      </c>
      <c r="J484" s="47" t="str">
        <f t="shared" si="4"/>
        <v>Não</v>
      </c>
      <c r="K484" s="49">
        <v>45163.0</v>
      </c>
      <c r="L484" s="64"/>
      <c r="M484" s="24" t="s">
        <v>60</v>
      </c>
      <c r="N484" s="50">
        <v>0.007</v>
      </c>
      <c r="O484" s="47" t="s">
        <v>24</v>
      </c>
      <c r="P484" s="51">
        <v>0.0</v>
      </c>
      <c r="Q484" s="106"/>
      <c r="R484" s="106"/>
      <c r="S484" s="52" t="s">
        <v>930</v>
      </c>
      <c r="T484" s="24" t="s">
        <v>89</v>
      </c>
      <c r="U484" s="25" t="s">
        <v>1659</v>
      </c>
      <c r="V484" s="9" t="s">
        <v>180</v>
      </c>
      <c r="W484" s="53" t="str">
        <f t="shared" si="3"/>
        <v>Ativo</v>
      </c>
      <c r="X484" s="24"/>
      <c r="Y484" s="54" t="s">
        <v>91</v>
      </c>
      <c r="Z484" s="56"/>
      <c r="AA484" s="56"/>
      <c r="AB484" s="56"/>
      <c r="AC484" s="56"/>
      <c r="AD484" s="56"/>
      <c r="AE484" s="56"/>
      <c r="AF484" s="56"/>
      <c r="AG484" s="56">
        <v>0.0</v>
      </c>
      <c r="AH484" s="56">
        <v>0.0</v>
      </c>
      <c r="AI484" s="56">
        <v>0.0</v>
      </c>
      <c r="AJ484" s="56">
        <v>0.0</v>
      </c>
      <c r="AK484" s="56">
        <v>0.0</v>
      </c>
      <c r="AL484" s="56">
        <v>0.0</v>
      </c>
      <c r="AM484" s="56">
        <v>0.0</v>
      </c>
      <c r="AN484" s="56">
        <v>0.0</v>
      </c>
      <c r="AO484" s="56">
        <v>0.0</v>
      </c>
      <c r="AP484" s="56">
        <v>0.0</v>
      </c>
      <c r="AQ484" s="55">
        <v>0.0</v>
      </c>
      <c r="AR484" s="55">
        <v>0.0</v>
      </c>
      <c r="AS484" s="55">
        <v>0.0</v>
      </c>
      <c r="AT484" s="55" t="str">
        <f t="array" ref="AT484">XLOOKUP(C484,'PL TOTAL D0'!A:A,'PL TOTAL D0'!C:C,"")</f>
        <v/>
      </c>
    </row>
    <row r="485" ht="15.75" customHeight="1">
      <c r="A485" s="44" t="s">
        <v>36</v>
      </c>
      <c r="B485" s="45" t="s">
        <v>1660</v>
      </c>
      <c r="C485" s="46" t="s">
        <v>1661</v>
      </c>
      <c r="D485" s="47" t="s">
        <v>18</v>
      </c>
      <c r="E485" s="24" t="s">
        <v>29</v>
      </c>
      <c r="F485" s="47" t="s">
        <v>110</v>
      </c>
      <c r="G485" s="47" t="str">
        <f t="shared" si="1"/>
        <v>Augusto</v>
      </c>
      <c r="H485" s="48" t="s">
        <v>88</v>
      </c>
      <c r="I485" s="48" t="s">
        <v>24</v>
      </c>
      <c r="J485" s="47" t="str">
        <f t="shared" si="4"/>
        <v>Não</v>
      </c>
      <c r="K485" s="49">
        <v>45162.0</v>
      </c>
      <c r="L485" s="64"/>
      <c r="M485" s="24" t="s">
        <v>60</v>
      </c>
      <c r="N485" s="50">
        <v>0.007</v>
      </c>
      <c r="O485" s="47" t="s">
        <v>24</v>
      </c>
      <c r="P485" s="51">
        <v>0.0</v>
      </c>
      <c r="Q485" s="106"/>
      <c r="R485" s="106"/>
      <c r="S485" s="106"/>
      <c r="T485" s="24" t="s">
        <v>89</v>
      </c>
      <c r="U485" s="25" t="s">
        <v>1662</v>
      </c>
      <c r="V485" s="9" t="s">
        <v>19</v>
      </c>
      <c r="W485" s="53" t="str">
        <f t="shared" si="3"/>
        <v>Ativo</v>
      </c>
      <c r="X485" s="24"/>
      <c r="Y485" s="54" t="s">
        <v>95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>
        <v>135422.27</v>
      </c>
      <c r="AL485" s="56">
        <v>136497.06</v>
      </c>
      <c r="AM485" s="56">
        <v>137637.89</v>
      </c>
      <c r="AN485" s="56">
        <v>138604.86</v>
      </c>
      <c r="AO485" s="56">
        <v>139642.28</v>
      </c>
      <c r="AP485" s="56">
        <v>140837.2</v>
      </c>
      <c r="AQ485" s="55">
        <v>141885.55</v>
      </c>
      <c r="AR485" s="55">
        <v>142733.52</v>
      </c>
      <c r="AS485" s="55">
        <v>143940.23</v>
      </c>
      <c r="AT485" s="55">
        <f t="array" ref="AT485">XLOOKUP(C485,'PL TOTAL D0'!A:A,'PL TOTAL D0'!C:C,"")</f>
        <v>144580</v>
      </c>
    </row>
    <row r="486" ht="15.75" customHeight="1">
      <c r="A486" s="44" t="s">
        <v>36</v>
      </c>
      <c r="B486" s="45" t="s">
        <v>1663</v>
      </c>
      <c r="C486" s="46" t="s">
        <v>1664</v>
      </c>
      <c r="D486" s="47" t="s">
        <v>18</v>
      </c>
      <c r="E486" s="24" t="s">
        <v>19</v>
      </c>
      <c r="F486" s="47" t="s">
        <v>20</v>
      </c>
      <c r="G486" s="47" t="str">
        <f t="shared" si="1"/>
        <v>#N/A</v>
      </c>
      <c r="H486" s="48" t="s">
        <v>157</v>
      </c>
      <c r="I486" s="48" t="s">
        <v>24</v>
      </c>
      <c r="J486" s="47" t="str">
        <f t="shared" si="4"/>
        <v>Não</v>
      </c>
      <c r="K486" s="49">
        <v>44966.0</v>
      </c>
      <c r="L486" s="74">
        <v>45119.0</v>
      </c>
      <c r="M486" s="24" t="s">
        <v>45</v>
      </c>
      <c r="N486" s="50">
        <v>0.012</v>
      </c>
      <c r="O486" s="47" t="s">
        <v>24</v>
      </c>
      <c r="P486" s="51">
        <v>0.0</v>
      </c>
      <c r="Q486" s="52"/>
      <c r="R486" s="52"/>
      <c r="S486" s="106"/>
      <c r="T486" s="24" t="s">
        <v>89</v>
      </c>
      <c r="U486" s="211" t="s">
        <v>1665</v>
      </c>
      <c r="V486" s="9" t="s">
        <v>19</v>
      </c>
      <c r="W486" s="53" t="str">
        <f t="shared" si="3"/>
        <v>Encerrado</v>
      </c>
      <c r="X486" s="24"/>
      <c r="Y486" s="54"/>
      <c r="Z486" s="56"/>
      <c r="AA486" s="56"/>
      <c r="AB486" s="56"/>
      <c r="AC486" s="56"/>
      <c r="AD486" s="56">
        <v>0.0</v>
      </c>
      <c r="AE486" s="56">
        <v>423818.64</v>
      </c>
      <c r="AF486" s="56">
        <v>428408.17</v>
      </c>
      <c r="AG486" s="56">
        <v>387469.55</v>
      </c>
      <c r="AH486" s="56">
        <v>384253.18</v>
      </c>
      <c r="AI486" s="56">
        <v>389699.92</v>
      </c>
      <c r="AJ486" s="56">
        <v>0.0</v>
      </c>
      <c r="AK486" s="56">
        <v>0.0</v>
      </c>
      <c r="AL486" s="56">
        <v>0.0</v>
      </c>
      <c r="AM486" s="56">
        <v>0.0</v>
      </c>
      <c r="AN486" s="56">
        <v>0.0</v>
      </c>
      <c r="AO486" s="56">
        <v>0.0</v>
      </c>
      <c r="AP486" s="56">
        <v>0.0</v>
      </c>
      <c r="AQ486" s="55">
        <v>0.0</v>
      </c>
      <c r="AR486" s="55">
        <v>0.0</v>
      </c>
      <c r="AS486" s="55">
        <v>0.0</v>
      </c>
      <c r="AT486" s="55" t="str">
        <f t="array" ref="AT486">XLOOKUP(C486,'PL TOTAL D0'!A:A,'PL TOTAL D0'!C:C,"")</f>
        <v/>
      </c>
    </row>
    <row r="487" ht="15.75" customHeight="1">
      <c r="A487" s="44" t="s">
        <v>36</v>
      </c>
      <c r="B487" s="45" t="s">
        <v>1666</v>
      </c>
      <c r="C487" s="46" t="s">
        <v>1667</v>
      </c>
      <c r="D487" s="47" t="s">
        <v>18</v>
      </c>
      <c r="E487" s="24" t="s">
        <v>19</v>
      </c>
      <c r="F487" s="47" t="s">
        <v>201</v>
      </c>
      <c r="G487" s="47" t="str">
        <f t="shared" si="1"/>
        <v>Augusto</v>
      </c>
      <c r="H487" s="48" t="s">
        <v>88</v>
      </c>
      <c r="I487" s="48" t="s">
        <v>24</v>
      </c>
      <c r="J487" s="47" t="str">
        <f t="shared" si="4"/>
        <v>Não</v>
      </c>
      <c r="K487" s="49">
        <v>45058.0</v>
      </c>
      <c r="L487" s="24"/>
      <c r="M487" s="24" t="s">
        <v>60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4" t="s">
        <v>89</v>
      </c>
      <c r="U487" s="25" t="s">
        <v>1668</v>
      </c>
      <c r="V487" s="9" t="s">
        <v>19</v>
      </c>
      <c r="W487" s="53" t="str">
        <f t="shared" si="3"/>
        <v>Ativo</v>
      </c>
      <c r="X487" s="24"/>
      <c r="Y487" s="54" t="s">
        <v>95</v>
      </c>
      <c r="Z487" s="56"/>
      <c r="AA487" s="56"/>
      <c r="AB487" s="56"/>
      <c r="AC487" s="56"/>
      <c r="AD487" s="56"/>
      <c r="AE487" s="56"/>
      <c r="AF487" s="56"/>
      <c r="AG487" s="56">
        <v>0.0</v>
      </c>
      <c r="AH487" s="56">
        <v>100648.86</v>
      </c>
      <c r="AI487" s="56">
        <v>128229.47</v>
      </c>
      <c r="AJ487" s="56">
        <v>134443.75</v>
      </c>
      <c r="AK487" s="56">
        <v>135795.54</v>
      </c>
      <c r="AL487" s="56">
        <v>138609.77</v>
      </c>
      <c r="AM487" s="56">
        <v>240098.9</v>
      </c>
      <c r="AN487" s="56">
        <v>241952.08</v>
      </c>
      <c r="AO487" s="56">
        <v>256163.08</v>
      </c>
      <c r="AP487" s="56">
        <v>273358.25</v>
      </c>
      <c r="AQ487" s="55">
        <v>275768.05</v>
      </c>
      <c r="AR487" s="55">
        <v>323405.42</v>
      </c>
      <c r="AS487" s="55">
        <v>326434.69</v>
      </c>
      <c r="AT487" s="55">
        <f t="array" ref="AT487">XLOOKUP(C487,'PL TOTAL D0'!A:A,'PL TOTAL D0'!C:C,"")</f>
        <v>331592.1</v>
      </c>
    </row>
    <row r="488" ht="15.75" customHeight="1">
      <c r="A488" s="44" t="s">
        <v>36</v>
      </c>
      <c r="B488" s="45" t="s">
        <v>1666</v>
      </c>
      <c r="C488" s="46" t="s">
        <v>1669</v>
      </c>
      <c r="D488" s="47" t="s">
        <v>18</v>
      </c>
      <c r="E488" s="24" t="s">
        <v>19</v>
      </c>
      <c r="F488" s="47" t="s">
        <v>201</v>
      </c>
      <c r="G488" s="47" t="str">
        <f t="shared" si="1"/>
        <v>Augusto</v>
      </c>
      <c r="H488" s="48" t="s">
        <v>88</v>
      </c>
      <c r="I488" s="48" t="s">
        <v>24</v>
      </c>
      <c r="J488" s="47" t="str">
        <f t="shared" si="4"/>
        <v>Não</v>
      </c>
      <c r="K488" s="49">
        <v>45092.0</v>
      </c>
      <c r="L488" s="24"/>
      <c r="M488" s="24" t="s">
        <v>60</v>
      </c>
      <c r="N488" s="50">
        <v>0.012</v>
      </c>
      <c r="O488" s="47" t="s">
        <v>24</v>
      </c>
      <c r="P488" s="51">
        <v>0.0</v>
      </c>
      <c r="Q488" s="106"/>
      <c r="R488" s="106"/>
      <c r="S488" s="106"/>
      <c r="T488" s="24" t="s">
        <v>89</v>
      </c>
      <c r="U488" s="25" t="s">
        <v>1668</v>
      </c>
      <c r="V488" s="9" t="s">
        <v>19</v>
      </c>
      <c r="W488" s="53" t="str">
        <f t="shared" si="3"/>
        <v>Ativo</v>
      </c>
      <c r="X488" s="24"/>
      <c r="Y488" s="54" t="s">
        <v>95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>
        <v>28496.71</v>
      </c>
      <c r="AJ488" s="56">
        <v>28441.96</v>
      </c>
      <c r="AK488" s="56">
        <v>28233.84</v>
      </c>
      <c r="AL488" s="56">
        <v>26446.26</v>
      </c>
      <c r="AM488" s="56">
        <v>26423.82</v>
      </c>
      <c r="AN488" s="56">
        <v>26662.78</v>
      </c>
      <c r="AO488" s="56">
        <v>14483.77</v>
      </c>
      <c r="AP488" s="56">
        <v>14559.84</v>
      </c>
      <c r="AQ488" s="55">
        <v>14628.68</v>
      </c>
      <c r="AR488" s="55">
        <v>14747.84</v>
      </c>
      <c r="AS488" s="55">
        <v>14871.88</v>
      </c>
      <c r="AT488" s="55">
        <f t="array" ref="AT488">XLOOKUP(C488,'PL TOTAL D0'!A:A,'PL TOTAL D0'!C:C,"")</f>
        <v>14878.56</v>
      </c>
    </row>
    <row r="489" ht="15.75" customHeight="1">
      <c r="A489" s="44" t="s">
        <v>36</v>
      </c>
      <c r="B489" s="45" t="s">
        <v>1670</v>
      </c>
      <c r="C489" s="46" t="s">
        <v>1671</v>
      </c>
      <c r="D489" s="47" t="s">
        <v>18</v>
      </c>
      <c r="E489" s="24" t="s">
        <v>19</v>
      </c>
      <c r="F489" s="47" t="s">
        <v>1672</v>
      </c>
      <c r="G489" s="47" t="str">
        <f t="shared" si="1"/>
        <v>#N/A</v>
      </c>
      <c r="H489" s="48" t="s">
        <v>116</v>
      </c>
      <c r="I489" s="48" t="s">
        <v>161</v>
      </c>
      <c r="J489" s="47" t="str">
        <f t="shared" si="4"/>
        <v>Não</v>
      </c>
      <c r="K489" s="49">
        <v>45166.0</v>
      </c>
      <c r="L489" s="64"/>
      <c r="M489" s="24" t="s">
        <v>111</v>
      </c>
      <c r="N489" s="50">
        <v>0.015</v>
      </c>
      <c r="O489" s="47" t="s">
        <v>46</v>
      </c>
      <c r="P489" s="51">
        <v>0.1</v>
      </c>
      <c r="Q489" s="106"/>
      <c r="R489" s="106"/>
      <c r="S489" s="52"/>
      <c r="T489" s="24" t="s">
        <v>89</v>
      </c>
      <c r="U489" s="25" t="s">
        <v>1673</v>
      </c>
      <c r="V489" s="9" t="s">
        <v>1144</v>
      </c>
      <c r="W489" s="53" t="str">
        <f t="shared" si="3"/>
        <v>Inativo</v>
      </c>
      <c r="X489" s="24"/>
      <c r="Y489" s="54" t="s">
        <v>95</v>
      </c>
      <c r="Z489" s="56"/>
      <c r="AA489" s="56"/>
      <c r="AB489" s="56"/>
      <c r="AC489" s="56"/>
      <c r="AD489" s="56"/>
      <c r="AE489" s="56">
        <v>0.0</v>
      </c>
      <c r="AF489" s="56">
        <v>0.0</v>
      </c>
      <c r="AG489" s="56">
        <v>0.0</v>
      </c>
      <c r="AH489" s="56">
        <v>0.0</v>
      </c>
      <c r="AI489" s="56">
        <v>0.0</v>
      </c>
      <c r="AJ489" s="56">
        <v>0.0</v>
      </c>
      <c r="AK489" s="56">
        <v>0.0</v>
      </c>
      <c r="AL489" s="56">
        <v>0.0</v>
      </c>
      <c r="AM489" s="56">
        <v>0.0</v>
      </c>
      <c r="AN489" s="56">
        <v>0.0</v>
      </c>
      <c r="AO489" s="56">
        <v>0.0</v>
      </c>
      <c r="AP489" s="56">
        <v>0.0</v>
      </c>
      <c r="AQ489" s="55">
        <v>0.0</v>
      </c>
      <c r="AR489" s="55">
        <v>0.0</v>
      </c>
      <c r="AS489" s="55">
        <v>0.0</v>
      </c>
      <c r="AT489" s="55" t="str">
        <f t="array" ref="AT489">XLOOKUP(C489,'PL TOTAL D0'!A:A,'PL TOTAL D0'!C:C,"")</f>
        <v/>
      </c>
    </row>
    <row r="490" ht="15.75" customHeight="1">
      <c r="A490" s="44" t="s">
        <v>36</v>
      </c>
      <c r="B490" s="45" t="s">
        <v>1674</v>
      </c>
      <c r="C490" s="46" t="s">
        <v>1675</v>
      </c>
      <c r="D490" s="47" t="s">
        <v>18</v>
      </c>
      <c r="E490" s="24" t="s">
        <v>29</v>
      </c>
      <c r="F490" s="47" t="s">
        <v>137</v>
      </c>
      <c r="G490" s="47" t="str">
        <f t="shared" si="1"/>
        <v>Augusto</v>
      </c>
      <c r="H490" s="53" t="s">
        <v>116</v>
      </c>
      <c r="I490" s="53" t="s">
        <v>161</v>
      </c>
      <c r="J490" s="47" t="str">
        <f t="shared" si="4"/>
        <v>Não</v>
      </c>
      <c r="K490" s="49">
        <v>45007.0</v>
      </c>
      <c r="L490" s="24"/>
      <c r="M490" s="24" t="s">
        <v>60</v>
      </c>
      <c r="N490" s="50">
        <v>0.012</v>
      </c>
      <c r="O490" s="47" t="s">
        <v>24</v>
      </c>
      <c r="P490" s="51">
        <v>0.0</v>
      </c>
      <c r="Q490" s="106"/>
      <c r="R490" s="106"/>
      <c r="S490" s="160" t="s">
        <v>1676</v>
      </c>
      <c r="T490" s="24" t="s">
        <v>89</v>
      </c>
      <c r="U490" s="25" t="s">
        <v>1677</v>
      </c>
      <c r="V490" s="9" t="s">
        <v>29</v>
      </c>
      <c r="W490" s="53" t="str">
        <f t="shared" si="3"/>
        <v>Ativo</v>
      </c>
      <c r="X490" s="24"/>
      <c r="Y490" s="54" t="s">
        <v>95</v>
      </c>
      <c r="Z490" s="56"/>
      <c r="AA490" s="56"/>
      <c r="AB490" s="56"/>
      <c r="AC490" s="56"/>
      <c r="AD490" s="56"/>
      <c r="AE490" s="56"/>
      <c r="AF490" s="56">
        <v>336439.07</v>
      </c>
      <c r="AG490" s="56">
        <v>338334.87</v>
      </c>
      <c r="AH490" s="56">
        <v>341698.42</v>
      </c>
      <c r="AI490" s="56">
        <v>344838.06</v>
      </c>
      <c r="AJ490" s="56">
        <v>347340.16</v>
      </c>
      <c r="AK490" s="56">
        <v>349927.23</v>
      </c>
      <c r="AL490" s="56">
        <v>348939.08</v>
      </c>
      <c r="AM490" s="56">
        <v>351187.59</v>
      </c>
      <c r="AN490" s="56">
        <v>354202.22</v>
      </c>
      <c r="AO490" s="56">
        <v>357151.82</v>
      </c>
      <c r="AP490" s="56">
        <v>217220.42</v>
      </c>
      <c r="AQ490" s="55">
        <v>191.05</v>
      </c>
      <c r="AR490" s="55">
        <v>73.59</v>
      </c>
      <c r="AS490" s="55">
        <v>93.87</v>
      </c>
      <c r="AT490" s="55">
        <f t="array" ref="AT490">XLOOKUP(C490,'PL TOTAL D0'!A:A,'PL TOTAL D0'!C:C,"")</f>
        <v>93.87</v>
      </c>
    </row>
    <row r="491" ht="15.75" customHeight="1">
      <c r="A491" s="44" t="s">
        <v>36</v>
      </c>
      <c r="B491" s="45" t="s">
        <v>1674</v>
      </c>
      <c r="C491" s="46" t="s">
        <v>1678</v>
      </c>
      <c r="D491" s="47" t="s">
        <v>18</v>
      </c>
      <c r="E491" s="24" t="s">
        <v>29</v>
      </c>
      <c r="F491" s="47" t="s">
        <v>137</v>
      </c>
      <c r="G491" s="47" t="str">
        <f t="shared" si="1"/>
        <v>#N/A</v>
      </c>
      <c r="H491" s="53" t="s">
        <v>116</v>
      </c>
      <c r="I491" s="48" t="s">
        <v>161</v>
      </c>
      <c r="J491" s="47" t="str">
        <f t="shared" si="4"/>
        <v>Não</v>
      </c>
      <c r="K491" s="49">
        <v>45163.0</v>
      </c>
      <c r="L491" s="64"/>
      <c r="M491" s="24" t="s">
        <v>162</v>
      </c>
      <c r="N491" s="50">
        <v>0.025</v>
      </c>
      <c r="O491" s="47" t="s">
        <v>163</v>
      </c>
      <c r="P491" s="51">
        <v>0.2</v>
      </c>
      <c r="Q491" s="106"/>
      <c r="R491" s="106"/>
      <c r="S491" s="62"/>
      <c r="T491" s="24" t="s">
        <v>89</v>
      </c>
      <c r="U491" s="25" t="s">
        <v>1677</v>
      </c>
      <c r="V491" s="9" t="s">
        <v>29</v>
      </c>
      <c r="W491" s="53" t="str">
        <f t="shared" si="3"/>
        <v>Ativo</v>
      </c>
      <c r="X491" s="24"/>
      <c r="Y491" s="54" t="s">
        <v>95</v>
      </c>
      <c r="Z491" s="56"/>
      <c r="AA491" s="56"/>
      <c r="AB491" s="56"/>
      <c r="AC491" s="56"/>
      <c r="AD491" s="56"/>
      <c r="AE491" s="56"/>
      <c r="AF491" s="56">
        <v>0.0</v>
      </c>
      <c r="AG491" s="56">
        <v>0.0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36</v>
      </c>
      <c r="B492" s="45" t="s">
        <v>1679</v>
      </c>
      <c r="C492" s="46" t="s">
        <v>1680</v>
      </c>
      <c r="D492" s="47" t="s">
        <v>18</v>
      </c>
      <c r="E492" s="24" t="s">
        <v>29</v>
      </c>
      <c r="F492" s="47" t="s">
        <v>110</v>
      </c>
      <c r="G492" s="47" t="str">
        <f t="shared" si="1"/>
        <v>#N/A</v>
      </c>
      <c r="H492" s="48" t="s">
        <v>157</v>
      </c>
      <c r="I492" s="48" t="s">
        <v>161</v>
      </c>
      <c r="J492" s="47" t="str">
        <f t="shared" si="4"/>
        <v>Não</v>
      </c>
      <c r="K492" s="49">
        <v>45029.0</v>
      </c>
      <c r="L492" s="212">
        <v>45250.0</v>
      </c>
      <c r="M492" s="24" t="s">
        <v>60</v>
      </c>
      <c r="N492" s="50">
        <v>0.01</v>
      </c>
      <c r="O492" s="47" t="s">
        <v>24</v>
      </c>
      <c r="P492" s="51">
        <v>0.0</v>
      </c>
      <c r="Q492" s="106"/>
      <c r="R492" s="106"/>
      <c r="S492" s="106"/>
      <c r="T492" s="24" t="s">
        <v>89</v>
      </c>
      <c r="U492" s="25" t="s">
        <v>1681</v>
      </c>
      <c r="V492" s="9" t="s">
        <v>465</v>
      </c>
      <c r="W492" s="53" t="str">
        <f t="shared" si="3"/>
        <v>Encerrado</v>
      </c>
      <c r="X492" s="24"/>
      <c r="Y492" s="54"/>
      <c r="Z492" s="56"/>
      <c r="AA492" s="56"/>
      <c r="AB492" s="56"/>
      <c r="AC492" s="56"/>
      <c r="AD492" s="56"/>
      <c r="AE492" s="56">
        <v>0.0</v>
      </c>
      <c r="AF492" s="56">
        <v>0.0</v>
      </c>
      <c r="AG492" s="56">
        <v>5431.76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 t="str">
        <f t="array" ref="AT492">XLOOKUP(C492,'PL TOTAL D0'!A:A,'PL TOTAL D0'!C:C,"")</f>
        <v/>
      </c>
    </row>
    <row r="493" ht="15.75" customHeight="1">
      <c r="A493" s="44" t="s">
        <v>36</v>
      </c>
      <c r="B493" s="45" t="s">
        <v>1682</v>
      </c>
      <c r="C493" s="46" t="s">
        <v>1683</v>
      </c>
      <c r="D493" s="47" t="s">
        <v>18</v>
      </c>
      <c r="E493" s="24" t="s">
        <v>19</v>
      </c>
      <c r="F493" s="47" t="s">
        <v>20</v>
      </c>
      <c r="G493" s="47" t="str">
        <f t="shared" si="1"/>
        <v>Augusto</v>
      </c>
      <c r="H493" s="48" t="s">
        <v>88</v>
      </c>
      <c r="I493" s="48" t="s">
        <v>24</v>
      </c>
      <c r="J493" s="47" t="str">
        <f t="shared" si="4"/>
        <v>Sim</v>
      </c>
      <c r="K493" s="49">
        <v>45005.0</v>
      </c>
      <c r="L493" s="24"/>
      <c r="M493" s="24" t="s">
        <v>111</v>
      </c>
      <c r="N493" s="50">
        <v>0.015</v>
      </c>
      <c r="O493" s="47" t="s">
        <v>46</v>
      </c>
      <c r="P493" s="51">
        <v>0.1</v>
      </c>
      <c r="Q493" s="169" t="s">
        <v>1684</v>
      </c>
      <c r="R493" s="106"/>
      <c r="S493" s="106"/>
      <c r="T493" s="24" t="s">
        <v>89</v>
      </c>
      <c r="U493" s="25" t="s">
        <v>1685</v>
      </c>
      <c r="V493" s="9" t="s">
        <v>19</v>
      </c>
      <c r="W493" s="53" t="str">
        <f t="shared" si="3"/>
        <v>Ativo</v>
      </c>
      <c r="X493" s="24"/>
      <c r="Y493" s="54" t="s">
        <v>95</v>
      </c>
      <c r="Z493" s="56"/>
      <c r="AA493" s="56"/>
      <c r="AB493" s="56"/>
      <c r="AC493" s="56"/>
      <c r="AD493" s="56"/>
      <c r="AE493" s="56"/>
      <c r="AF493" s="56">
        <v>108824.42</v>
      </c>
      <c r="AG493" s="56">
        <v>47556.19</v>
      </c>
      <c r="AH493" s="56">
        <v>64503.79</v>
      </c>
      <c r="AI493" s="56">
        <v>66263.15</v>
      </c>
      <c r="AJ493" s="56">
        <v>76565.75</v>
      </c>
      <c r="AK493" s="56">
        <v>89589.62</v>
      </c>
      <c r="AL493" s="56">
        <v>103189.25</v>
      </c>
      <c r="AM493" s="56">
        <v>93072.73</v>
      </c>
      <c r="AN493" s="56">
        <v>389160.11</v>
      </c>
      <c r="AO493" s="56">
        <v>342594.29</v>
      </c>
      <c r="AP493" s="56">
        <v>342970.85</v>
      </c>
      <c r="AQ493" s="55">
        <v>324593.25</v>
      </c>
      <c r="AR493" s="55">
        <v>246738.52</v>
      </c>
      <c r="AS493" s="55">
        <v>141034.35</v>
      </c>
      <c r="AT493" s="55">
        <f t="array" ref="AT493">XLOOKUP(C493,'PL TOTAL D0'!A:A,'PL TOTAL D0'!C:C,"")</f>
        <v>35912.97</v>
      </c>
    </row>
    <row r="494" ht="15.75" customHeight="1">
      <c r="A494" s="44" t="s">
        <v>36</v>
      </c>
      <c r="B494" s="45" t="s">
        <v>1686</v>
      </c>
      <c r="C494" s="58" t="s">
        <v>1687</v>
      </c>
      <c r="D494" s="47" t="s">
        <v>18</v>
      </c>
      <c r="E494" s="24" t="s">
        <v>19</v>
      </c>
      <c r="F494" s="47" t="s">
        <v>201</v>
      </c>
      <c r="G494" s="47" t="str">
        <f t="shared" si="1"/>
        <v>Augusto</v>
      </c>
      <c r="H494" s="53" t="s">
        <v>88</v>
      </c>
      <c r="I494" s="53" t="s">
        <v>24</v>
      </c>
      <c r="J494" s="47" t="str">
        <f t="shared" si="4"/>
        <v>Não</v>
      </c>
      <c r="K494" s="49">
        <v>45264.0</v>
      </c>
      <c r="L494" s="24"/>
      <c r="M494" s="92" t="s">
        <v>162</v>
      </c>
      <c r="N494" s="93">
        <v>0.025</v>
      </c>
      <c r="O494" s="94" t="s">
        <v>163</v>
      </c>
      <c r="P494" s="95">
        <v>0.2</v>
      </c>
      <c r="Q494" s="106"/>
      <c r="R494" s="106"/>
      <c r="S494" s="106"/>
      <c r="T494" s="24" t="s">
        <v>89</v>
      </c>
      <c r="U494" s="25" t="s">
        <v>1688</v>
      </c>
      <c r="V494" s="9" t="s">
        <v>19</v>
      </c>
      <c r="W494" s="53" t="str">
        <f t="shared" si="3"/>
        <v>Ativo</v>
      </c>
      <c r="X494" s="24"/>
      <c r="Y494" s="54" t="s">
        <v>95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>
        <v>0.0</v>
      </c>
      <c r="AO494" s="56">
        <v>50262.05</v>
      </c>
      <c r="AP494" s="56">
        <v>46968.64</v>
      </c>
      <c r="AQ494" s="55">
        <v>47487.64</v>
      </c>
      <c r="AR494" s="55">
        <v>48297.43</v>
      </c>
      <c r="AS494" s="55">
        <v>46293.52</v>
      </c>
      <c r="AT494" s="55">
        <f t="array" ref="AT494">XLOOKUP(C494,'PL TOTAL D0'!A:A,'PL TOTAL D0'!C:C,"")</f>
        <v>47119.39</v>
      </c>
    </row>
    <row r="495" ht="15.75" customHeight="1">
      <c r="A495" s="44" t="s">
        <v>36</v>
      </c>
      <c r="B495" s="45" t="s">
        <v>1686</v>
      </c>
      <c r="C495" s="46" t="s">
        <v>1689</v>
      </c>
      <c r="D495" s="47" t="s">
        <v>18</v>
      </c>
      <c r="E495" s="24" t="s">
        <v>19</v>
      </c>
      <c r="F495" s="47" t="s">
        <v>201</v>
      </c>
      <c r="G495" s="47" t="str">
        <f t="shared" si="1"/>
        <v>Breno</v>
      </c>
      <c r="H495" s="48" t="s">
        <v>88</v>
      </c>
      <c r="I495" s="48" t="s">
        <v>24</v>
      </c>
      <c r="J495" s="47" t="str">
        <f t="shared" si="4"/>
        <v>Não</v>
      </c>
      <c r="K495" s="49">
        <v>45103.0</v>
      </c>
      <c r="L495" s="64"/>
      <c r="M495" s="24" t="s">
        <v>60</v>
      </c>
      <c r="N495" s="50">
        <v>0.012</v>
      </c>
      <c r="O495" s="47" t="s">
        <v>24</v>
      </c>
      <c r="P495" s="51">
        <v>0.0</v>
      </c>
      <c r="Q495" s="106"/>
      <c r="R495" s="106"/>
      <c r="S495" s="106"/>
      <c r="T495" s="24" t="s">
        <v>89</v>
      </c>
      <c r="U495" s="25" t="s">
        <v>1688</v>
      </c>
      <c r="V495" s="9" t="s">
        <v>19</v>
      </c>
      <c r="W495" s="53" t="str">
        <f t="shared" si="3"/>
        <v>Ativo</v>
      </c>
      <c r="X495" s="24"/>
      <c r="Y495" s="54" t="s">
        <v>95</v>
      </c>
      <c r="Z495" s="56"/>
      <c r="AA495" s="56"/>
      <c r="AB495" s="56"/>
      <c r="AC495" s="56"/>
      <c r="AD495" s="56"/>
      <c r="AE495" s="56"/>
      <c r="AF495" s="56"/>
      <c r="AG495" s="56"/>
      <c r="AH495" s="56"/>
      <c r="AI495" s="56">
        <v>200323.08</v>
      </c>
      <c r="AJ495" s="56">
        <v>202185.21</v>
      </c>
      <c r="AK495" s="56">
        <v>254401.12</v>
      </c>
      <c r="AL495" s="56">
        <v>256470.23</v>
      </c>
      <c r="AM495" s="56">
        <v>258614.98</v>
      </c>
      <c r="AN495" s="56">
        <v>310396.68</v>
      </c>
      <c r="AO495" s="56">
        <v>312685.08</v>
      </c>
      <c r="AP495" s="56">
        <v>315303.3</v>
      </c>
      <c r="AQ495" s="55">
        <v>342539.61</v>
      </c>
      <c r="AR495" s="55">
        <v>394597.36</v>
      </c>
      <c r="AS495" s="55">
        <v>396000.75</v>
      </c>
      <c r="AT495" s="55">
        <f t="array" ref="AT495">XLOOKUP(C495,'PL TOTAL D0'!A:A,'PL TOTAL D0'!C:C,"")</f>
        <v>473352.8</v>
      </c>
    </row>
    <row r="496" ht="15.75" customHeight="1">
      <c r="A496" s="44" t="s">
        <v>36</v>
      </c>
      <c r="B496" s="45" t="s">
        <v>1690</v>
      </c>
      <c r="C496" s="46" t="s">
        <v>1691</v>
      </c>
      <c r="D496" s="47" t="s">
        <v>18</v>
      </c>
      <c r="E496" s="24" t="s">
        <v>19</v>
      </c>
      <c r="F496" s="47" t="s">
        <v>52</v>
      </c>
      <c r="G496" s="47" t="str">
        <f t="shared" si="1"/>
        <v>#N/A</v>
      </c>
      <c r="H496" s="53" t="s">
        <v>116</v>
      </c>
      <c r="I496" s="48" t="s">
        <v>161</v>
      </c>
      <c r="J496" s="47" t="str">
        <f t="shared" si="4"/>
        <v>Não</v>
      </c>
      <c r="K496" s="49">
        <v>45163.0</v>
      </c>
      <c r="L496" s="64"/>
      <c r="M496" s="24" t="s">
        <v>60</v>
      </c>
      <c r="N496" s="50">
        <v>0.01</v>
      </c>
      <c r="O496" s="47" t="s">
        <v>24</v>
      </c>
      <c r="P496" s="51">
        <v>0.0</v>
      </c>
      <c r="Q496" s="106"/>
      <c r="R496" s="106"/>
      <c r="S496" s="106"/>
      <c r="T496" s="24" t="s">
        <v>89</v>
      </c>
      <c r="U496" s="25" t="s">
        <v>1692</v>
      </c>
      <c r="V496" s="9" t="s">
        <v>19</v>
      </c>
      <c r="W496" s="53" t="str">
        <f t="shared" si="3"/>
        <v>Inativo</v>
      </c>
      <c r="X496" s="24"/>
      <c r="Y496" s="54" t="s">
        <v>95</v>
      </c>
      <c r="Z496" s="56"/>
      <c r="AA496" s="56"/>
      <c r="AB496" s="56"/>
      <c r="AC496" s="56">
        <v>51295.86</v>
      </c>
      <c r="AD496" s="56">
        <v>0.0</v>
      </c>
      <c r="AE496" s="56">
        <v>0.0</v>
      </c>
      <c r="AF496" s="56">
        <v>0.0</v>
      </c>
      <c r="AG496" s="56">
        <v>0.0</v>
      </c>
      <c r="AH496" s="56">
        <v>0.0</v>
      </c>
      <c r="AI496" s="56">
        <v>0.0</v>
      </c>
      <c r="AJ496" s="56">
        <v>0.0</v>
      </c>
      <c r="AK496" s="56">
        <v>0.0</v>
      </c>
      <c r="AL496" s="56">
        <v>0.0</v>
      </c>
      <c r="AM496" s="56">
        <v>0.0</v>
      </c>
      <c r="AN496" s="56">
        <v>0.0</v>
      </c>
      <c r="AO496" s="56">
        <v>0.0</v>
      </c>
      <c r="AP496" s="56">
        <v>0.0</v>
      </c>
      <c r="AQ496" s="55">
        <v>0.0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36</v>
      </c>
      <c r="B497" s="45" t="s">
        <v>1693</v>
      </c>
      <c r="C497" s="82" t="s">
        <v>1694</v>
      </c>
      <c r="D497" s="47" t="s">
        <v>18</v>
      </c>
      <c r="E497" s="24" t="s">
        <v>19</v>
      </c>
      <c r="F497" s="47" t="s">
        <v>52</v>
      </c>
      <c r="G497" s="47" t="str">
        <f t="shared" si="1"/>
        <v>#N/A</v>
      </c>
      <c r="H497" s="53" t="s">
        <v>157</v>
      </c>
      <c r="I497" s="48" t="s">
        <v>24</v>
      </c>
      <c r="J497" s="47" t="str">
        <f t="shared" si="4"/>
        <v>Sim</v>
      </c>
      <c r="K497" s="49">
        <v>44936.0</v>
      </c>
      <c r="L497" s="110">
        <v>45433.0</v>
      </c>
      <c r="M497" s="24" t="s">
        <v>60</v>
      </c>
      <c r="N497" s="50">
        <v>0.01</v>
      </c>
      <c r="O497" s="47" t="s">
        <v>24</v>
      </c>
      <c r="P497" s="51">
        <v>0.0</v>
      </c>
      <c r="Q497" s="62" t="s">
        <v>211</v>
      </c>
      <c r="R497" s="169"/>
      <c r="S497" s="106"/>
      <c r="T497" s="24" t="s">
        <v>89</v>
      </c>
      <c r="U497" s="25" t="s">
        <v>1692</v>
      </c>
      <c r="V497" s="9" t="s">
        <v>19</v>
      </c>
      <c r="W497" s="53" t="str">
        <f t="shared" si="3"/>
        <v>Encerrado</v>
      </c>
      <c r="X497" s="24"/>
      <c r="Y497" s="54" t="s">
        <v>95</v>
      </c>
      <c r="Z497" s="56"/>
      <c r="AA497" s="56"/>
      <c r="AB497" s="56"/>
      <c r="AC497" s="56"/>
      <c r="AD497" s="56">
        <v>172068.9</v>
      </c>
      <c r="AE497" s="56">
        <v>173538.72</v>
      </c>
      <c r="AF497" s="56">
        <v>120603.37</v>
      </c>
      <c r="AG497" s="56">
        <v>141559.66</v>
      </c>
      <c r="AH497" s="56">
        <v>147998.45</v>
      </c>
      <c r="AI497" s="56">
        <v>149308.13</v>
      </c>
      <c r="AJ497" s="56">
        <v>150534.88</v>
      </c>
      <c r="AK497" s="56">
        <v>181945.64</v>
      </c>
      <c r="AL497" s="56">
        <v>77673.74</v>
      </c>
      <c r="AM497" s="56">
        <v>78274.95</v>
      </c>
      <c r="AN497" s="56">
        <v>78830.87</v>
      </c>
      <c r="AO497" s="56">
        <v>79432.93</v>
      </c>
      <c r="AP497" s="56">
        <v>80159.88</v>
      </c>
      <c r="AQ497" s="55">
        <v>29814.84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36</v>
      </c>
      <c r="B498" s="213" t="s">
        <v>1695</v>
      </c>
      <c r="C498" s="178" t="s">
        <v>1696</v>
      </c>
      <c r="D498" s="47" t="s">
        <v>18</v>
      </c>
      <c r="E498" s="24" t="s">
        <v>19</v>
      </c>
      <c r="F498" s="47" t="s">
        <v>230</v>
      </c>
      <c r="G498" s="47" t="str">
        <f t="shared" si="1"/>
        <v>#N/A</v>
      </c>
      <c r="H498" s="48" t="s">
        <v>116</v>
      </c>
      <c r="I498" s="48" t="s">
        <v>130</v>
      </c>
      <c r="J498" s="47" t="str">
        <f t="shared" si="4"/>
        <v>Não</v>
      </c>
      <c r="K498" s="49">
        <v>45163.0</v>
      </c>
      <c r="L498" s="64"/>
      <c r="M498" s="24" t="s">
        <v>111</v>
      </c>
      <c r="N498" s="50">
        <v>0.015</v>
      </c>
      <c r="O498" s="47" t="s">
        <v>46</v>
      </c>
      <c r="P498" s="51">
        <v>0.1</v>
      </c>
      <c r="Q498" s="106"/>
      <c r="R498" s="106"/>
      <c r="S498" s="106"/>
      <c r="T498" s="24" t="s">
        <v>89</v>
      </c>
      <c r="U498" s="25" t="s">
        <v>1697</v>
      </c>
      <c r="V498" s="9" t="s">
        <v>19</v>
      </c>
      <c r="W498" s="53" t="str">
        <f t="shared" si="3"/>
        <v>Ativo</v>
      </c>
      <c r="X498" s="24"/>
      <c r="Y498" s="54" t="s">
        <v>95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0.0</v>
      </c>
      <c r="AI498" s="56">
        <v>0.0</v>
      </c>
      <c r="AJ498" s="56">
        <v>0.0</v>
      </c>
      <c r="AK498" s="56">
        <v>0.0</v>
      </c>
      <c r="AL498" s="56">
        <v>0.0</v>
      </c>
      <c r="AM498" s="56">
        <v>0.0</v>
      </c>
      <c r="AN498" s="56">
        <v>0.0</v>
      </c>
      <c r="AO498" s="56">
        <v>0.0</v>
      </c>
      <c r="AP498" s="56">
        <v>0.0</v>
      </c>
      <c r="AQ498" s="55">
        <v>0.0</v>
      </c>
      <c r="AR498" s="55">
        <v>0.0</v>
      </c>
      <c r="AS498" s="55">
        <v>0.0</v>
      </c>
      <c r="AT498" s="55" t="str">
        <f t="array" ref="AT498">XLOOKUP(C498,'PL TOTAL D0'!A:A,'PL TOTAL D0'!C:C,"")</f>
        <v/>
      </c>
    </row>
    <row r="499" ht="15.75" customHeight="1">
      <c r="A499" s="44" t="s">
        <v>36</v>
      </c>
      <c r="B499" s="45" t="s">
        <v>1698</v>
      </c>
      <c r="C499" s="46" t="s">
        <v>1699</v>
      </c>
      <c r="D499" s="47" t="s">
        <v>18</v>
      </c>
      <c r="E499" s="24" t="s">
        <v>145</v>
      </c>
      <c r="F499" s="47" t="s">
        <v>171</v>
      </c>
      <c r="G499" s="47" t="str">
        <f t="shared" si="1"/>
        <v>Augusto</v>
      </c>
      <c r="H499" s="48" t="s">
        <v>88</v>
      </c>
      <c r="I499" s="48" t="s">
        <v>24</v>
      </c>
      <c r="J499" s="47" t="str">
        <f t="shared" si="4"/>
        <v>Não</v>
      </c>
      <c r="K499" s="49">
        <v>45075.0</v>
      </c>
      <c r="L499" s="24"/>
      <c r="M499" s="24" t="s">
        <v>162</v>
      </c>
      <c r="N499" s="50">
        <v>0.025</v>
      </c>
      <c r="O499" s="47" t="s">
        <v>163</v>
      </c>
      <c r="P499" s="51">
        <v>0.2</v>
      </c>
      <c r="Q499" s="106"/>
      <c r="R499" s="106"/>
      <c r="S499" s="106"/>
      <c r="T499" s="24" t="s">
        <v>89</v>
      </c>
      <c r="U499" s="25" t="s">
        <v>1700</v>
      </c>
      <c r="V499" s="9" t="s">
        <v>149</v>
      </c>
      <c r="W499" s="53" t="str">
        <f t="shared" si="3"/>
        <v>Ativo</v>
      </c>
      <c r="X499" s="24"/>
      <c r="Y499" s="54" t="s">
        <v>91</v>
      </c>
      <c r="Z499" s="56"/>
      <c r="AA499" s="56"/>
      <c r="AB499" s="56"/>
      <c r="AC499" s="56"/>
      <c r="AD499" s="56"/>
      <c r="AE499" s="56"/>
      <c r="AF499" s="56">
        <v>0.0</v>
      </c>
      <c r="AG499" s="56">
        <v>0.0</v>
      </c>
      <c r="AH499" s="56">
        <v>49931.15</v>
      </c>
      <c r="AI499" s="56">
        <v>51939.1</v>
      </c>
      <c r="AJ499" s="56">
        <v>57669.29</v>
      </c>
      <c r="AK499" s="56">
        <v>66902.6</v>
      </c>
      <c r="AL499" s="56">
        <v>66641.42</v>
      </c>
      <c r="AM499" s="56">
        <v>68617.76</v>
      </c>
      <c r="AN499" s="56">
        <v>73801.62</v>
      </c>
      <c r="AO499" s="56">
        <v>82681.06</v>
      </c>
      <c r="AP499" s="56">
        <v>81896.27</v>
      </c>
      <c r="AQ499" s="55">
        <v>83029.07</v>
      </c>
      <c r="AR499" s="55">
        <v>89381.9</v>
      </c>
      <c r="AS499" s="55">
        <v>90768.54</v>
      </c>
      <c r="AT499" s="55">
        <f t="array" ref="AT499">XLOOKUP(C499,'PL TOTAL D0'!A:A,'PL TOTAL D0'!C:C,"")</f>
        <v>97237.48</v>
      </c>
    </row>
    <row r="500" ht="15.75" customHeight="1">
      <c r="A500" s="44" t="s">
        <v>36</v>
      </c>
      <c r="B500" s="45" t="s">
        <v>1701</v>
      </c>
      <c r="C500" s="46" t="s">
        <v>1702</v>
      </c>
      <c r="D500" s="47" t="s">
        <v>18</v>
      </c>
      <c r="E500" s="24" t="s">
        <v>19</v>
      </c>
      <c r="F500" s="47" t="s">
        <v>52</v>
      </c>
      <c r="G500" s="47" t="str">
        <f t="shared" si="1"/>
        <v>Breno</v>
      </c>
      <c r="H500" s="48" t="s">
        <v>88</v>
      </c>
      <c r="I500" s="48" t="s">
        <v>24</v>
      </c>
      <c r="J500" s="47" t="str">
        <f t="shared" si="4"/>
        <v>Não</v>
      </c>
      <c r="K500" s="49">
        <v>45028.0</v>
      </c>
      <c r="L500" s="24"/>
      <c r="M500" s="24" t="s">
        <v>60</v>
      </c>
      <c r="N500" s="50">
        <v>0.012</v>
      </c>
      <c r="O500" s="47" t="s">
        <v>24</v>
      </c>
      <c r="P500" s="51">
        <v>0.0</v>
      </c>
      <c r="Q500" s="106"/>
      <c r="R500" s="106"/>
      <c r="S500" s="106"/>
      <c r="T500" s="24" t="s">
        <v>89</v>
      </c>
      <c r="U500" s="25" t="s">
        <v>1703</v>
      </c>
      <c r="V500" s="9" t="s">
        <v>19</v>
      </c>
      <c r="W500" s="53" t="str">
        <f t="shared" si="3"/>
        <v>Ativo</v>
      </c>
      <c r="X500" s="24"/>
      <c r="Y500" s="54" t="s">
        <v>95</v>
      </c>
      <c r="Z500" s="56"/>
      <c r="AA500" s="56"/>
      <c r="AB500" s="56"/>
      <c r="AC500" s="56"/>
      <c r="AD500" s="56"/>
      <c r="AE500" s="56"/>
      <c r="AF500" s="56"/>
      <c r="AG500" s="56">
        <v>392253.97</v>
      </c>
      <c r="AH500" s="56">
        <v>396340.75</v>
      </c>
      <c r="AI500" s="56">
        <v>400226.43</v>
      </c>
      <c r="AJ500" s="56">
        <v>403716.37</v>
      </c>
      <c r="AK500" s="56">
        <v>407861.72</v>
      </c>
      <c r="AL500" s="56">
        <v>461695.5</v>
      </c>
      <c r="AM500" s="56">
        <v>566451.91</v>
      </c>
      <c r="AN500" s="56">
        <v>570890.03</v>
      </c>
      <c r="AO500" s="56">
        <v>575596.87</v>
      </c>
      <c r="AP500" s="56">
        <v>578456.36</v>
      </c>
      <c r="AQ500" s="55">
        <v>583073.2</v>
      </c>
      <c r="AR500" s="55">
        <v>586787.5</v>
      </c>
      <c r="AS500" s="55">
        <v>591462.15</v>
      </c>
      <c r="AT500" s="55">
        <f t="array" ref="AT500">XLOOKUP(C500,'PL TOTAL D0'!A:A,'PL TOTAL D0'!C:C,"")</f>
        <v>593891.5</v>
      </c>
    </row>
    <row r="501" ht="15.75" customHeight="1">
      <c r="A501" s="6" t="s">
        <v>36</v>
      </c>
      <c r="B501" s="57" t="s">
        <v>1704</v>
      </c>
      <c r="C501" s="58" t="s">
        <v>1705</v>
      </c>
      <c r="D501" s="9" t="s">
        <v>18</v>
      </c>
      <c r="E501" s="25" t="s">
        <v>29</v>
      </c>
      <c r="F501" s="9" t="s">
        <v>110</v>
      </c>
      <c r="G501" s="47" t="str">
        <f t="shared" si="1"/>
        <v>Augusto</v>
      </c>
      <c r="H501" s="53" t="s">
        <v>88</v>
      </c>
      <c r="I501" s="53" t="s">
        <v>24</v>
      </c>
      <c r="J501" s="47" t="str">
        <f t="shared" si="4"/>
        <v>Não</v>
      </c>
      <c r="K501" s="59">
        <v>45281.0</v>
      </c>
      <c r="L501" s="24"/>
      <c r="M501" s="214" t="s">
        <v>111</v>
      </c>
      <c r="N501" s="85">
        <v>0.0</v>
      </c>
      <c r="O501" s="86" t="s">
        <v>24</v>
      </c>
      <c r="P501" s="87">
        <v>0.0</v>
      </c>
      <c r="Q501" s="106"/>
      <c r="R501" s="106"/>
      <c r="S501" s="106"/>
      <c r="T501" s="25" t="s">
        <v>89</v>
      </c>
      <c r="U501" s="25" t="s">
        <v>1706</v>
      </c>
      <c r="V501" s="9" t="s">
        <v>29</v>
      </c>
      <c r="W501" s="53" t="str">
        <f t="shared" si="3"/>
        <v>Ativo</v>
      </c>
      <c r="X501" s="24"/>
      <c r="Y501" s="54" t="s">
        <v>95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>
        <v>85000.0</v>
      </c>
      <c r="AP501" s="56">
        <v>87237.52</v>
      </c>
      <c r="AQ501" s="55">
        <v>99231.47</v>
      </c>
      <c r="AR501" s="55">
        <v>102513.19</v>
      </c>
      <c r="AS501" s="55">
        <v>102228.44</v>
      </c>
      <c r="AT501" s="55">
        <f t="array" ref="AT501">XLOOKUP(C501,'PL TOTAL D0'!A:A,'PL TOTAL D0'!C:C,"")</f>
        <v>103190.4</v>
      </c>
    </row>
    <row r="502" ht="15.75" customHeight="1">
      <c r="A502" s="44" t="s">
        <v>36</v>
      </c>
      <c r="B502" s="45" t="s">
        <v>1707</v>
      </c>
      <c r="C502" s="46" t="s">
        <v>1708</v>
      </c>
      <c r="D502" s="47" t="s">
        <v>18</v>
      </c>
      <c r="E502" s="24" t="s">
        <v>29</v>
      </c>
      <c r="F502" s="47" t="s">
        <v>137</v>
      </c>
      <c r="G502" s="47" t="str">
        <f t="shared" si="1"/>
        <v>Augusto</v>
      </c>
      <c r="H502" s="48" t="s">
        <v>88</v>
      </c>
      <c r="I502" s="48" t="s">
        <v>24</v>
      </c>
      <c r="J502" s="47" t="str">
        <f t="shared" si="4"/>
        <v>Não</v>
      </c>
      <c r="K502" s="49">
        <v>45148.0</v>
      </c>
      <c r="L502" s="24"/>
      <c r="M502" s="24" t="s">
        <v>162</v>
      </c>
      <c r="N502" s="50">
        <v>0.025</v>
      </c>
      <c r="O502" s="47" t="s">
        <v>163</v>
      </c>
      <c r="P502" s="51">
        <v>0.2</v>
      </c>
      <c r="Q502" s="52"/>
      <c r="R502" s="52"/>
      <c r="S502" s="52"/>
      <c r="T502" s="24" t="s">
        <v>89</v>
      </c>
      <c r="U502" s="25" t="s">
        <v>1709</v>
      </c>
      <c r="V502" s="9" t="s">
        <v>29</v>
      </c>
      <c r="W502" s="53" t="str">
        <f t="shared" si="3"/>
        <v>Ativo</v>
      </c>
      <c r="X502" s="24"/>
      <c r="Y502" s="54" t="s">
        <v>95</v>
      </c>
      <c r="Z502" s="56"/>
      <c r="AA502" s="56"/>
      <c r="AB502" s="56"/>
      <c r="AC502" s="56"/>
      <c r="AD502" s="56"/>
      <c r="AE502" s="56"/>
      <c r="AF502" s="56"/>
      <c r="AG502" s="56"/>
      <c r="AH502" s="56"/>
      <c r="AI502" s="56">
        <v>0.0</v>
      </c>
      <c r="AJ502" s="56">
        <v>0.0</v>
      </c>
      <c r="AK502" s="56">
        <v>318190.88</v>
      </c>
      <c r="AL502" s="56">
        <v>310054.35</v>
      </c>
      <c r="AM502" s="56">
        <v>297092.46</v>
      </c>
      <c r="AN502" s="56">
        <v>318723.48</v>
      </c>
      <c r="AO502" s="56">
        <v>334082.16</v>
      </c>
      <c r="AP502" s="56">
        <v>310728.58</v>
      </c>
      <c r="AQ502" s="55">
        <v>314827.38</v>
      </c>
      <c r="AR502" s="55">
        <v>320036.63</v>
      </c>
      <c r="AS502" s="55">
        <v>306215.55</v>
      </c>
      <c r="AT502" s="55">
        <f t="array" ref="AT502">XLOOKUP(C502,'PL TOTAL D0'!A:A,'PL TOTAL D0'!C:C,"")</f>
        <v>311212.7</v>
      </c>
    </row>
    <row r="503" ht="15.75" customHeight="1">
      <c r="A503" s="44" t="s">
        <v>36</v>
      </c>
      <c r="B503" s="45" t="s">
        <v>1710</v>
      </c>
      <c r="C503" s="46" t="s">
        <v>1711</v>
      </c>
      <c r="D503" s="47" t="s">
        <v>18</v>
      </c>
      <c r="E503" s="24" t="s">
        <v>29</v>
      </c>
      <c r="F503" s="47" t="s">
        <v>137</v>
      </c>
      <c r="G503" s="47" t="str">
        <f t="shared" si="1"/>
        <v>Bruno</v>
      </c>
      <c r="H503" s="48" t="s">
        <v>88</v>
      </c>
      <c r="I503" s="48" t="s">
        <v>24</v>
      </c>
      <c r="J503" s="47" t="str">
        <f t="shared" si="4"/>
        <v>Não</v>
      </c>
      <c r="K503" s="49">
        <v>44986.0</v>
      </c>
      <c r="L503" s="24"/>
      <c r="M503" s="24" t="s">
        <v>60</v>
      </c>
      <c r="N503" s="50">
        <v>0.012</v>
      </c>
      <c r="O503" s="47" t="s">
        <v>24</v>
      </c>
      <c r="P503" s="51">
        <v>0.0</v>
      </c>
      <c r="Q503" s="52"/>
      <c r="R503" s="52"/>
      <c r="S503" s="52"/>
      <c r="T503" s="24" t="s">
        <v>89</v>
      </c>
      <c r="U503" s="25" t="s">
        <v>1709</v>
      </c>
      <c r="V503" s="9" t="s">
        <v>29</v>
      </c>
      <c r="W503" s="53" t="str">
        <f t="shared" si="3"/>
        <v>Ativo</v>
      </c>
      <c r="X503" s="24"/>
      <c r="Y503" s="54" t="s">
        <v>95</v>
      </c>
      <c r="Z503" s="56"/>
      <c r="AA503" s="56"/>
      <c r="AB503" s="56"/>
      <c r="AC503" s="56"/>
      <c r="AD503" s="56"/>
      <c r="AE503" s="56">
        <v>0.0</v>
      </c>
      <c r="AF503" s="56">
        <v>1309680.34</v>
      </c>
      <c r="AG503" s="56">
        <v>1304279.67</v>
      </c>
      <c r="AH503" s="56">
        <v>1297521.3</v>
      </c>
      <c r="AI503" s="56">
        <v>1306782.92</v>
      </c>
      <c r="AJ503" s="56">
        <v>1317426.15</v>
      </c>
      <c r="AK503" s="56">
        <v>1278216.11</v>
      </c>
      <c r="AL503" s="56">
        <v>1271481.07</v>
      </c>
      <c r="AM503" s="56">
        <v>1265269.88</v>
      </c>
      <c r="AN503" s="56">
        <v>1268143.87</v>
      </c>
      <c r="AO503" s="56">
        <v>1279049.41</v>
      </c>
      <c r="AP503" s="56">
        <v>1280757.5</v>
      </c>
      <c r="AQ503" s="55">
        <v>1285143.8</v>
      </c>
      <c r="AR503" s="55">
        <v>1289543.74</v>
      </c>
      <c r="AS503" s="55">
        <v>1297114.63</v>
      </c>
      <c r="AT503" s="55">
        <f t="array" ref="AT503">XLOOKUP(C503,'PL TOTAL D0'!A:A,'PL TOTAL D0'!C:C,"")</f>
        <v>1288958</v>
      </c>
    </row>
    <row r="504" ht="15.75" customHeight="1">
      <c r="A504" s="44" t="s">
        <v>36</v>
      </c>
      <c r="B504" s="63" t="s">
        <v>1712</v>
      </c>
      <c r="C504" s="46" t="s">
        <v>1713</v>
      </c>
      <c r="D504" s="47" t="s">
        <v>18</v>
      </c>
      <c r="E504" s="24" t="s">
        <v>19</v>
      </c>
      <c r="F504" s="47" t="s">
        <v>230</v>
      </c>
      <c r="G504" s="47" t="str">
        <f t="shared" si="1"/>
        <v>Breno</v>
      </c>
      <c r="H504" s="48" t="s">
        <v>88</v>
      </c>
      <c r="I504" s="48" t="s">
        <v>24</v>
      </c>
      <c r="J504" s="47" t="str">
        <f t="shared" si="4"/>
        <v>Não</v>
      </c>
      <c r="K504" s="49">
        <v>45058.0</v>
      </c>
      <c r="L504" s="24"/>
      <c r="M504" s="24" t="s">
        <v>60</v>
      </c>
      <c r="N504" s="50">
        <v>0.008</v>
      </c>
      <c r="O504" s="47" t="s">
        <v>24</v>
      </c>
      <c r="P504" s="51">
        <v>0.0</v>
      </c>
      <c r="Q504" s="106"/>
      <c r="R504" s="106"/>
      <c r="S504" s="106"/>
      <c r="T504" s="24" t="s">
        <v>329</v>
      </c>
      <c r="U504" s="25" t="s">
        <v>1714</v>
      </c>
      <c r="V504" s="9" t="s">
        <v>19</v>
      </c>
      <c r="W504" s="53" t="str">
        <f t="shared" si="3"/>
        <v>Ativo</v>
      </c>
      <c r="X504" s="24"/>
      <c r="Y504" s="54" t="s">
        <v>95</v>
      </c>
      <c r="Z504" s="56"/>
      <c r="AA504" s="56"/>
      <c r="AB504" s="56"/>
      <c r="AC504" s="56"/>
      <c r="AD504" s="56"/>
      <c r="AE504" s="56"/>
      <c r="AF504" s="56"/>
      <c r="AG504" s="56">
        <v>0.0</v>
      </c>
      <c r="AH504" s="56">
        <v>917050.58</v>
      </c>
      <c r="AI504" s="56">
        <v>921849.32</v>
      </c>
      <c r="AJ504" s="56">
        <v>925915.22</v>
      </c>
      <c r="AK504" s="56">
        <v>932372.26</v>
      </c>
      <c r="AL504" s="56">
        <v>938332.24</v>
      </c>
      <c r="AM504" s="56">
        <v>946137.88</v>
      </c>
      <c r="AN504" s="56">
        <v>951998.3</v>
      </c>
      <c r="AO504" s="56">
        <v>959427.1</v>
      </c>
      <c r="AP504" s="56">
        <v>966990.1</v>
      </c>
      <c r="AQ504" s="55">
        <v>973392.74</v>
      </c>
      <c r="AR504" s="55">
        <v>977995.99</v>
      </c>
      <c r="AS504" s="55">
        <v>985720.73</v>
      </c>
      <c r="AT504" s="55">
        <f t="array" ref="AT504">XLOOKUP(C504,'PL TOTAL D0'!A:A,'PL TOTAL D0'!C:C,"")</f>
        <v>989842.2</v>
      </c>
    </row>
    <row r="505" ht="15.75" customHeight="1">
      <c r="A505" s="44" t="s">
        <v>36</v>
      </c>
      <c r="B505" s="45" t="s">
        <v>1715</v>
      </c>
      <c r="C505" s="46" t="s">
        <v>1716</v>
      </c>
      <c r="D505" s="47" t="s">
        <v>18</v>
      </c>
      <c r="E505" s="24" t="s">
        <v>19</v>
      </c>
      <c r="F505" s="47" t="s">
        <v>20</v>
      </c>
      <c r="G505" s="47" t="str">
        <f t="shared" si="1"/>
        <v>Augusto</v>
      </c>
      <c r="H505" s="48" t="s">
        <v>88</v>
      </c>
      <c r="I505" s="48" t="s">
        <v>24</v>
      </c>
      <c r="J505" s="47" t="str">
        <f t="shared" si="4"/>
        <v>Não</v>
      </c>
      <c r="K505" s="49">
        <v>44973.0</v>
      </c>
      <c r="L505" s="24"/>
      <c r="M505" s="24" t="s">
        <v>60</v>
      </c>
      <c r="N505" s="50">
        <v>0.01</v>
      </c>
      <c r="O505" s="47" t="s">
        <v>24</v>
      </c>
      <c r="P505" s="51">
        <v>0.0</v>
      </c>
      <c r="Q505" s="62"/>
      <c r="R505" s="52"/>
      <c r="S505" s="52"/>
      <c r="T505" s="24" t="s">
        <v>89</v>
      </c>
      <c r="U505" s="25" t="s">
        <v>1717</v>
      </c>
      <c r="V505" s="9" t="s">
        <v>19</v>
      </c>
      <c r="W505" s="53" t="str">
        <f t="shared" si="3"/>
        <v>Ativo</v>
      </c>
      <c r="X505" s="24"/>
      <c r="Y505" s="54" t="s">
        <v>95</v>
      </c>
      <c r="Z505" s="56"/>
      <c r="AA505" s="56"/>
      <c r="AB505" s="56"/>
      <c r="AC505" s="56"/>
      <c r="AD505" s="56"/>
      <c r="AE505" s="56">
        <v>134565.58</v>
      </c>
      <c r="AF505" s="56">
        <v>131030.57</v>
      </c>
      <c r="AG505" s="56">
        <v>131907.25</v>
      </c>
      <c r="AH505" s="56">
        <v>119165.24</v>
      </c>
      <c r="AI505" s="56">
        <v>121226.11</v>
      </c>
      <c r="AJ505" s="56">
        <v>117331.38</v>
      </c>
      <c r="AK505" s="56">
        <v>118898.37</v>
      </c>
      <c r="AL505" s="56">
        <v>119904.59</v>
      </c>
      <c r="AM505" s="56">
        <v>80094.84</v>
      </c>
      <c r="AN505" s="56">
        <v>82181.14</v>
      </c>
      <c r="AO505" s="56">
        <v>100558.79</v>
      </c>
      <c r="AP505" s="56">
        <v>91388.44</v>
      </c>
      <c r="AQ505" s="55">
        <v>87542.72</v>
      </c>
      <c r="AR505" s="55">
        <v>83186.65</v>
      </c>
      <c r="AS505" s="55">
        <v>75175.92</v>
      </c>
      <c r="AT505" s="55">
        <f t="array" ref="AT505">XLOOKUP(C505,'PL TOTAL D0'!A:A,'PL TOTAL D0'!C:C,"")</f>
        <v>69669.46</v>
      </c>
    </row>
    <row r="506" ht="15.75" customHeight="1">
      <c r="A506" s="6" t="s">
        <v>36</v>
      </c>
      <c r="B506" s="15" t="s">
        <v>1718</v>
      </c>
      <c r="C506" s="199" t="s">
        <v>1719</v>
      </c>
      <c r="D506" s="9" t="s">
        <v>822</v>
      </c>
      <c r="E506" s="25" t="s">
        <v>19</v>
      </c>
      <c r="F506" s="9" t="s">
        <v>823</v>
      </c>
      <c r="G506" s="47" t="str">
        <f t="shared" si="1"/>
        <v>Bruno</v>
      </c>
      <c r="H506" s="53" t="s">
        <v>88</v>
      </c>
      <c r="I506" s="53" t="s">
        <v>24</v>
      </c>
      <c r="J506" s="47" t="str">
        <f t="shared" si="4"/>
        <v>Não</v>
      </c>
      <c r="K506" s="59">
        <v>45337.0</v>
      </c>
      <c r="L506" s="24"/>
      <c r="M506" s="25" t="s">
        <v>60</v>
      </c>
      <c r="N506" s="60">
        <v>0.012</v>
      </c>
      <c r="O506" s="9" t="s">
        <v>24</v>
      </c>
      <c r="P506" s="61">
        <v>0.0</v>
      </c>
      <c r="Q506" s="62"/>
      <c r="R506" s="52"/>
      <c r="S506" s="52"/>
      <c r="T506" s="25" t="s">
        <v>329</v>
      </c>
      <c r="U506" s="5" t="s">
        <v>1720</v>
      </c>
      <c r="V506" s="9" t="s">
        <v>19</v>
      </c>
      <c r="W506" s="53" t="str">
        <f t="shared" si="3"/>
        <v>Ativo</v>
      </c>
      <c r="X506" s="25"/>
      <c r="Y506" s="54" t="s">
        <v>95</v>
      </c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5">
        <v>0.0</v>
      </c>
      <c r="AR506" s="55">
        <v>663216.71</v>
      </c>
      <c r="AS506" s="55">
        <v>1510011.53</v>
      </c>
      <c r="AT506" s="55">
        <f t="array" ref="AT506">XLOOKUP(C506,'PL TOTAL D0'!A:A,'PL TOTAL D0'!C:C,"")</f>
        <v>1365212</v>
      </c>
    </row>
    <row r="507" ht="15.75" customHeight="1">
      <c r="A507" s="44" t="s">
        <v>36</v>
      </c>
      <c r="B507" s="57" t="s">
        <v>1721</v>
      </c>
      <c r="C507" s="46" t="s">
        <v>1722</v>
      </c>
      <c r="D507" s="47" t="s">
        <v>18</v>
      </c>
      <c r="E507" s="24" t="s">
        <v>145</v>
      </c>
      <c r="F507" s="47" t="s">
        <v>146</v>
      </c>
      <c r="G507" s="47" t="str">
        <f t="shared" si="1"/>
        <v>Breno</v>
      </c>
      <c r="H507" s="53" t="s">
        <v>88</v>
      </c>
      <c r="I507" s="48" t="s">
        <v>24</v>
      </c>
      <c r="J507" s="47" t="str">
        <f t="shared" si="4"/>
        <v>Não</v>
      </c>
      <c r="K507" s="49">
        <v>45163.0</v>
      </c>
      <c r="L507" s="64"/>
      <c r="M507" s="25" t="s">
        <v>45</v>
      </c>
      <c r="N507" s="60">
        <v>0.012</v>
      </c>
      <c r="O507" s="47" t="s">
        <v>46</v>
      </c>
      <c r="P507" s="51">
        <v>0.1</v>
      </c>
      <c r="Q507" s="169"/>
      <c r="R507" s="106"/>
      <c r="S507" s="62" t="s">
        <v>1723</v>
      </c>
      <c r="T507" s="24" t="s">
        <v>89</v>
      </c>
      <c r="U507" s="25" t="s">
        <v>1724</v>
      </c>
      <c r="V507" s="9" t="s">
        <v>149</v>
      </c>
      <c r="W507" s="53" t="str">
        <f t="shared" si="3"/>
        <v>Ativo</v>
      </c>
      <c r="X507" s="24"/>
      <c r="Y507" s="54" t="s">
        <v>91</v>
      </c>
      <c r="Z507" s="56"/>
      <c r="AA507" s="56"/>
      <c r="AB507" s="56"/>
      <c r="AC507" s="56"/>
      <c r="AD507" s="56"/>
      <c r="AE507" s="56"/>
      <c r="AF507" s="56"/>
      <c r="AG507" s="56">
        <v>0.0</v>
      </c>
      <c r="AH507" s="56">
        <v>0.0</v>
      </c>
      <c r="AI507" s="56">
        <v>0.0</v>
      </c>
      <c r="AJ507" s="56">
        <v>0.0</v>
      </c>
      <c r="AK507" s="56">
        <v>0.0</v>
      </c>
      <c r="AL507" s="56">
        <v>0.0</v>
      </c>
      <c r="AM507" s="56">
        <v>0.0</v>
      </c>
      <c r="AN507" s="56">
        <v>0.0</v>
      </c>
      <c r="AO507" s="56">
        <v>495723.2</v>
      </c>
      <c r="AP507" s="56">
        <v>489036.95</v>
      </c>
      <c r="AQ507" s="55">
        <v>492682.44</v>
      </c>
      <c r="AR507" s="55">
        <v>492167.63</v>
      </c>
      <c r="AS507" s="55">
        <v>491926.14</v>
      </c>
      <c r="AT507" s="55">
        <f t="array" ref="AT507">XLOOKUP(C507,'PL TOTAL D0'!A:A,'PL TOTAL D0'!C:C,"")</f>
        <v>494062.9</v>
      </c>
    </row>
    <row r="508" ht="15.75" customHeight="1">
      <c r="A508" s="44" t="s">
        <v>36</v>
      </c>
      <c r="B508" s="45" t="s">
        <v>1725</v>
      </c>
      <c r="C508" s="46" t="s">
        <v>1726</v>
      </c>
      <c r="D508" s="47" t="s">
        <v>18</v>
      </c>
      <c r="E508" s="24" t="s">
        <v>145</v>
      </c>
      <c r="F508" s="47" t="s">
        <v>146</v>
      </c>
      <c r="G508" s="47" t="str">
        <f t="shared" si="1"/>
        <v>Augusto</v>
      </c>
      <c r="H508" s="48" t="s">
        <v>88</v>
      </c>
      <c r="I508" s="48" t="s">
        <v>24</v>
      </c>
      <c r="J508" s="47" t="str">
        <f t="shared" si="4"/>
        <v>Não</v>
      </c>
      <c r="K508" s="49">
        <v>45127.0</v>
      </c>
      <c r="L508" s="64"/>
      <c r="M508" s="24" t="s">
        <v>162</v>
      </c>
      <c r="N508" s="50">
        <v>0.025</v>
      </c>
      <c r="O508" s="47" t="s">
        <v>163</v>
      </c>
      <c r="P508" s="51">
        <v>0.2</v>
      </c>
      <c r="Q508" s="106"/>
      <c r="R508" s="106"/>
      <c r="S508" s="106"/>
      <c r="T508" s="24" t="s">
        <v>89</v>
      </c>
      <c r="U508" s="25" t="s">
        <v>1727</v>
      </c>
      <c r="V508" s="9" t="s">
        <v>149</v>
      </c>
      <c r="W508" s="53" t="str">
        <f t="shared" si="3"/>
        <v>Ativo</v>
      </c>
      <c r="X508" s="24"/>
      <c r="Y508" s="54" t="s">
        <v>91</v>
      </c>
      <c r="Z508" s="56"/>
      <c r="AA508" s="56"/>
      <c r="AB508" s="56"/>
      <c r="AC508" s="56"/>
      <c r="AD508" s="56"/>
      <c r="AE508" s="56"/>
      <c r="AF508" s="56"/>
      <c r="AG508" s="56"/>
      <c r="AH508" s="56"/>
      <c r="AI508" s="56">
        <v>0.0</v>
      </c>
      <c r="AJ508" s="56">
        <v>50378.93</v>
      </c>
      <c r="AK508" s="56">
        <v>50509.51</v>
      </c>
      <c r="AL508" s="56">
        <v>49400.81</v>
      </c>
      <c r="AM508" s="56">
        <v>47181.15</v>
      </c>
      <c r="AN508" s="56">
        <v>50692.58</v>
      </c>
      <c r="AO508" s="56">
        <v>53112.44</v>
      </c>
      <c r="AP508" s="56">
        <v>49430.06</v>
      </c>
      <c r="AQ508" s="55">
        <v>50112.37</v>
      </c>
      <c r="AR508" s="55">
        <v>50930.79</v>
      </c>
      <c r="AS508" s="55">
        <v>48747.29</v>
      </c>
      <c r="AT508" s="55">
        <f t="array" ref="AT508">XLOOKUP(C508,'PL TOTAL D0'!A:A,'PL TOTAL D0'!C:C,"")</f>
        <v>49619.23</v>
      </c>
    </row>
    <row r="509" ht="15.75" customHeight="1">
      <c r="A509" s="44" t="s">
        <v>36</v>
      </c>
      <c r="B509" s="45" t="s">
        <v>1725</v>
      </c>
      <c r="C509" s="46" t="s">
        <v>1728</v>
      </c>
      <c r="D509" s="47" t="s">
        <v>18</v>
      </c>
      <c r="E509" s="24" t="s">
        <v>145</v>
      </c>
      <c r="F509" s="47" t="s">
        <v>146</v>
      </c>
      <c r="G509" s="47" t="str">
        <f t="shared" si="1"/>
        <v>Augusto</v>
      </c>
      <c r="H509" s="48" t="s">
        <v>88</v>
      </c>
      <c r="I509" s="48" t="s">
        <v>24</v>
      </c>
      <c r="J509" s="47" t="str">
        <f t="shared" si="4"/>
        <v>Não</v>
      </c>
      <c r="K509" s="49">
        <v>45021.0</v>
      </c>
      <c r="L509" s="24"/>
      <c r="M509" s="24" t="s">
        <v>45</v>
      </c>
      <c r="N509" s="50">
        <v>0.012</v>
      </c>
      <c r="O509" s="47" t="s">
        <v>24</v>
      </c>
      <c r="P509" s="51">
        <v>0.0</v>
      </c>
      <c r="Q509" s="106"/>
      <c r="R509" s="106"/>
      <c r="S509" s="106"/>
      <c r="T509" s="24" t="s">
        <v>89</v>
      </c>
      <c r="U509" s="25" t="s">
        <v>1727</v>
      </c>
      <c r="V509" s="9" t="s">
        <v>149</v>
      </c>
      <c r="W509" s="53" t="str">
        <f t="shared" si="3"/>
        <v>Ativo</v>
      </c>
      <c r="X509" s="24"/>
      <c r="Y509" s="54" t="s">
        <v>91</v>
      </c>
      <c r="Z509" s="56"/>
      <c r="AA509" s="56"/>
      <c r="AB509" s="56"/>
      <c r="AC509" s="56"/>
      <c r="AD509" s="56"/>
      <c r="AE509" s="56"/>
      <c r="AF509" s="56">
        <v>0.0</v>
      </c>
      <c r="AG509" s="56">
        <v>177876.97</v>
      </c>
      <c r="AH509" s="56">
        <v>179377.58</v>
      </c>
      <c r="AI509" s="56">
        <v>181097.77</v>
      </c>
      <c r="AJ509" s="56">
        <v>131177.81</v>
      </c>
      <c r="AK509" s="56">
        <v>132234.7</v>
      </c>
      <c r="AL509" s="56">
        <v>132752.76</v>
      </c>
      <c r="AM509" s="56">
        <v>132974.39</v>
      </c>
      <c r="AN509" s="56">
        <v>135260.13</v>
      </c>
      <c r="AO509" s="56">
        <v>137192.65</v>
      </c>
      <c r="AP509" s="56">
        <v>135840.05</v>
      </c>
      <c r="AQ509" s="55">
        <v>136829.17</v>
      </c>
      <c r="AR509" s="55">
        <v>137673.4</v>
      </c>
      <c r="AS509" s="55">
        <v>137534.93</v>
      </c>
      <c r="AT509" s="55">
        <f t="array" ref="AT509">XLOOKUP(C509,'PL TOTAL D0'!A:A,'PL TOTAL D0'!C:C,"")</f>
        <v>138102.1</v>
      </c>
    </row>
    <row r="510" ht="15.75" customHeight="1">
      <c r="A510" s="44" t="s">
        <v>36</v>
      </c>
      <c r="B510" s="63" t="s">
        <v>1729</v>
      </c>
      <c r="C510" s="46" t="s">
        <v>1730</v>
      </c>
      <c r="D510" s="47" t="s">
        <v>18</v>
      </c>
      <c r="E510" s="24" t="s">
        <v>19</v>
      </c>
      <c r="F510" s="47" t="s">
        <v>20</v>
      </c>
      <c r="G510" s="47" t="str">
        <f t="shared" si="1"/>
        <v>Bruno</v>
      </c>
      <c r="H510" s="53" t="s">
        <v>88</v>
      </c>
      <c r="I510" s="48" t="s">
        <v>24</v>
      </c>
      <c r="J510" s="47" t="str">
        <f t="shared" si="4"/>
        <v>Sim</v>
      </c>
      <c r="K510" s="49">
        <v>45022.0</v>
      </c>
      <c r="L510" s="24"/>
      <c r="M510" s="25" t="s">
        <v>106</v>
      </c>
      <c r="N510" s="50">
        <v>0.012</v>
      </c>
      <c r="O510" s="9" t="s">
        <v>46</v>
      </c>
      <c r="P510" s="61">
        <v>0.1</v>
      </c>
      <c r="Q510" s="62" t="s">
        <v>1731</v>
      </c>
      <c r="R510" s="52"/>
      <c r="S510" s="215" t="s">
        <v>1732</v>
      </c>
      <c r="T510" s="24" t="s">
        <v>89</v>
      </c>
      <c r="U510" s="25" t="s">
        <v>1733</v>
      </c>
      <c r="V510" s="9" t="s">
        <v>19</v>
      </c>
      <c r="W510" s="53" t="str">
        <f t="shared" si="3"/>
        <v>Ativo</v>
      </c>
      <c r="X510" s="24"/>
      <c r="Y510" s="54" t="s">
        <v>95</v>
      </c>
      <c r="Z510" s="56"/>
      <c r="AA510" s="56"/>
      <c r="AB510" s="56"/>
      <c r="AC510" s="56"/>
      <c r="AD510" s="56"/>
      <c r="AE510" s="56"/>
      <c r="AF510" s="56">
        <v>601591.75</v>
      </c>
      <c r="AG510" s="56">
        <v>717386.93</v>
      </c>
      <c r="AH510" s="56">
        <v>1048743.06</v>
      </c>
      <c r="AI510" s="56">
        <v>1063288.17</v>
      </c>
      <c r="AJ510" s="56">
        <v>1073945.36</v>
      </c>
      <c r="AK510" s="56">
        <v>1083419.33</v>
      </c>
      <c r="AL510" s="56">
        <v>1082641.95</v>
      </c>
      <c r="AM510" s="56">
        <v>1087386.42</v>
      </c>
      <c r="AN510" s="56">
        <v>1097502.53</v>
      </c>
      <c r="AO510" s="56">
        <v>1194938.98</v>
      </c>
      <c r="AP510" s="56">
        <v>1223884.13</v>
      </c>
      <c r="AQ510" s="55">
        <v>1236519.35</v>
      </c>
      <c r="AR510" s="55">
        <v>1242953.36</v>
      </c>
      <c r="AS510" s="55">
        <v>1240124.85</v>
      </c>
      <c r="AT510" s="55">
        <f t="array" ref="AT510">XLOOKUP(C510,'PL TOTAL D0'!A:A,'PL TOTAL D0'!C:C,"")</f>
        <v>1246716</v>
      </c>
    </row>
    <row r="511" ht="15.75" customHeight="1">
      <c r="A511" s="44" t="s">
        <v>36</v>
      </c>
      <c r="B511" s="45" t="s">
        <v>1734</v>
      </c>
      <c r="C511" s="46" t="s">
        <v>1735</v>
      </c>
      <c r="D511" s="47" t="s">
        <v>18</v>
      </c>
      <c r="E511" s="24" t="s">
        <v>29</v>
      </c>
      <c r="F511" s="47" t="s">
        <v>865</v>
      </c>
      <c r="G511" s="47" t="str">
        <f t="shared" si="1"/>
        <v>Augusto</v>
      </c>
      <c r="H511" s="48" t="s">
        <v>88</v>
      </c>
      <c r="I511" s="48" t="s">
        <v>24</v>
      </c>
      <c r="J511" s="47" t="str">
        <f t="shared" si="4"/>
        <v>Não</v>
      </c>
      <c r="K511" s="49">
        <v>45013.0</v>
      </c>
      <c r="L511" s="24"/>
      <c r="M511" s="24" t="s">
        <v>45</v>
      </c>
      <c r="N511" s="50">
        <v>0.012</v>
      </c>
      <c r="O511" s="47" t="s">
        <v>24</v>
      </c>
      <c r="P511" s="51">
        <v>0.0</v>
      </c>
      <c r="Q511" s="106"/>
      <c r="R511" s="106"/>
      <c r="S511" s="106"/>
      <c r="T511" s="24" t="s">
        <v>89</v>
      </c>
      <c r="U511" s="25" t="s">
        <v>1736</v>
      </c>
      <c r="V511" s="9" t="s">
        <v>29</v>
      </c>
      <c r="W511" s="53" t="str">
        <f t="shared" si="3"/>
        <v>Ativo</v>
      </c>
      <c r="X511" s="24"/>
      <c r="Y511" s="54" t="s">
        <v>95</v>
      </c>
      <c r="Z511" s="56"/>
      <c r="AA511" s="56"/>
      <c r="AB511" s="56"/>
      <c r="AC511" s="56"/>
      <c r="AD511" s="56"/>
      <c r="AE511" s="56"/>
      <c r="AF511" s="56">
        <v>155704.76</v>
      </c>
      <c r="AG511" s="56">
        <v>156998.83</v>
      </c>
      <c r="AH511" s="56">
        <v>158275.19</v>
      </c>
      <c r="AI511" s="56">
        <v>139442.52</v>
      </c>
      <c r="AJ511" s="56">
        <v>120267.44</v>
      </c>
      <c r="AK511" s="56">
        <v>120707.61</v>
      </c>
      <c r="AL511" s="56">
        <v>100215.5</v>
      </c>
      <c r="AM511" s="56">
        <v>100240.88</v>
      </c>
      <c r="AN511" s="56">
        <v>81936.87</v>
      </c>
      <c r="AO511" s="56">
        <v>108427.76</v>
      </c>
      <c r="AP511" s="56">
        <v>97226.03</v>
      </c>
      <c r="AQ511" s="55">
        <v>97848.96</v>
      </c>
      <c r="AR511" s="55">
        <v>77652.46</v>
      </c>
      <c r="AS511" s="55">
        <v>56959.33</v>
      </c>
      <c r="AT511" s="55">
        <f t="array" ref="AT511">XLOOKUP(C511,'PL TOTAL D0'!A:A,'PL TOTAL D0'!C:C,"")</f>
        <v>57371.2</v>
      </c>
    </row>
    <row r="512" ht="15.75" customHeight="1">
      <c r="A512" s="44" t="s">
        <v>36</v>
      </c>
      <c r="B512" s="45" t="s">
        <v>1737</v>
      </c>
      <c r="C512" s="46" t="s">
        <v>1738</v>
      </c>
      <c r="D512" s="47" t="s">
        <v>18</v>
      </c>
      <c r="E512" s="24" t="s">
        <v>19</v>
      </c>
      <c r="F512" s="47" t="s">
        <v>52</v>
      </c>
      <c r="G512" s="47" t="str">
        <f t="shared" si="1"/>
        <v>Augusto</v>
      </c>
      <c r="H512" s="53" t="s">
        <v>116</v>
      </c>
      <c r="I512" s="53" t="s">
        <v>161</v>
      </c>
      <c r="J512" s="47" t="str">
        <f t="shared" si="4"/>
        <v>Não</v>
      </c>
      <c r="K512" s="49">
        <v>44943.0</v>
      </c>
      <c r="L512" s="24"/>
      <c r="M512" s="24" t="s">
        <v>60</v>
      </c>
      <c r="N512" s="50">
        <v>0.012</v>
      </c>
      <c r="O512" s="47" t="s">
        <v>24</v>
      </c>
      <c r="P512" s="51">
        <v>0.0</v>
      </c>
      <c r="Q512" s="62"/>
      <c r="R512" s="52"/>
      <c r="S512" s="106"/>
      <c r="T512" s="24" t="s">
        <v>89</v>
      </c>
      <c r="U512" s="25" t="s">
        <v>1739</v>
      </c>
      <c r="V512" s="9" t="s">
        <v>19</v>
      </c>
      <c r="W512" s="53" t="str">
        <f t="shared" si="3"/>
        <v>Ativo</v>
      </c>
      <c r="X512" s="24"/>
      <c r="Y512" s="54" t="s">
        <v>95</v>
      </c>
      <c r="Z512" s="56"/>
      <c r="AA512" s="56"/>
      <c r="AB512" s="56"/>
      <c r="AC512" s="56"/>
      <c r="AD512" s="56">
        <v>501159.49</v>
      </c>
      <c r="AE512" s="56">
        <v>288794.28</v>
      </c>
      <c r="AF512" s="56">
        <v>285585.79</v>
      </c>
      <c r="AG512" s="56">
        <v>242066.06</v>
      </c>
      <c r="AH512" s="56">
        <v>233418.45</v>
      </c>
      <c r="AI512" s="56">
        <v>221274.76</v>
      </c>
      <c r="AJ512" s="56">
        <v>211013.95</v>
      </c>
      <c r="AK512" s="56">
        <v>202631.36</v>
      </c>
      <c r="AL512" s="56">
        <v>199838.3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0.14</v>
      </c>
      <c r="AR512" s="55">
        <v>0.14</v>
      </c>
      <c r="AS512" s="55">
        <v>0.14</v>
      </c>
      <c r="AT512" s="55">
        <f t="array" ref="AT512">XLOOKUP(C512,'PL TOTAL D0'!A:A,'PL TOTAL D0'!C:C,"")</f>
        <v>0.14</v>
      </c>
    </row>
    <row r="513" ht="15.75" customHeight="1">
      <c r="A513" s="44" t="s">
        <v>36</v>
      </c>
      <c r="B513" s="45" t="s">
        <v>1737</v>
      </c>
      <c r="C513" s="46" t="s">
        <v>1740</v>
      </c>
      <c r="D513" s="47" t="s">
        <v>18</v>
      </c>
      <c r="E513" s="24" t="s">
        <v>19</v>
      </c>
      <c r="F513" s="47" t="s">
        <v>52</v>
      </c>
      <c r="G513" s="47" t="str">
        <f t="shared" si="1"/>
        <v>#N/A</v>
      </c>
      <c r="H513" s="53" t="s">
        <v>116</v>
      </c>
      <c r="I513" s="48" t="s">
        <v>161</v>
      </c>
      <c r="J513" s="47" t="str">
        <f t="shared" si="4"/>
        <v>Não</v>
      </c>
      <c r="K513" s="49">
        <v>45163.0</v>
      </c>
      <c r="L513" s="64"/>
      <c r="M513" s="24" t="s">
        <v>111</v>
      </c>
      <c r="N513" s="50">
        <v>0.015</v>
      </c>
      <c r="O513" s="47" t="s">
        <v>46</v>
      </c>
      <c r="P513" s="51">
        <v>0.1</v>
      </c>
      <c r="Q513" s="106"/>
      <c r="R513" s="106"/>
      <c r="S513" s="106"/>
      <c r="T513" s="24" t="s">
        <v>89</v>
      </c>
      <c r="U513" s="25" t="s">
        <v>1739</v>
      </c>
      <c r="V513" s="9" t="s">
        <v>19</v>
      </c>
      <c r="W513" s="53" t="str">
        <f t="shared" si="3"/>
        <v>Inativo</v>
      </c>
      <c r="X513" s="24"/>
      <c r="Y513" s="54" t="s">
        <v>95</v>
      </c>
      <c r="Z513" s="56"/>
      <c r="AA513" s="56"/>
      <c r="AB513" s="56"/>
      <c r="AC513" s="56"/>
      <c r="AD513" s="56">
        <v>0.0</v>
      </c>
      <c r="AE513" s="56">
        <v>0.0</v>
      </c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0.0</v>
      </c>
      <c r="AP513" s="56">
        <v>0.0</v>
      </c>
      <c r="AQ513" s="55">
        <v>0.0</v>
      </c>
      <c r="AR513" s="55">
        <v>0.0</v>
      </c>
      <c r="AS513" s="55">
        <v>0.0</v>
      </c>
      <c r="AT513" s="55" t="str">
        <f t="array" ref="AT513">XLOOKUP(C513,'PL TOTAL D0'!A:A,'PL TOTAL D0'!C:C,"")</f>
        <v/>
      </c>
    </row>
    <row r="514" ht="15.75" customHeight="1">
      <c r="A514" s="44" t="s">
        <v>36</v>
      </c>
      <c r="B514" s="45" t="s">
        <v>1741</v>
      </c>
      <c r="C514" s="46" t="s">
        <v>1742</v>
      </c>
      <c r="D514" s="47" t="s">
        <v>18</v>
      </c>
      <c r="E514" s="24" t="s">
        <v>145</v>
      </c>
      <c r="F514" s="47" t="s">
        <v>146</v>
      </c>
      <c r="G514" s="47" t="str">
        <f t="shared" si="1"/>
        <v>Breno</v>
      </c>
      <c r="H514" s="53" t="s">
        <v>88</v>
      </c>
      <c r="I514" s="53" t="s">
        <v>24</v>
      </c>
      <c r="J514" s="47" t="str">
        <f t="shared" si="4"/>
        <v>Não</v>
      </c>
      <c r="K514" s="49">
        <v>45163.0</v>
      </c>
      <c r="L514" s="64"/>
      <c r="M514" s="24" t="s">
        <v>111</v>
      </c>
      <c r="N514" s="50">
        <v>0.015</v>
      </c>
      <c r="O514" s="47" t="s">
        <v>46</v>
      </c>
      <c r="P514" s="51">
        <v>0.1</v>
      </c>
      <c r="Q514" s="65"/>
      <c r="R514" s="106"/>
      <c r="S514" s="62" t="s">
        <v>1743</v>
      </c>
      <c r="T514" s="24" t="s">
        <v>89</v>
      </c>
      <c r="U514" s="25" t="s">
        <v>1744</v>
      </c>
      <c r="V514" s="9" t="s">
        <v>149</v>
      </c>
      <c r="W514" s="53" t="str">
        <f t="shared" si="3"/>
        <v>Ativo</v>
      </c>
      <c r="X514" s="24"/>
      <c r="Y514" s="54" t="s">
        <v>91</v>
      </c>
      <c r="Z514" s="56"/>
      <c r="AA514" s="56"/>
      <c r="AB514" s="56"/>
      <c r="AC514" s="56"/>
      <c r="AD514" s="56"/>
      <c r="AE514" s="56"/>
      <c r="AF514" s="56">
        <v>0.0</v>
      </c>
      <c r="AG514" s="56">
        <v>0.0</v>
      </c>
      <c r="AH514" s="56">
        <v>0.0</v>
      </c>
      <c r="AI514" s="56">
        <v>0.0</v>
      </c>
      <c r="AJ514" s="56">
        <v>0.0</v>
      </c>
      <c r="AK514" s="56">
        <v>0.0</v>
      </c>
      <c r="AL514" s="56">
        <v>0.0</v>
      </c>
      <c r="AM514" s="56">
        <v>0.0</v>
      </c>
      <c r="AN514" s="56">
        <v>0.0</v>
      </c>
      <c r="AO514" s="56">
        <v>708572.32</v>
      </c>
      <c r="AP514" s="56">
        <v>750481.26</v>
      </c>
      <c r="AQ514" s="55">
        <v>759696.99</v>
      </c>
      <c r="AR514" s="55">
        <v>830733.73</v>
      </c>
      <c r="AS514" s="55">
        <v>834273.8</v>
      </c>
      <c r="AT514" s="55">
        <f t="array" ref="AT514">XLOOKUP(C514,'PL TOTAL D0'!A:A,'PL TOTAL D0'!C:C,"")</f>
        <v>920911.3</v>
      </c>
    </row>
    <row r="515" ht="15.75" customHeight="1">
      <c r="A515" s="44" t="s">
        <v>36</v>
      </c>
      <c r="B515" s="114" t="s">
        <v>1745</v>
      </c>
      <c r="C515" s="46" t="s">
        <v>1746</v>
      </c>
      <c r="D515" s="47" t="s">
        <v>18</v>
      </c>
      <c r="E515" s="24" t="s">
        <v>145</v>
      </c>
      <c r="F515" s="47" t="s">
        <v>146</v>
      </c>
      <c r="G515" s="47" t="str">
        <f t="shared" si="1"/>
        <v>#N/A</v>
      </c>
      <c r="H515" s="48" t="s">
        <v>157</v>
      </c>
      <c r="I515" s="48" t="s">
        <v>161</v>
      </c>
      <c r="J515" s="47" t="str">
        <f t="shared" si="4"/>
        <v>Não</v>
      </c>
      <c r="K515" s="49">
        <v>45035.0</v>
      </c>
      <c r="L515" s="120">
        <v>45274.0</v>
      </c>
      <c r="M515" s="24" t="s">
        <v>60</v>
      </c>
      <c r="N515" s="50">
        <v>0.012</v>
      </c>
      <c r="O515" s="47" t="s">
        <v>24</v>
      </c>
      <c r="P515" s="51">
        <v>0.0</v>
      </c>
      <c r="Q515" s="52"/>
      <c r="R515" s="52"/>
      <c r="S515" s="52"/>
      <c r="T515" s="24" t="s">
        <v>89</v>
      </c>
      <c r="U515" s="25" t="s">
        <v>1744</v>
      </c>
      <c r="V515" s="9" t="s">
        <v>149</v>
      </c>
      <c r="W515" s="53" t="str">
        <f t="shared" si="3"/>
        <v>Encerrado</v>
      </c>
      <c r="X515" s="24"/>
      <c r="Y515" s="54"/>
      <c r="Z515" s="56"/>
      <c r="AA515" s="56"/>
      <c r="AB515" s="56"/>
      <c r="AC515" s="56"/>
      <c r="AD515" s="56"/>
      <c r="AE515" s="56"/>
      <c r="AF515" s="56">
        <v>0.0</v>
      </c>
      <c r="AG515" s="56">
        <v>701658.56</v>
      </c>
      <c r="AH515" s="56">
        <v>709432.98</v>
      </c>
      <c r="AI515" s="56">
        <v>311014.03</v>
      </c>
      <c r="AJ515" s="56">
        <v>312644.16</v>
      </c>
      <c r="AK515" s="56">
        <v>315352.28</v>
      </c>
      <c r="AL515" s="56">
        <v>317999.63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0.0</v>
      </c>
      <c r="AR515" s="55">
        <v>0.0</v>
      </c>
      <c r="AS515" s="55">
        <v>0.0</v>
      </c>
      <c r="AT515" s="55" t="str">
        <f t="array" ref="AT515">XLOOKUP(C515,'PL TOTAL D0'!A:A,'PL TOTAL D0'!C:C,"")</f>
        <v/>
      </c>
    </row>
    <row r="516" ht="15.75" customHeight="1">
      <c r="A516" s="44" t="s">
        <v>36</v>
      </c>
      <c r="B516" s="68" t="s">
        <v>1747</v>
      </c>
      <c r="C516" s="73" t="s">
        <v>1748</v>
      </c>
      <c r="D516" s="47" t="s">
        <v>86</v>
      </c>
      <c r="E516" s="24" t="s">
        <v>29</v>
      </c>
      <c r="F516" s="47" t="s">
        <v>87</v>
      </c>
      <c r="G516" s="47" t="str">
        <f t="shared" si="1"/>
        <v>Augusto</v>
      </c>
      <c r="H516" s="48" t="s">
        <v>88</v>
      </c>
      <c r="I516" s="48" t="s">
        <v>24</v>
      </c>
      <c r="J516" s="47" t="str">
        <f t="shared" si="4"/>
        <v>Não</v>
      </c>
      <c r="K516" s="49">
        <v>45230.0</v>
      </c>
      <c r="L516" s="24"/>
      <c r="M516" s="24" t="s">
        <v>45</v>
      </c>
      <c r="N516" s="50">
        <v>0.012</v>
      </c>
      <c r="O516" s="47" t="s">
        <v>46</v>
      </c>
      <c r="P516" s="51">
        <v>0.1</v>
      </c>
      <c r="Q516" s="52"/>
      <c r="R516" s="52"/>
      <c r="S516" s="52"/>
      <c r="T516" s="24" t="s">
        <v>89</v>
      </c>
      <c r="U516" s="25" t="s">
        <v>1749</v>
      </c>
      <c r="V516" s="9" t="s">
        <v>29</v>
      </c>
      <c r="W516" s="53" t="str">
        <f t="shared" si="3"/>
        <v>Ativo</v>
      </c>
      <c r="X516" s="24"/>
      <c r="Y516" s="54" t="s">
        <v>95</v>
      </c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>
        <v>0.0</v>
      </c>
      <c r="AN516" s="56">
        <v>95859.72</v>
      </c>
      <c r="AO516" s="56">
        <v>129859.35</v>
      </c>
      <c r="AP516" s="56">
        <v>129787.32</v>
      </c>
      <c r="AQ516" s="55">
        <v>130948.12</v>
      </c>
      <c r="AR516" s="55">
        <v>132130.09</v>
      </c>
      <c r="AS516" s="55">
        <v>136774.62</v>
      </c>
      <c r="AT516" s="55">
        <f t="array" ref="AT516">XLOOKUP(C516,'PL TOTAL D0'!A:A,'PL TOTAL D0'!C:C,"")</f>
        <v>137699.3</v>
      </c>
    </row>
    <row r="517" ht="15.75" customHeight="1">
      <c r="A517" s="44" t="s">
        <v>36</v>
      </c>
      <c r="B517" s="66" t="s">
        <v>1750</v>
      </c>
      <c r="C517" s="67" t="s">
        <v>1751</v>
      </c>
      <c r="D517" s="9" t="s">
        <v>18</v>
      </c>
      <c r="E517" s="25" t="s">
        <v>29</v>
      </c>
      <c r="F517" s="9" t="s">
        <v>110</v>
      </c>
      <c r="G517" s="47" t="str">
        <f t="shared" si="1"/>
        <v>Augusto</v>
      </c>
      <c r="H517" s="53" t="s">
        <v>88</v>
      </c>
      <c r="I517" s="53" t="s">
        <v>24</v>
      </c>
      <c r="J517" s="47" t="str">
        <f t="shared" si="4"/>
        <v>Não</v>
      </c>
      <c r="K517" s="59">
        <v>45407.0</v>
      </c>
      <c r="L517" s="24"/>
      <c r="M517" s="25" t="s">
        <v>60</v>
      </c>
      <c r="N517" s="60">
        <v>0.012</v>
      </c>
      <c r="O517" s="9" t="s">
        <v>24</v>
      </c>
      <c r="P517" s="61">
        <v>0.0</v>
      </c>
      <c r="Q517" s="52"/>
      <c r="R517" s="52"/>
      <c r="S517" s="52"/>
      <c r="T517" s="25" t="s">
        <v>89</v>
      </c>
      <c r="U517" s="25" t="s">
        <v>1752</v>
      </c>
      <c r="V517" s="9" t="s">
        <v>29</v>
      </c>
      <c r="W517" s="53" t="str">
        <f t="shared" si="3"/>
        <v>Ativo</v>
      </c>
      <c r="X517" s="25" t="s">
        <v>318</v>
      </c>
      <c r="Y517" s="54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5"/>
      <c r="AR517" s="55"/>
      <c r="AS517" s="55">
        <v>0.0</v>
      </c>
      <c r="AT517" s="55">
        <f t="array" ref="AT517">XLOOKUP(C517,'PL TOTAL D0'!A:A,'PL TOTAL D0'!C:C,"")</f>
        <v>281409.2</v>
      </c>
    </row>
    <row r="518" ht="15.75" customHeight="1">
      <c r="A518" s="44" t="s">
        <v>36</v>
      </c>
      <c r="B518" s="96" t="s">
        <v>1753</v>
      </c>
      <c r="C518" s="73" t="s">
        <v>1754</v>
      </c>
      <c r="D518" s="47" t="s">
        <v>18</v>
      </c>
      <c r="E518" s="24" t="s">
        <v>29</v>
      </c>
      <c r="F518" s="47" t="s">
        <v>98</v>
      </c>
      <c r="G518" s="47" t="str">
        <f t="shared" si="1"/>
        <v>Augusto</v>
      </c>
      <c r="H518" s="53" t="s">
        <v>88</v>
      </c>
      <c r="I518" s="53" t="s">
        <v>24</v>
      </c>
      <c r="J518" s="47" t="str">
        <f t="shared" si="4"/>
        <v>Não</v>
      </c>
      <c r="K518" s="49">
        <v>45240.0</v>
      </c>
      <c r="L518" s="24"/>
      <c r="M518" s="92" t="s">
        <v>99</v>
      </c>
      <c r="N518" s="93">
        <v>0.0</v>
      </c>
      <c r="O518" s="94" t="s">
        <v>24</v>
      </c>
      <c r="P518" s="95">
        <v>0.0</v>
      </c>
      <c r="Q518" s="52"/>
      <c r="R518" s="52"/>
      <c r="S518" s="52"/>
      <c r="T518" s="24" t="s">
        <v>89</v>
      </c>
      <c r="U518" s="25" t="s">
        <v>1755</v>
      </c>
      <c r="V518" s="9" t="s">
        <v>29</v>
      </c>
      <c r="W518" s="53" t="str">
        <f t="shared" si="3"/>
        <v>Ativo</v>
      </c>
      <c r="X518" s="24"/>
      <c r="Y518" s="54" t="s">
        <v>95</v>
      </c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>
        <v>502.99</v>
      </c>
      <c r="AO518" s="56">
        <v>1010.44</v>
      </c>
      <c r="AP518" s="56">
        <v>1523.78</v>
      </c>
      <c r="AQ518" s="55">
        <v>2030.61</v>
      </c>
      <c r="AR518" s="55">
        <v>2546.54</v>
      </c>
      <c r="AS518" s="55">
        <v>3065.41</v>
      </c>
      <c r="AT518" s="55">
        <f t="array" ref="AT518">XLOOKUP(C518,'PL TOTAL D0'!A:A,'PL TOTAL D0'!C:C,"")</f>
        <v>3080.9</v>
      </c>
    </row>
    <row r="519" ht="15.75" customHeight="1">
      <c r="A519" s="44" t="s">
        <v>36</v>
      </c>
      <c r="B519" s="45" t="s">
        <v>1756</v>
      </c>
      <c r="C519" s="46" t="s">
        <v>1757</v>
      </c>
      <c r="D519" s="47" t="s">
        <v>18</v>
      </c>
      <c r="E519" s="24" t="s">
        <v>19</v>
      </c>
      <c r="F519" s="47" t="s">
        <v>201</v>
      </c>
      <c r="G519" s="47" t="str">
        <f t="shared" si="1"/>
        <v>Augusto</v>
      </c>
      <c r="H519" s="48" t="s">
        <v>88</v>
      </c>
      <c r="I519" s="48" t="s">
        <v>24</v>
      </c>
      <c r="J519" s="47" t="str">
        <f t="shared" si="4"/>
        <v>Não</v>
      </c>
      <c r="K519" s="49">
        <v>44960.0</v>
      </c>
      <c r="L519" s="24"/>
      <c r="M519" s="24" t="s">
        <v>60</v>
      </c>
      <c r="N519" s="50">
        <v>0.012</v>
      </c>
      <c r="O519" s="47" t="s">
        <v>24</v>
      </c>
      <c r="P519" s="51">
        <v>0.0</v>
      </c>
      <c r="Q519" s="106"/>
      <c r="R519" s="106"/>
      <c r="S519" s="106"/>
      <c r="T519" s="24" t="s">
        <v>89</v>
      </c>
      <c r="U519" s="25" t="s">
        <v>1758</v>
      </c>
      <c r="V519" s="9" t="s">
        <v>19</v>
      </c>
      <c r="W519" s="53" t="str">
        <f t="shared" si="3"/>
        <v>Ativo</v>
      </c>
      <c r="X519" s="24"/>
      <c r="Y519" s="54" t="s">
        <v>95</v>
      </c>
      <c r="Z519" s="56"/>
      <c r="AA519" s="56"/>
      <c r="AB519" s="56"/>
      <c r="AC519" s="56"/>
      <c r="AD519" s="56">
        <v>0.0</v>
      </c>
      <c r="AE519" s="56">
        <v>50312.02</v>
      </c>
      <c r="AF519" s="56">
        <v>50841.72</v>
      </c>
      <c r="AG519" s="56">
        <v>1017.37</v>
      </c>
      <c r="AH519" s="56">
        <v>1027.31</v>
      </c>
      <c r="AI519" s="56">
        <v>1031.59</v>
      </c>
      <c r="AJ519" s="56">
        <v>1042.93</v>
      </c>
      <c r="AK519" s="56">
        <v>1055.11</v>
      </c>
      <c r="AL519" s="56">
        <v>1065.68</v>
      </c>
      <c r="AM519" s="56">
        <v>1077.1</v>
      </c>
      <c r="AN519" s="56">
        <v>1086.71</v>
      </c>
      <c r="AO519" s="56">
        <v>1096.69</v>
      </c>
      <c r="AP519" s="56">
        <v>1107.56</v>
      </c>
      <c r="AQ519" s="55">
        <v>1116.81</v>
      </c>
      <c r="AR519" s="55">
        <v>1126.35</v>
      </c>
      <c r="AS519" s="55">
        <v>1136.6</v>
      </c>
      <c r="AT519" s="55">
        <f t="array" ref="AT519">XLOOKUP(C519,'PL TOTAL D0'!A:A,'PL TOTAL D0'!C:C,"")</f>
        <v>1142.62</v>
      </c>
    </row>
    <row r="520" ht="15.75" customHeight="1">
      <c r="A520" s="44" t="s">
        <v>36</v>
      </c>
      <c r="B520" s="45" t="s">
        <v>1759</v>
      </c>
      <c r="C520" s="46" t="s">
        <v>1760</v>
      </c>
      <c r="D520" s="47" t="s">
        <v>86</v>
      </c>
      <c r="E520" s="24" t="s">
        <v>29</v>
      </c>
      <c r="F520" s="47" t="s">
        <v>87</v>
      </c>
      <c r="G520" s="47" t="str">
        <f t="shared" si="1"/>
        <v>Bruno</v>
      </c>
      <c r="H520" s="48" t="s">
        <v>88</v>
      </c>
      <c r="I520" s="48" t="s">
        <v>24</v>
      </c>
      <c r="J520" s="47" t="str">
        <f t="shared" si="4"/>
        <v>Não</v>
      </c>
      <c r="K520" s="49">
        <v>45117.0</v>
      </c>
      <c r="L520" s="24"/>
      <c r="M520" s="24" t="s">
        <v>40</v>
      </c>
      <c r="N520" s="50">
        <v>0.007</v>
      </c>
      <c r="O520" s="47" t="s">
        <v>24</v>
      </c>
      <c r="P520" s="51">
        <v>0.0</v>
      </c>
      <c r="Q520" s="52"/>
      <c r="R520" s="106"/>
      <c r="S520" s="106"/>
      <c r="T520" s="24" t="s">
        <v>89</v>
      </c>
      <c r="U520" s="25" t="s">
        <v>1761</v>
      </c>
      <c r="V520" s="9" t="s">
        <v>715</v>
      </c>
      <c r="W520" s="53" t="str">
        <f t="shared" si="3"/>
        <v>Ativo</v>
      </c>
      <c r="X520" s="24"/>
      <c r="Y520" s="54" t="s">
        <v>95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>
        <v>0.0</v>
      </c>
      <c r="AJ520" s="56">
        <v>1504511.49</v>
      </c>
      <c r="AK520" s="56">
        <v>1521108.44</v>
      </c>
      <c r="AL520" s="56">
        <v>1534401.71</v>
      </c>
      <c r="AM520" s="56">
        <v>1549643.83</v>
      </c>
      <c r="AN520" s="56">
        <v>1562135.99</v>
      </c>
      <c r="AO520" s="56">
        <v>1575438.26</v>
      </c>
      <c r="AP520" s="56">
        <v>1624131.61</v>
      </c>
      <c r="AQ520" s="55">
        <v>1636332.85</v>
      </c>
      <c r="AR520" s="55">
        <v>1650026.08</v>
      </c>
      <c r="AS520" s="55">
        <v>1663929.51</v>
      </c>
      <c r="AT520" s="55">
        <f t="array" ref="AT520">XLOOKUP(C520,'PL TOTAL D0'!A:A,'PL TOTAL D0'!C:C,"")</f>
        <v>1671571</v>
      </c>
    </row>
    <row r="521" ht="15.75" customHeight="1">
      <c r="A521" s="44" t="s">
        <v>36</v>
      </c>
      <c r="B521" s="68" t="s">
        <v>1762</v>
      </c>
      <c r="C521" s="69" t="s">
        <v>1763</v>
      </c>
      <c r="D521" s="47" t="s">
        <v>18</v>
      </c>
      <c r="E521" s="24" t="s">
        <v>145</v>
      </c>
      <c r="F521" s="47" t="s">
        <v>171</v>
      </c>
      <c r="G521" s="47" t="str">
        <f t="shared" si="1"/>
        <v>Augusto</v>
      </c>
      <c r="H521" s="53" t="s">
        <v>88</v>
      </c>
      <c r="I521" s="53" t="s">
        <v>24</v>
      </c>
      <c r="J521" s="47" t="str">
        <f t="shared" si="4"/>
        <v>Não</v>
      </c>
      <c r="K521" s="49">
        <v>45226.0</v>
      </c>
      <c r="L521" s="24"/>
      <c r="M521" s="24" t="s">
        <v>60</v>
      </c>
      <c r="N521" s="50">
        <v>0.012</v>
      </c>
      <c r="O521" s="47" t="s">
        <v>24</v>
      </c>
      <c r="P521" s="51">
        <v>0.0</v>
      </c>
      <c r="Q521" s="52"/>
      <c r="R521" s="106"/>
      <c r="S521" s="62" t="s">
        <v>1764</v>
      </c>
      <c r="T521" s="24" t="s">
        <v>329</v>
      </c>
      <c r="U521" s="25" t="s">
        <v>1765</v>
      </c>
      <c r="V521" s="9" t="s">
        <v>149</v>
      </c>
      <c r="W521" s="53" t="str">
        <f t="shared" si="3"/>
        <v>Ativo</v>
      </c>
      <c r="X521" s="24"/>
      <c r="Y521" s="54" t="s">
        <v>91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>
        <v>0.0</v>
      </c>
      <c r="AN521" s="56">
        <v>0.0</v>
      </c>
      <c r="AO521" s="56">
        <v>218731.4</v>
      </c>
      <c r="AP521" s="56">
        <v>219765.25</v>
      </c>
      <c r="AQ521" s="55">
        <v>250522.33</v>
      </c>
      <c r="AR521" s="55">
        <v>252690.67</v>
      </c>
      <c r="AS521" s="55">
        <v>254558.91</v>
      </c>
      <c r="AT521" s="55">
        <f t="array" ref="AT521">XLOOKUP(C521,'PL TOTAL D0'!A:A,'PL TOTAL D0'!C:C,"")</f>
        <v>254385.5</v>
      </c>
    </row>
    <row r="522" ht="15.75" customHeight="1">
      <c r="A522" s="44" t="s">
        <v>36</v>
      </c>
      <c r="B522" s="45" t="s">
        <v>1766</v>
      </c>
      <c r="C522" s="46" t="s">
        <v>1767</v>
      </c>
      <c r="D522" s="47" t="s">
        <v>18</v>
      </c>
      <c r="E522" s="24" t="s">
        <v>19</v>
      </c>
      <c r="F522" s="47" t="s">
        <v>201</v>
      </c>
      <c r="G522" s="47" t="str">
        <f t="shared" si="1"/>
        <v>Breno</v>
      </c>
      <c r="H522" s="48" t="s">
        <v>88</v>
      </c>
      <c r="I522" s="48" t="s">
        <v>24</v>
      </c>
      <c r="J522" s="47" t="str">
        <f t="shared" si="4"/>
        <v>Sim</v>
      </c>
      <c r="K522" s="49">
        <v>44973.0</v>
      </c>
      <c r="L522" s="24"/>
      <c r="M522" s="24" t="s">
        <v>45</v>
      </c>
      <c r="N522" s="50">
        <v>0.012</v>
      </c>
      <c r="O522" s="47" t="s">
        <v>24</v>
      </c>
      <c r="P522" s="51">
        <v>0.0</v>
      </c>
      <c r="Q522" s="62" t="s">
        <v>1768</v>
      </c>
      <c r="R522" s="106"/>
      <c r="S522" s="106"/>
      <c r="T522" s="24" t="s">
        <v>89</v>
      </c>
      <c r="U522" s="25" t="s">
        <v>1769</v>
      </c>
      <c r="V522" s="9" t="s">
        <v>19</v>
      </c>
      <c r="W522" s="53" t="str">
        <f t="shared" si="3"/>
        <v>Ativo</v>
      </c>
      <c r="X522" s="24"/>
      <c r="Y522" s="54" t="s">
        <v>95</v>
      </c>
      <c r="Z522" s="56"/>
      <c r="AA522" s="56"/>
      <c r="AB522" s="56"/>
      <c r="AC522" s="56"/>
      <c r="AD522" s="56">
        <v>253551.03</v>
      </c>
      <c r="AE522" s="56">
        <v>302011.97</v>
      </c>
      <c r="AF522" s="56">
        <v>305056.61</v>
      </c>
      <c r="AG522" s="56">
        <v>307539.42</v>
      </c>
      <c r="AH522" s="56">
        <v>310265.38</v>
      </c>
      <c r="AI522" s="56">
        <v>311135.49</v>
      </c>
      <c r="AJ522" s="56">
        <v>313732.45</v>
      </c>
      <c r="AK522" s="56">
        <v>316128.0</v>
      </c>
      <c r="AL522" s="56">
        <v>317485.3</v>
      </c>
      <c r="AM522" s="56">
        <v>318618.01</v>
      </c>
      <c r="AN522" s="56">
        <v>320679.52</v>
      </c>
      <c r="AO522" s="56">
        <v>323091.99</v>
      </c>
      <c r="AP522" s="56">
        <v>424507.21</v>
      </c>
      <c r="AQ522" s="55">
        <v>427282.64</v>
      </c>
      <c r="AR522" s="55">
        <v>430912.15</v>
      </c>
      <c r="AS522" s="55">
        <v>434152.22</v>
      </c>
      <c r="AT522" s="55">
        <f t="array" ref="AT522">XLOOKUP(C522,'PL TOTAL D0'!A:A,'PL TOTAL D0'!C:C,"")</f>
        <v>435283.5</v>
      </c>
    </row>
    <row r="523" ht="15.75" customHeight="1">
      <c r="A523" s="6" t="s">
        <v>36</v>
      </c>
      <c r="B523" s="57" t="s">
        <v>1770</v>
      </c>
      <c r="C523" s="21" t="s">
        <v>1771</v>
      </c>
      <c r="D523" s="9" t="s">
        <v>822</v>
      </c>
      <c r="E523" s="25" t="s">
        <v>19</v>
      </c>
      <c r="F523" s="9" t="s">
        <v>823</v>
      </c>
      <c r="G523" s="47" t="str">
        <f t="shared" si="1"/>
        <v>Bruno</v>
      </c>
      <c r="H523" s="53" t="s">
        <v>88</v>
      </c>
      <c r="I523" s="53" t="s">
        <v>24</v>
      </c>
      <c r="J523" s="47" t="str">
        <f t="shared" si="4"/>
        <v>Não</v>
      </c>
      <c r="K523" s="59">
        <v>45344.0</v>
      </c>
      <c r="L523" s="24"/>
      <c r="M523" s="25" t="s">
        <v>60</v>
      </c>
      <c r="N523" s="60">
        <v>0.012</v>
      </c>
      <c r="O523" s="9" t="s">
        <v>24</v>
      </c>
      <c r="P523" s="61">
        <v>0.0</v>
      </c>
      <c r="Q523" s="52"/>
      <c r="R523" s="106"/>
      <c r="S523" s="106"/>
      <c r="T523" s="25" t="s">
        <v>89</v>
      </c>
      <c r="U523" s="23" t="s">
        <v>1772</v>
      </c>
      <c r="V523" s="9" t="s">
        <v>19</v>
      </c>
      <c r="W523" s="53" t="str">
        <f t="shared" si="3"/>
        <v>Ativo</v>
      </c>
      <c r="X523" s="24"/>
      <c r="Y523" s="54" t="s">
        <v>95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5">
        <v>1353336.36</v>
      </c>
      <c r="AR523" s="55">
        <v>1431243.69</v>
      </c>
      <c r="AS523" s="55">
        <v>1448256.37</v>
      </c>
      <c r="AT523" s="55">
        <f t="array" ref="AT523">XLOOKUP(C523,'PL TOTAL D0'!A:A,'PL TOTAL D0'!C:C,"")</f>
        <v>1504347</v>
      </c>
    </row>
    <row r="524" ht="15.75" customHeight="1">
      <c r="A524" s="44" t="s">
        <v>36</v>
      </c>
      <c r="B524" s="123" t="s">
        <v>1773</v>
      </c>
      <c r="C524" s="133" t="s">
        <v>1774</v>
      </c>
      <c r="D524" s="47" t="s">
        <v>18</v>
      </c>
      <c r="E524" s="24" t="s">
        <v>145</v>
      </c>
      <c r="F524" s="47" t="s">
        <v>171</v>
      </c>
      <c r="G524" s="47" t="str">
        <f t="shared" si="1"/>
        <v>Augusto</v>
      </c>
      <c r="H524" s="53" t="s">
        <v>88</v>
      </c>
      <c r="I524" s="53" t="s">
        <v>24</v>
      </c>
      <c r="J524" s="47" t="str">
        <f t="shared" si="4"/>
        <v>Não</v>
      </c>
      <c r="K524" s="49">
        <v>45217.0</v>
      </c>
      <c r="L524" s="24"/>
      <c r="M524" s="24" t="s">
        <v>111</v>
      </c>
      <c r="N524" s="50">
        <v>0.015</v>
      </c>
      <c r="O524" s="47" t="s">
        <v>46</v>
      </c>
      <c r="P524" s="51">
        <v>0.1</v>
      </c>
      <c r="Q524" s="106"/>
      <c r="R524" s="106"/>
      <c r="S524" s="106"/>
      <c r="T524" s="24" t="s">
        <v>89</v>
      </c>
      <c r="U524" s="25" t="s">
        <v>1775</v>
      </c>
      <c r="V524" s="9" t="s">
        <v>149</v>
      </c>
      <c r="W524" s="53" t="str">
        <f t="shared" si="3"/>
        <v>Ativo</v>
      </c>
      <c r="X524" s="24"/>
      <c r="Y524" s="54" t="s">
        <v>91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>
        <v>0.0</v>
      </c>
      <c r="AN524" s="56">
        <v>0.0</v>
      </c>
      <c r="AO524" s="56">
        <v>0.0</v>
      </c>
      <c r="AP524" s="56">
        <v>0.0</v>
      </c>
      <c r="AQ524" s="55">
        <v>0.0</v>
      </c>
      <c r="AR524" s="55">
        <v>50269.97</v>
      </c>
      <c r="AS524" s="55">
        <v>50015.82</v>
      </c>
      <c r="AT524" s="55">
        <f t="array" ref="AT524">XLOOKUP(C524,'PL TOTAL D0'!A:A,'PL TOTAL D0'!C:C,"")</f>
        <v>50443.62</v>
      </c>
    </row>
    <row r="525" ht="15.75" customHeight="1">
      <c r="A525" s="44" t="s">
        <v>36</v>
      </c>
      <c r="B525" s="63" t="s">
        <v>1776</v>
      </c>
      <c r="C525" s="46" t="s">
        <v>1777</v>
      </c>
      <c r="D525" s="47" t="s">
        <v>18</v>
      </c>
      <c r="E525" s="24" t="s">
        <v>145</v>
      </c>
      <c r="F525" s="47" t="s">
        <v>146</v>
      </c>
      <c r="G525" s="47" t="str">
        <f t="shared" si="1"/>
        <v>Bruno</v>
      </c>
      <c r="H525" s="48" t="s">
        <v>88</v>
      </c>
      <c r="I525" s="48" t="s">
        <v>24</v>
      </c>
      <c r="J525" s="47" t="str">
        <f t="shared" si="4"/>
        <v>Sim</v>
      </c>
      <c r="K525" s="49">
        <v>45155.0</v>
      </c>
      <c r="L525" s="24"/>
      <c r="M525" s="24" t="s">
        <v>45</v>
      </c>
      <c r="N525" s="50">
        <v>0.012</v>
      </c>
      <c r="O525" s="47" t="s">
        <v>24</v>
      </c>
      <c r="P525" s="51">
        <v>0.0</v>
      </c>
      <c r="Q525" s="62" t="s">
        <v>1778</v>
      </c>
      <c r="R525" s="75"/>
      <c r="S525" s="75"/>
      <c r="T525" s="24" t="s">
        <v>89</v>
      </c>
      <c r="U525" s="25" t="s">
        <v>1779</v>
      </c>
      <c r="V525" s="9" t="s">
        <v>149</v>
      </c>
      <c r="W525" s="53" t="str">
        <f t="shared" si="3"/>
        <v>Ativo</v>
      </c>
      <c r="X525" s="24"/>
      <c r="Y525" s="54" t="s">
        <v>91</v>
      </c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>
        <v>254727.21</v>
      </c>
      <c r="AL525" s="56">
        <v>276438.52</v>
      </c>
      <c r="AM525" s="56">
        <v>331459.89</v>
      </c>
      <c r="AN525" s="56">
        <v>336584.66</v>
      </c>
      <c r="AO525" s="56">
        <v>341095.63</v>
      </c>
      <c r="AP525" s="56">
        <v>589795.71</v>
      </c>
      <c r="AQ525" s="55">
        <v>634652.05</v>
      </c>
      <c r="AR525" s="55">
        <v>1042902.05</v>
      </c>
      <c r="AS525" s="55">
        <v>1040002.94</v>
      </c>
      <c r="AT525" s="55">
        <f t="array" ref="AT525">XLOOKUP(C525,'PL TOTAL D0'!A:A,'PL TOTAL D0'!C:C,"")</f>
        <v>1046634</v>
      </c>
    </row>
    <row r="526" ht="15.75" customHeight="1">
      <c r="A526" s="44" t="s">
        <v>36</v>
      </c>
      <c r="B526" s="45" t="s">
        <v>1780</v>
      </c>
      <c r="C526" s="46" t="s">
        <v>1781</v>
      </c>
      <c r="D526" s="47" t="s">
        <v>18</v>
      </c>
      <c r="E526" s="24" t="s">
        <v>19</v>
      </c>
      <c r="F526" s="47" t="s">
        <v>20</v>
      </c>
      <c r="G526" s="47" t="str">
        <f t="shared" si="1"/>
        <v>#N/A</v>
      </c>
      <c r="H526" s="53" t="s">
        <v>116</v>
      </c>
      <c r="I526" s="48" t="s">
        <v>161</v>
      </c>
      <c r="J526" s="47" t="str">
        <f t="shared" si="4"/>
        <v>Não</v>
      </c>
      <c r="K526" s="49">
        <v>45163.0</v>
      </c>
      <c r="L526" s="64"/>
      <c r="M526" s="24" t="s">
        <v>60</v>
      </c>
      <c r="N526" s="50">
        <v>0.01</v>
      </c>
      <c r="O526" s="47" t="s">
        <v>24</v>
      </c>
      <c r="P526" s="51">
        <v>0.0</v>
      </c>
      <c r="Q526" s="106"/>
      <c r="R526" s="106"/>
      <c r="S526" s="106"/>
      <c r="T526" s="24" t="s">
        <v>329</v>
      </c>
      <c r="U526" s="25" t="s">
        <v>1782</v>
      </c>
      <c r="V526" s="9" t="s">
        <v>19</v>
      </c>
      <c r="W526" s="53" t="str">
        <f t="shared" si="3"/>
        <v>Ativo</v>
      </c>
      <c r="X526" s="24"/>
      <c r="Y526" s="54" t="s">
        <v>95</v>
      </c>
      <c r="Z526" s="56"/>
      <c r="AA526" s="56"/>
      <c r="AB526" s="56"/>
      <c r="AC526" s="56"/>
      <c r="AD526" s="56"/>
      <c r="AE526" s="56"/>
      <c r="AF526" s="56">
        <v>0.0</v>
      </c>
      <c r="AG526" s="56">
        <v>0.0</v>
      </c>
      <c r="AH526" s="56">
        <v>0.0</v>
      </c>
      <c r="AI526" s="56">
        <v>0.0</v>
      </c>
      <c r="AJ526" s="56">
        <v>0.0</v>
      </c>
      <c r="AK526" s="56">
        <v>0.0</v>
      </c>
      <c r="AL526" s="56">
        <v>0.0</v>
      </c>
      <c r="AM526" s="56">
        <v>0.0</v>
      </c>
      <c r="AN526" s="56">
        <v>0.0</v>
      </c>
      <c r="AO526" s="56">
        <v>0.0</v>
      </c>
      <c r="AP526" s="56">
        <v>0.0</v>
      </c>
      <c r="AQ526" s="55">
        <v>0.0</v>
      </c>
      <c r="AR526" s="55">
        <v>0.0</v>
      </c>
      <c r="AS526" s="55">
        <v>0.0</v>
      </c>
      <c r="AT526" s="55" t="str">
        <f t="array" ref="AT526">XLOOKUP(C526,'PL TOTAL D0'!A:A,'PL TOTAL D0'!C:C,"")</f>
        <v/>
      </c>
    </row>
    <row r="527" ht="15.75" customHeight="1">
      <c r="A527" s="44" t="s">
        <v>36</v>
      </c>
      <c r="B527" s="45" t="s">
        <v>1783</v>
      </c>
      <c r="C527" s="46" t="s">
        <v>1784</v>
      </c>
      <c r="D527" s="47" t="s">
        <v>18</v>
      </c>
      <c r="E527" s="24" t="s">
        <v>19</v>
      </c>
      <c r="F527" s="47" t="s">
        <v>230</v>
      </c>
      <c r="G527" s="47" t="str">
        <f t="shared" si="1"/>
        <v>Bruno</v>
      </c>
      <c r="H527" s="48" t="s">
        <v>88</v>
      </c>
      <c r="I527" s="48" t="s">
        <v>24</v>
      </c>
      <c r="J527" s="47" t="str">
        <f t="shared" si="4"/>
        <v>Não</v>
      </c>
      <c r="K527" s="49">
        <v>44958.0</v>
      </c>
      <c r="L527" s="24"/>
      <c r="M527" s="24" t="s">
        <v>60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4" t="s">
        <v>329</v>
      </c>
      <c r="U527" s="25" t="s">
        <v>1785</v>
      </c>
      <c r="V527" s="9" t="s">
        <v>19</v>
      </c>
      <c r="W527" s="53" t="str">
        <f t="shared" si="3"/>
        <v>Ativo</v>
      </c>
      <c r="X527" s="24"/>
      <c r="Y527" s="54" t="s">
        <v>1151</v>
      </c>
      <c r="Z527" s="56"/>
      <c r="AA527" s="56"/>
      <c r="AB527" s="56"/>
      <c r="AC527" s="56"/>
      <c r="AD527" s="56">
        <v>0.0</v>
      </c>
      <c r="AE527" s="56">
        <v>2977311.65</v>
      </c>
      <c r="AF527" s="56">
        <v>1365838.92</v>
      </c>
      <c r="AG527" s="56">
        <v>1374697.27</v>
      </c>
      <c r="AH527" s="56">
        <v>1389671.12</v>
      </c>
      <c r="AI527" s="56">
        <v>1402232.72</v>
      </c>
      <c r="AJ527" s="56">
        <v>1409788.24</v>
      </c>
      <c r="AK527" s="56">
        <v>1422979.54</v>
      </c>
      <c r="AL527" s="56">
        <v>1434733.03</v>
      </c>
      <c r="AM527" s="56">
        <v>1447073.51</v>
      </c>
      <c r="AN527" s="56">
        <v>1458586.15</v>
      </c>
      <c r="AO527" s="56">
        <v>1470626.55</v>
      </c>
      <c r="AP527" s="56">
        <v>1483501.85</v>
      </c>
      <c r="AQ527" s="55">
        <v>1790089.98</v>
      </c>
      <c r="AR527" s="55">
        <v>1806232.88</v>
      </c>
      <c r="AS527" s="55">
        <v>1805004.82</v>
      </c>
      <c r="AT527" s="55">
        <f t="array" ref="AT527">XLOOKUP(C527,'PL TOTAL D0'!A:A,'PL TOTAL D0'!C:C,"")</f>
        <v>1813003</v>
      </c>
    </row>
    <row r="528" ht="15.75" customHeight="1">
      <c r="A528" s="44" t="s">
        <v>36</v>
      </c>
      <c r="B528" s="45" t="s">
        <v>1783</v>
      </c>
      <c r="C528" s="46" t="s">
        <v>1786</v>
      </c>
      <c r="D528" s="47" t="s">
        <v>18</v>
      </c>
      <c r="E528" s="24" t="s">
        <v>19</v>
      </c>
      <c r="F528" s="47" t="s">
        <v>230</v>
      </c>
      <c r="G528" s="47" t="str">
        <f t="shared" si="1"/>
        <v>Bruno</v>
      </c>
      <c r="H528" s="48" t="s">
        <v>88</v>
      </c>
      <c r="I528" s="48" t="s">
        <v>24</v>
      </c>
      <c r="J528" s="47" t="str">
        <f t="shared" si="4"/>
        <v>Não</v>
      </c>
      <c r="K528" s="49">
        <v>44998.0</v>
      </c>
      <c r="L528" s="24"/>
      <c r="M528" s="24" t="s">
        <v>60</v>
      </c>
      <c r="N528" s="50">
        <v>0.007</v>
      </c>
      <c r="O528" s="47" t="s">
        <v>24</v>
      </c>
      <c r="P528" s="51">
        <v>0.0</v>
      </c>
      <c r="Q528" s="106"/>
      <c r="R528" s="106"/>
      <c r="S528" s="106"/>
      <c r="T528" s="24" t="s">
        <v>329</v>
      </c>
      <c r="U528" s="25" t="s">
        <v>1785</v>
      </c>
      <c r="V528" s="9" t="s">
        <v>19</v>
      </c>
      <c r="W528" s="53" t="str">
        <f t="shared" si="3"/>
        <v>Ativo</v>
      </c>
      <c r="X528" s="24"/>
      <c r="Y528" s="54" t="s">
        <v>1151</v>
      </c>
      <c r="Z528" s="56"/>
      <c r="AA528" s="56"/>
      <c r="AB528" s="56"/>
      <c r="AC528" s="56"/>
      <c r="AD528" s="56">
        <v>0.0</v>
      </c>
      <c r="AE528" s="56">
        <v>0.0</v>
      </c>
      <c r="AF528" s="56">
        <v>1643644.34</v>
      </c>
      <c r="AG528" s="56">
        <v>1653139.89</v>
      </c>
      <c r="AH528" s="56">
        <v>1667434.67</v>
      </c>
      <c r="AI528" s="56">
        <v>1683033.97</v>
      </c>
      <c r="AJ528" s="56">
        <v>1694859.99</v>
      </c>
      <c r="AK528" s="56">
        <v>1710534.55</v>
      </c>
      <c r="AL528" s="56">
        <v>1716725.01</v>
      </c>
      <c r="AM528" s="56">
        <v>1732559.45</v>
      </c>
      <c r="AN528" s="56">
        <v>1744628.66</v>
      </c>
      <c r="AO528" s="56">
        <v>1759607.04</v>
      </c>
      <c r="AP528" s="56">
        <v>1772542.69</v>
      </c>
      <c r="AQ528" s="55">
        <v>1786002.2</v>
      </c>
      <c r="AR528" s="55">
        <v>1609197.92</v>
      </c>
      <c r="AS528" s="55">
        <v>1392126.01</v>
      </c>
      <c r="AT528" s="55">
        <f t="array" ref="AT528">XLOOKUP(C528,'PL TOTAL D0'!A:A,'PL TOTAL D0'!C:C,"")</f>
        <v>1392584</v>
      </c>
    </row>
    <row r="529" ht="15.75" customHeight="1">
      <c r="A529" s="44" t="s">
        <v>36</v>
      </c>
      <c r="B529" s="45" t="s">
        <v>1787</v>
      </c>
      <c r="C529" s="46" t="s">
        <v>1788</v>
      </c>
      <c r="D529" s="47" t="s">
        <v>86</v>
      </c>
      <c r="E529" s="24" t="s">
        <v>29</v>
      </c>
      <c r="F529" s="47" t="s">
        <v>371</v>
      </c>
      <c r="G529" s="47" t="str">
        <f t="shared" si="1"/>
        <v>Bruno</v>
      </c>
      <c r="H529" s="48" t="s">
        <v>88</v>
      </c>
      <c r="I529" s="48" t="s">
        <v>24</v>
      </c>
      <c r="J529" s="47" t="str">
        <f t="shared" si="4"/>
        <v>Não</v>
      </c>
      <c r="K529" s="49">
        <v>45097.0</v>
      </c>
      <c r="L529" s="24"/>
      <c r="M529" s="24" t="s">
        <v>1789</v>
      </c>
      <c r="N529" s="50">
        <v>0.01</v>
      </c>
      <c r="O529" s="47" t="s">
        <v>24</v>
      </c>
      <c r="P529" s="51">
        <v>0.0</v>
      </c>
      <c r="Q529" s="75"/>
      <c r="R529" s="75"/>
      <c r="S529" s="75"/>
      <c r="T529" s="24" t="s">
        <v>89</v>
      </c>
      <c r="U529" s="25" t="s">
        <v>1790</v>
      </c>
      <c r="V529" s="9" t="s">
        <v>180</v>
      </c>
      <c r="W529" s="53" t="str">
        <f t="shared" si="3"/>
        <v>Ativo</v>
      </c>
      <c r="X529" s="24"/>
      <c r="Y529" s="54" t="s">
        <v>91</v>
      </c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>
        <v>1162232.12</v>
      </c>
      <c r="AK529" s="56">
        <v>1174050.43</v>
      </c>
      <c r="AL529" s="56">
        <v>1240505.75</v>
      </c>
      <c r="AM529" s="56">
        <v>1249250.74</v>
      </c>
      <c r="AN529" s="56">
        <v>2179804.13</v>
      </c>
      <c r="AO529" s="56">
        <v>2195792.98</v>
      </c>
      <c r="AP529" s="56">
        <v>2213575.45</v>
      </c>
      <c r="AQ529" s="55">
        <v>2229283.49</v>
      </c>
      <c r="AR529" s="55">
        <v>2244094.95</v>
      </c>
      <c r="AS529" s="55">
        <v>2307551.76</v>
      </c>
      <c r="AT529" s="55">
        <f t="array" ref="AT529">XLOOKUP(C529,'PL TOTAL D0'!A:A,'PL TOTAL D0'!C:C,"")</f>
        <v>2315750</v>
      </c>
    </row>
    <row r="530" ht="15.75" customHeight="1">
      <c r="A530" s="44" t="s">
        <v>36</v>
      </c>
      <c r="B530" s="45" t="s">
        <v>1791</v>
      </c>
      <c r="C530" s="46" t="s">
        <v>1792</v>
      </c>
      <c r="D530" s="47" t="s">
        <v>18</v>
      </c>
      <c r="E530" s="24" t="s">
        <v>145</v>
      </c>
      <c r="F530" s="47" t="s">
        <v>146</v>
      </c>
      <c r="G530" s="47" t="str">
        <f t="shared" si="1"/>
        <v>Augusto</v>
      </c>
      <c r="H530" s="48" t="s">
        <v>88</v>
      </c>
      <c r="I530" s="48" t="s">
        <v>24</v>
      </c>
      <c r="J530" s="47" t="str">
        <f t="shared" si="4"/>
        <v>Não</v>
      </c>
      <c r="K530" s="49">
        <v>45029.0</v>
      </c>
      <c r="L530" s="24"/>
      <c r="M530" s="24" t="s">
        <v>111</v>
      </c>
      <c r="N530" s="50">
        <v>0.015</v>
      </c>
      <c r="O530" s="47" t="s">
        <v>46</v>
      </c>
      <c r="P530" s="51">
        <v>0.1</v>
      </c>
      <c r="Q530" s="106"/>
      <c r="R530" s="106"/>
      <c r="S530" s="106"/>
      <c r="T530" s="24" t="s">
        <v>89</v>
      </c>
      <c r="U530" s="25" t="s">
        <v>1793</v>
      </c>
      <c r="V530" s="9" t="s">
        <v>149</v>
      </c>
      <c r="W530" s="53" t="str">
        <f t="shared" si="3"/>
        <v>Ativo</v>
      </c>
      <c r="X530" s="24"/>
      <c r="Y530" s="54" t="s">
        <v>91</v>
      </c>
      <c r="Z530" s="56"/>
      <c r="AA530" s="56"/>
      <c r="AB530" s="56"/>
      <c r="AC530" s="56"/>
      <c r="AD530" s="56"/>
      <c r="AE530" s="56"/>
      <c r="AF530" s="56">
        <v>0.0</v>
      </c>
      <c r="AG530" s="56">
        <v>40121.16</v>
      </c>
      <c r="AH530" s="56">
        <v>40564.96</v>
      </c>
      <c r="AI530" s="56">
        <v>44081.08</v>
      </c>
      <c r="AJ530" s="56">
        <v>50609.72</v>
      </c>
      <c r="AK530" s="56">
        <v>54230.36</v>
      </c>
      <c r="AL530" s="56">
        <v>57397.44</v>
      </c>
      <c r="AM530" s="56">
        <v>60377.08</v>
      </c>
      <c r="AN530" s="56">
        <v>64473.13</v>
      </c>
      <c r="AO530" s="56">
        <v>68654.73</v>
      </c>
      <c r="AP530" s="56">
        <v>69784.91</v>
      </c>
      <c r="AQ530" s="55">
        <v>70378.04</v>
      </c>
      <c r="AR530" s="55">
        <v>75125.82</v>
      </c>
      <c r="AS530" s="55">
        <v>112362.01</v>
      </c>
      <c r="AT530" s="55">
        <f t="array" ref="AT530">XLOOKUP(C530,'PL TOTAL D0'!A:A,'PL TOTAL D0'!C:C,"")</f>
        <v>115351</v>
      </c>
    </row>
    <row r="531" ht="15.75" customHeight="1">
      <c r="A531" s="44" t="s">
        <v>36</v>
      </c>
      <c r="B531" s="63" t="s">
        <v>1794</v>
      </c>
      <c r="C531" s="46" t="s">
        <v>1795</v>
      </c>
      <c r="D531" s="47" t="s">
        <v>18</v>
      </c>
      <c r="E531" s="24" t="s">
        <v>29</v>
      </c>
      <c r="F531" s="47" t="s">
        <v>58</v>
      </c>
      <c r="G531" s="47" t="str">
        <f t="shared" si="1"/>
        <v>#N/A</v>
      </c>
      <c r="H531" s="53" t="s">
        <v>116</v>
      </c>
      <c r="I531" s="53" t="s">
        <v>161</v>
      </c>
      <c r="J531" s="47" t="str">
        <f t="shared" si="4"/>
        <v>Não</v>
      </c>
      <c r="K531" s="49">
        <v>45001.0</v>
      </c>
      <c r="L531" s="24"/>
      <c r="M531" s="24" t="s">
        <v>99</v>
      </c>
      <c r="N531" s="50">
        <v>0.0</v>
      </c>
      <c r="O531" s="47" t="s">
        <v>24</v>
      </c>
      <c r="P531" s="51">
        <v>0.0</v>
      </c>
      <c r="Q531" s="75"/>
      <c r="R531" s="52"/>
      <c r="S531" s="52"/>
      <c r="T531" s="24" t="s">
        <v>89</v>
      </c>
      <c r="U531" s="25" t="s">
        <v>1796</v>
      </c>
      <c r="V531" s="9" t="s">
        <v>29</v>
      </c>
      <c r="W531" s="53" t="str">
        <f t="shared" si="3"/>
        <v>Ativo</v>
      </c>
      <c r="X531" s="24"/>
      <c r="Y531" s="54" t="s">
        <v>95</v>
      </c>
      <c r="Z531" s="56"/>
      <c r="AA531" s="56"/>
      <c r="AB531" s="56"/>
      <c r="AC531" s="56"/>
      <c r="AD531" s="56"/>
      <c r="AE531" s="56"/>
      <c r="AF531" s="56">
        <v>240699.04</v>
      </c>
      <c r="AG531" s="56">
        <v>242683.04</v>
      </c>
      <c r="AH531" s="56">
        <v>245715.26</v>
      </c>
      <c r="AI531" s="56">
        <v>255492.88</v>
      </c>
      <c r="AJ531" s="56">
        <v>258221.49</v>
      </c>
      <c r="AK531" s="56">
        <v>261151.03</v>
      </c>
      <c r="AL531" s="56">
        <v>213028.8</v>
      </c>
      <c r="AM531" s="56">
        <v>215140.58</v>
      </c>
      <c r="AN531" s="56">
        <v>161000.5</v>
      </c>
      <c r="AO531" s="56">
        <v>160132.44</v>
      </c>
      <c r="AP531" s="56">
        <v>71056.31</v>
      </c>
      <c r="AQ531" s="55">
        <v>0.0</v>
      </c>
      <c r="AR531" s="55">
        <v>0.0</v>
      </c>
      <c r="AS531" s="55">
        <v>0.0</v>
      </c>
      <c r="AT531" s="55" t="str">
        <f t="array" ref="AT531">XLOOKUP(C531,'PL TOTAL D0'!A:A,'PL TOTAL D0'!C:C,"")</f>
        <v/>
      </c>
    </row>
    <row r="532" ht="15.75" customHeight="1">
      <c r="A532" s="44" t="s">
        <v>36</v>
      </c>
      <c r="B532" s="45" t="s">
        <v>1797</v>
      </c>
      <c r="C532" s="46" t="s">
        <v>1798</v>
      </c>
      <c r="D532" s="47" t="s">
        <v>86</v>
      </c>
      <c r="E532" s="24" t="s">
        <v>29</v>
      </c>
      <c r="F532" s="47" t="s">
        <v>1799</v>
      </c>
      <c r="G532" s="47" t="str">
        <f t="shared" si="1"/>
        <v>Augusto</v>
      </c>
      <c r="H532" s="48" t="s">
        <v>88</v>
      </c>
      <c r="I532" s="48" t="s">
        <v>24</v>
      </c>
      <c r="J532" s="47" t="str">
        <f t="shared" si="4"/>
        <v>Não</v>
      </c>
      <c r="K532" s="49">
        <v>44929.0</v>
      </c>
      <c r="L532" s="24"/>
      <c r="M532" s="24" t="s">
        <v>60</v>
      </c>
      <c r="N532" s="50">
        <v>0.012</v>
      </c>
      <c r="O532" s="47" t="s">
        <v>24</v>
      </c>
      <c r="P532" s="51">
        <v>0.0</v>
      </c>
      <c r="Q532" s="106"/>
      <c r="R532" s="106"/>
      <c r="S532" s="106"/>
      <c r="T532" s="24" t="s">
        <v>89</v>
      </c>
      <c r="U532" s="25" t="s">
        <v>1800</v>
      </c>
      <c r="V532" s="9" t="s">
        <v>19</v>
      </c>
      <c r="W532" s="53" t="str">
        <f t="shared" si="3"/>
        <v>Ativo</v>
      </c>
      <c r="X532" s="24"/>
      <c r="Y532" s="54" t="s">
        <v>91</v>
      </c>
      <c r="Z532" s="56"/>
      <c r="AA532" s="56"/>
      <c r="AB532" s="56"/>
      <c r="AC532" s="56"/>
      <c r="AD532" s="56">
        <v>295761.97</v>
      </c>
      <c r="AE532" s="56">
        <v>297479.42</v>
      </c>
      <c r="AF532" s="56">
        <v>336452.8</v>
      </c>
      <c r="AG532" s="56">
        <v>338756.18</v>
      </c>
      <c r="AH532" s="56">
        <v>342130.28</v>
      </c>
      <c r="AI532" s="56">
        <v>344541.66</v>
      </c>
      <c r="AJ532" s="56">
        <v>346952.7</v>
      </c>
      <c r="AK532" s="56">
        <v>349411.89</v>
      </c>
      <c r="AL532" s="56">
        <v>350929.21</v>
      </c>
      <c r="AM532" s="56">
        <v>353700.83</v>
      </c>
      <c r="AN532" s="56">
        <v>355768.52</v>
      </c>
      <c r="AO532" s="56">
        <v>358487.89</v>
      </c>
      <c r="AP532" s="56">
        <v>361575.81</v>
      </c>
      <c r="AQ532" s="55">
        <v>363485.83</v>
      </c>
      <c r="AR532" s="55">
        <v>365697.18</v>
      </c>
      <c r="AS532" s="55">
        <v>368502.72</v>
      </c>
      <c r="AT532" s="55">
        <f t="array" ref="AT532">XLOOKUP(C532,'PL TOTAL D0'!A:A,'PL TOTAL D0'!C:C,"")</f>
        <v>370072.6</v>
      </c>
    </row>
    <row r="533" ht="15.75" customHeight="1">
      <c r="A533" s="6" t="s">
        <v>36</v>
      </c>
      <c r="B533" s="57" t="s">
        <v>1801</v>
      </c>
      <c r="C533" s="7" t="s">
        <v>1802</v>
      </c>
      <c r="D533" s="9" t="s">
        <v>18</v>
      </c>
      <c r="E533" s="25" t="s">
        <v>29</v>
      </c>
      <c r="F533" s="9" t="s">
        <v>58</v>
      </c>
      <c r="G533" s="47" t="str">
        <f t="shared" si="1"/>
        <v>Augusto</v>
      </c>
      <c r="H533" s="53" t="s">
        <v>88</v>
      </c>
      <c r="I533" s="53" t="s">
        <v>24</v>
      </c>
      <c r="J533" s="47" t="str">
        <f t="shared" si="4"/>
        <v>Sim</v>
      </c>
      <c r="K533" s="59">
        <v>45338.0</v>
      </c>
      <c r="L533" s="24"/>
      <c r="M533" s="25" t="s">
        <v>60</v>
      </c>
      <c r="N533" s="60">
        <v>0.012</v>
      </c>
      <c r="O533" s="9" t="s">
        <v>24</v>
      </c>
      <c r="P533" s="61">
        <v>0.0</v>
      </c>
      <c r="Q533" s="15" t="s">
        <v>1803</v>
      </c>
      <c r="R533" s="106"/>
      <c r="S533" s="106"/>
      <c r="T533" s="25" t="s">
        <v>89</v>
      </c>
      <c r="U533" s="5" t="s">
        <v>1804</v>
      </c>
      <c r="V533" s="9" t="s">
        <v>29</v>
      </c>
      <c r="W533" s="53" t="str">
        <f t="shared" si="3"/>
        <v>Ativo</v>
      </c>
      <c r="X533" s="24"/>
      <c r="Y533" s="54" t="s">
        <v>95</v>
      </c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5">
        <v>422677.5</v>
      </c>
      <c r="AR533" s="55">
        <v>256538.48</v>
      </c>
      <c r="AS533" s="55">
        <v>258707.65</v>
      </c>
      <c r="AT533" s="55">
        <f t="array" ref="AT533">XLOOKUP(C533,'PL TOTAL D0'!A:A,'PL TOTAL D0'!C:C,"")</f>
        <v>248150.2</v>
      </c>
    </row>
    <row r="534" ht="15.75" customHeight="1">
      <c r="A534" s="44" t="s">
        <v>36</v>
      </c>
      <c r="B534" s="45" t="s">
        <v>1805</v>
      </c>
      <c r="C534" s="46" t="s">
        <v>1806</v>
      </c>
      <c r="D534" s="47" t="s">
        <v>18</v>
      </c>
      <c r="E534" s="24" t="s">
        <v>29</v>
      </c>
      <c r="F534" s="47" t="s">
        <v>1807</v>
      </c>
      <c r="G534" s="47" t="str">
        <f t="shared" si="1"/>
        <v>Augusto</v>
      </c>
      <c r="H534" s="48" t="s">
        <v>88</v>
      </c>
      <c r="I534" s="48" t="s">
        <v>24</v>
      </c>
      <c r="J534" s="47" t="str">
        <f t="shared" si="4"/>
        <v>Não</v>
      </c>
      <c r="K534" s="49">
        <v>44994.0</v>
      </c>
      <c r="L534" s="24"/>
      <c r="M534" s="24" t="s">
        <v>60</v>
      </c>
      <c r="N534" s="50">
        <v>0.012</v>
      </c>
      <c r="O534" s="47" t="s">
        <v>24</v>
      </c>
      <c r="P534" s="51">
        <v>0.0</v>
      </c>
      <c r="Q534" s="106"/>
      <c r="R534" s="106"/>
      <c r="S534" s="106"/>
      <c r="T534" s="24" t="s">
        <v>89</v>
      </c>
      <c r="U534" s="25" t="s">
        <v>1808</v>
      </c>
      <c r="V534" s="9" t="s">
        <v>29</v>
      </c>
      <c r="W534" s="53" t="str">
        <f t="shared" si="3"/>
        <v>Ativo</v>
      </c>
      <c r="X534" s="24"/>
      <c r="Y534" s="54" t="s">
        <v>95</v>
      </c>
      <c r="Z534" s="56"/>
      <c r="AA534" s="56"/>
      <c r="AB534" s="56"/>
      <c r="AC534" s="56"/>
      <c r="AD534" s="56"/>
      <c r="AE534" s="56">
        <v>0.0</v>
      </c>
      <c r="AF534" s="56">
        <v>165623.1</v>
      </c>
      <c r="AG534" s="56">
        <v>167201.9</v>
      </c>
      <c r="AH534" s="56">
        <v>168860.19</v>
      </c>
      <c r="AI534" s="56">
        <v>170307.91</v>
      </c>
      <c r="AJ534" s="56">
        <v>171767.27</v>
      </c>
      <c r="AK534" s="56">
        <v>152684.86</v>
      </c>
      <c r="AL534" s="56">
        <v>153125.67</v>
      </c>
      <c r="AM534" s="56">
        <v>153582.35</v>
      </c>
      <c r="AN534" s="56">
        <v>155453.48</v>
      </c>
      <c r="AO534" s="56">
        <v>157002.03</v>
      </c>
      <c r="AP534" s="56">
        <v>158147.74</v>
      </c>
      <c r="AQ534" s="55">
        <v>159045.38</v>
      </c>
      <c r="AR534" s="55">
        <v>160214.99</v>
      </c>
      <c r="AS534" s="55">
        <v>160971.11</v>
      </c>
      <c r="AT534" s="55">
        <f t="array" ref="AT534">XLOOKUP(C534,'PL TOTAL D0'!A:A,'PL TOTAL D0'!C:C,"")</f>
        <v>160646.7</v>
      </c>
    </row>
    <row r="535" ht="15.75" customHeight="1">
      <c r="A535" s="6" t="s">
        <v>36</v>
      </c>
      <c r="B535" s="57" t="s">
        <v>1809</v>
      </c>
      <c r="C535" s="58" t="s">
        <v>1810</v>
      </c>
      <c r="D535" s="9" t="s">
        <v>822</v>
      </c>
      <c r="E535" s="25" t="s">
        <v>19</v>
      </c>
      <c r="F535" s="9" t="s">
        <v>823</v>
      </c>
      <c r="G535" s="47" t="str">
        <f t="shared" si="1"/>
        <v>Breno</v>
      </c>
      <c r="H535" s="53" t="s">
        <v>88</v>
      </c>
      <c r="I535" s="53" t="s">
        <v>24</v>
      </c>
      <c r="J535" s="47" t="str">
        <f t="shared" si="4"/>
        <v>Não</v>
      </c>
      <c r="K535" s="59">
        <v>45327.0</v>
      </c>
      <c r="L535" s="24"/>
      <c r="M535" s="11" t="s">
        <v>45</v>
      </c>
      <c r="N535" s="12">
        <v>0.012</v>
      </c>
      <c r="O535" s="13" t="s">
        <v>46</v>
      </c>
      <c r="P535" s="14">
        <v>0.1</v>
      </c>
      <c r="Q535" s="106"/>
      <c r="R535" s="106"/>
      <c r="S535" s="106"/>
      <c r="T535" s="25" t="s">
        <v>89</v>
      </c>
      <c r="U535" s="25" t="s">
        <v>1811</v>
      </c>
      <c r="V535" s="9" t="s">
        <v>29</v>
      </c>
      <c r="W535" s="53" t="str">
        <f t="shared" si="3"/>
        <v>Ativo</v>
      </c>
      <c r="X535" s="24"/>
      <c r="Y535" s="54" t="s">
        <v>95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>
        <v>0.0</v>
      </c>
      <c r="AQ535" s="55">
        <v>600257.94</v>
      </c>
      <c r="AR535" s="55">
        <v>603404.57</v>
      </c>
      <c r="AS535" s="55">
        <v>681852.95</v>
      </c>
      <c r="AT535" s="55">
        <f t="array" ref="AT535">XLOOKUP(C535,'PL TOTAL D0'!A:A,'PL TOTAL D0'!C:C,"")</f>
        <v>684792.2</v>
      </c>
    </row>
    <row r="536" ht="15.75" customHeight="1">
      <c r="A536" s="44" t="s">
        <v>36</v>
      </c>
      <c r="B536" s="45" t="s">
        <v>1812</v>
      </c>
      <c r="C536" s="46" t="s">
        <v>1813</v>
      </c>
      <c r="D536" s="47" t="s">
        <v>18</v>
      </c>
      <c r="E536" s="24" t="s">
        <v>19</v>
      </c>
      <c r="F536" s="47" t="s">
        <v>20</v>
      </c>
      <c r="G536" s="47" t="str">
        <f t="shared" si="1"/>
        <v>Augusto</v>
      </c>
      <c r="H536" s="48" t="s">
        <v>88</v>
      </c>
      <c r="I536" s="48" t="s">
        <v>24</v>
      </c>
      <c r="J536" s="47" t="str">
        <f t="shared" si="4"/>
        <v>Sim</v>
      </c>
      <c r="K536" s="49">
        <v>45098.0</v>
      </c>
      <c r="L536" s="64"/>
      <c r="M536" s="24" t="s">
        <v>60</v>
      </c>
      <c r="N536" s="50">
        <v>0.012</v>
      </c>
      <c r="O536" s="47" t="s">
        <v>24</v>
      </c>
      <c r="P536" s="51">
        <v>0.0</v>
      </c>
      <c r="Q536" s="62" t="s">
        <v>1814</v>
      </c>
      <c r="R536" s="52"/>
      <c r="S536" s="52"/>
      <c r="T536" s="24" t="s">
        <v>89</v>
      </c>
      <c r="U536" s="25" t="s">
        <v>1815</v>
      </c>
      <c r="V536" s="9" t="s">
        <v>19</v>
      </c>
      <c r="W536" s="53" t="str">
        <f t="shared" si="3"/>
        <v>Ativo</v>
      </c>
      <c r="X536" s="24"/>
      <c r="Y536" s="54" t="s">
        <v>95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>
        <v>28087.71</v>
      </c>
      <c r="AJ536" s="56">
        <v>353259.52</v>
      </c>
      <c r="AK536" s="56">
        <v>356967.54</v>
      </c>
      <c r="AL536" s="56">
        <v>359380.24</v>
      </c>
      <c r="AM536" s="56">
        <v>362555.21</v>
      </c>
      <c r="AN536" s="56">
        <v>365243.39</v>
      </c>
      <c r="AO536" s="56">
        <v>367695.2</v>
      </c>
      <c r="AP536" s="56">
        <v>370412.66</v>
      </c>
      <c r="AQ536" s="55">
        <v>372718.31</v>
      </c>
      <c r="AR536" s="55">
        <v>125398.61</v>
      </c>
      <c r="AS536" s="55">
        <v>126260.57</v>
      </c>
      <c r="AT536" s="55">
        <f t="array" ref="AT536">XLOOKUP(C536,'PL TOTAL D0'!A:A,'PL TOTAL D0'!C:C,"")</f>
        <v>93958.45</v>
      </c>
    </row>
    <row r="537" ht="15.75" customHeight="1">
      <c r="A537" s="44" t="s">
        <v>36</v>
      </c>
      <c r="B537" s="45" t="s">
        <v>1816</v>
      </c>
      <c r="C537" s="46" t="s">
        <v>1817</v>
      </c>
      <c r="D537" s="47" t="s">
        <v>18</v>
      </c>
      <c r="E537" s="24" t="s">
        <v>29</v>
      </c>
      <c r="F537" s="47" t="s">
        <v>110</v>
      </c>
      <c r="G537" s="47" t="str">
        <f t="shared" si="1"/>
        <v>Augusto</v>
      </c>
      <c r="H537" s="53" t="s">
        <v>88</v>
      </c>
      <c r="I537" s="53" t="s">
        <v>24</v>
      </c>
      <c r="J537" s="47" t="str">
        <f t="shared" si="4"/>
        <v>Não</v>
      </c>
      <c r="K537" s="49">
        <v>44928.0</v>
      </c>
      <c r="L537" s="24"/>
      <c r="M537" s="25" t="s">
        <v>45</v>
      </c>
      <c r="N537" s="50">
        <v>0.0</v>
      </c>
      <c r="O537" s="47" t="s">
        <v>24</v>
      </c>
      <c r="P537" s="51">
        <v>0.0</v>
      </c>
      <c r="Q537" s="106"/>
      <c r="R537" s="106"/>
      <c r="S537" s="106"/>
      <c r="T537" s="24" t="s">
        <v>89</v>
      </c>
      <c r="U537" s="25" t="s">
        <v>1818</v>
      </c>
      <c r="V537" s="9" t="s">
        <v>29</v>
      </c>
      <c r="W537" s="53" t="str">
        <f t="shared" si="3"/>
        <v>Ativo</v>
      </c>
      <c r="X537" s="24"/>
      <c r="Y537" s="54" t="s">
        <v>95</v>
      </c>
      <c r="Z537" s="56"/>
      <c r="AA537" s="56"/>
      <c r="AB537" s="56"/>
      <c r="AC537" s="56">
        <v>64015.93</v>
      </c>
      <c r="AD537" s="56">
        <v>59888.92</v>
      </c>
      <c r="AE537" s="56">
        <v>44917.04</v>
      </c>
      <c r="AF537" s="56">
        <v>46776.24</v>
      </c>
      <c r="AG537" s="56">
        <v>51910.5</v>
      </c>
      <c r="AH537" s="56">
        <v>56248.95</v>
      </c>
      <c r="AI537" s="56">
        <v>56870.02</v>
      </c>
      <c r="AJ537" s="56">
        <v>41471.87</v>
      </c>
      <c r="AK537" s="56">
        <v>46115.8</v>
      </c>
      <c r="AL537" s="56">
        <v>42232.68</v>
      </c>
      <c r="AM537" s="56">
        <v>39568.06</v>
      </c>
      <c r="AN537" s="56">
        <v>43508.72</v>
      </c>
      <c r="AO537" s="56">
        <v>64045.57</v>
      </c>
      <c r="AP537" s="56">
        <v>66948.91</v>
      </c>
      <c r="AQ537" s="55">
        <v>67122.48</v>
      </c>
      <c r="AR537" s="55">
        <v>68171.38</v>
      </c>
      <c r="AS537" s="55">
        <v>68787.96</v>
      </c>
      <c r="AT537" s="55">
        <f t="array" ref="AT537">XLOOKUP(C537,'PL TOTAL D0'!A:A,'PL TOTAL D0'!C:C,"")</f>
        <v>69647.37</v>
      </c>
    </row>
    <row r="538" ht="15.75" customHeight="1">
      <c r="A538" s="44" t="s">
        <v>36</v>
      </c>
      <c r="B538" s="45" t="s">
        <v>1819</v>
      </c>
      <c r="C538" s="46" t="s">
        <v>1820</v>
      </c>
      <c r="D538" s="47" t="s">
        <v>18</v>
      </c>
      <c r="E538" s="24" t="s">
        <v>145</v>
      </c>
      <c r="F538" s="47" t="s">
        <v>146</v>
      </c>
      <c r="G538" s="47" t="str">
        <f t="shared" si="1"/>
        <v>Augusto</v>
      </c>
      <c r="H538" s="53" t="s">
        <v>88</v>
      </c>
      <c r="I538" s="53" t="s">
        <v>24</v>
      </c>
      <c r="J538" s="47" t="str">
        <f t="shared" si="4"/>
        <v>Não</v>
      </c>
      <c r="K538" s="49">
        <v>45163.0</v>
      </c>
      <c r="L538" s="64"/>
      <c r="M538" s="24" t="s">
        <v>111</v>
      </c>
      <c r="N538" s="50">
        <v>0.015</v>
      </c>
      <c r="O538" s="47" t="s">
        <v>46</v>
      </c>
      <c r="P538" s="51">
        <v>0.1</v>
      </c>
      <c r="Q538" s="65"/>
      <c r="R538" s="106"/>
      <c r="S538" s="62" t="s">
        <v>1821</v>
      </c>
      <c r="T538" s="24" t="s">
        <v>89</v>
      </c>
      <c r="U538" s="25" t="s">
        <v>1822</v>
      </c>
      <c r="V538" s="9" t="s">
        <v>149</v>
      </c>
      <c r="W538" s="53" t="str">
        <f t="shared" si="3"/>
        <v>Ativo</v>
      </c>
      <c r="X538" s="24"/>
      <c r="Y538" s="54" t="s">
        <v>91</v>
      </c>
      <c r="Z538" s="56"/>
      <c r="AA538" s="56"/>
      <c r="AB538" s="56"/>
      <c r="AC538" s="56"/>
      <c r="AD538" s="56"/>
      <c r="AE538" s="56"/>
      <c r="AF538" s="56">
        <v>0.0</v>
      </c>
      <c r="AG538" s="56">
        <v>0.0</v>
      </c>
      <c r="AH538" s="56">
        <v>0.0</v>
      </c>
      <c r="AI538" s="56">
        <v>0.0</v>
      </c>
      <c r="AJ538" s="56">
        <v>0.0</v>
      </c>
      <c r="AK538" s="56">
        <v>0.0</v>
      </c>
      <c r="AL538" s="56">
        <v>0.0</v>
      </c>
      <c r="AM538" s="56">
        <v>0.0</v>
      </c>
      <c r="AN538" s="56">
        <v>0.0</v>
      </c>
      <c r="AO538" s="56">
        <v>0.0</v>
      </c>
      <c r="AP538" s="56">
        <v>138546.58</v>
      </c>
      <c r="AQ538" s="55">
        <v>139562.43</v>
      </c>
      <c r="AR538" s="55">
        <v>140246.64</v>
      </c>
      <c r="AS538" s="55">
        <v>139258.12</v>
      </c>
      <c r="AT538" s="55">
        <f t="array" ref="AT538">XLOOKUP(C538,'PL TOTAL D0'!A:A,'PL TOTAL D0'!C:C,"")</f>
        <v>140571.3</v>
      </c>
    </row>
    <row r="539" ht="15.75" customHeight="1">
      <c r="A539" s="44" t="s">
        <v>36</v>
      </c>
      <c r="B539" s="114" t="s">
        <v>1823</v>
      </c>
      <c r="C539" s="46" t="s">
        <v>1824</v>
      </c>
      <c r="D539" s="47" t="s">
        <v>18</v>
      </c>
      <c r="E539" s="24" t="s">
        <v>145</v>
      </c>
      <c r="F539" s="47" t="s">
        <v>146</v>
      </c>
      <c r="G539" s="47" t="str">
        <f t="shared" si="1"/>
        <v>#N/A</v>
      </c>
      <c r="H539" s="48" t="s">
        <v>157</v>
      </c>
      <c r="I539" s="48" t="s">
        <v>161</v>
      </c>
      <c r="J539" s="47" t="str">
        <f t="shared" si="4"/>
        <v>Não</v>
      </c>
      <c r="K539" s="49">
        <v>45035.0</v>
      </c>
      <c r="L539" s="120">
        <v>45273.0</v>
      </c>
      <c r="M539" s="24" t="s">
        <v>60</v>
      </c>
      <c r="N539" s="50">
        <v>0.012</v>
      </c>
      <c r="O539" s="47" t="s">
        <v>24</v>
      </c>
      <c r="P539" s="51">
        <v>0.0</v>
      </c>
      <c r="Q539" s="62"/>
      <c r="R539" s="52"/>
      <c r="S539" s="62"/>
      <c r="T539" s="24" t="s">
        <v>89</v>
      </c>
      <c r="U539" s="25" t="s">
        <v>1822</v>
      </c>
      <c r="V539" s="9" t="s">
        <v>149</v>
      </c>
      <c r="W539" s="53" t="str">
        <f t="shared" si="3"/>
        <v>Encerrado</v>
      </c>
      <c r="X539" s="24"/>
      <c r="Y539" s="54"/>
      <c r="Z539" s="56"/>
      <c r="AA539" s="56"/>
      <c r="AB539" s="56"/>
      <c r="AC539" s="56"/>
      <c r="AD539" s="56"/>
      <c r="AE539" s="56"/>
      <c r="AF539" s="56">
        <v>0.0</v>
      </c>
      <c r="AG539" s="56">
        <v>701737.29</v>
      </c>
      <c r="AH539" s="56">
        <v>709516.96</v>
      </c>
      <c r="AI539" s="56">
        <v>311081.44</v>
      </c>
      <c r="AJ539" s="56">
        <v>313149.4</v>
      </c>
      <c r="AK539" s="56">
        <v>313634.66</v>
      </c>
      <c r="AL539" s="56">
        <v>3.86</v>
      </c>
      <c r="AM539" s="56">
        <v>3.86</v>
      </c>
      <c r="AN539" s="56">
        <v>3.86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36</v>
      </c>
      <c r="B540" s="45" t="s">
        <v>1825</v>
      </c>
      <c r="C540" s="46" t="s">
        <v>1826</v>
      </c>
      <c r="D540" s="47" t="s">
        <v>18</v>
      </c>
      <c r="E540" s="24" t="s">
        <v>145</v>
      </c>
      <c r="F540" s="47" t="s">
        <v>478</v>
      </c>
      <c r="G540" s="47" t="str">
        <f t="shared" si="1"/>
        <v>#N/A</v>
      </c>
      <c r="H540" s="48" t="s">
        <v>116</v>
      </c>
      <c r="I540" s="48" t="s">
        <v>161</v>
      </c>
      <c r="J540" s="47" t="str">
        <f t="shared" si="4"/>
        <v>Não</v>
      </c>
      <c r="K540" s="49">
        <v>45163.0</v>
      </c>
      <c r="L540" s="64"/>
      <c r="M540" s="24" t="s">
        <v>60</v>
      </c>
      <c r="N540" s="50">
        <v>0.007</v>
      </c>
      <c r="O540" s="47" t="s">
        <v>24</v>
      </c>
      <c r="P540" s="51">
        <v>0.0</v>
      </c>
      <c r="Q540" s="106"/>
      <c r="R540" s="106"/>
      <c r="S540" s="52" t="s">
        <v>930</v>
      </c>
      <c r="T540" s="24" t="s">
        <v>89</v>
      </c>
      <c r="U540" s="25" t="s">
        <v>1827</v>
      </c>
      <c r="V540" s="9" t="s">
        <v>180</v>
      </c>
      <c r="W540" s="53" t="str">
        <f t="shared" si="3"/>
        <v>Ativo</v>
      </c>
      <c r="X540" s="24"/>
      <c r="Y540" s="54" t="s">
        <v>91</v>
      </c>
      <c r="Z540" s="56"/>
      <c r="AA540" s="56"/>
      <c r="AB540" s="56"/>
      <c r="AC540" s="56"/>
      <c r="AD540" s="56"/>
      <c r="AE540" s="56"/>
      <c r="AF540" s="56"/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1828</v>
      </c>
      <c r="C541" s="46" t="s">
        <v>1829</v>
      </c>
      <c r="D541" s="47" t="s">
        <v>18</v>
      </c>
      <c r="E541" s="24" t="s">
        <v>145</v>
      </c>
      <c r="F541" s="47" t="s">
        <v>146</v>
      </c>
      <c r="G541" s="47" t="str">
        <f t="shared" si="1"/>
        <v>#N/A</v>
      </c>
      <c r="H541" s="48" t="s">
        <v>116</v>
      </c>
      <c r="I541" s="48" t="s">
        <v>161</v>
      </c>
      <c r="J541" s="47" t="str">
        <f t="shared" si="4"/>
        <v>Não</v>
      </c>
      <c r="K541" s="49">
        <v>45163.0</v>
      </c>
      <c r="L541" s="64"/>
      <c r="M541" s="24" t="s">
        <v>60</v>
      </c>
      <c r="N541" s="50">
        <v>0.012</v>
      </c>
      <c r="O541" s="47" t="s">
        <v>24</v>
      </c>
      <c r="P541" s="51">
        <v>0.0</v>
      </c>
      <c r="Q541" s="106"/>
      <c r="R541" s="106"/>
      <c r="S541" s="216" t="s">
        <v>1830</v>
      </c>
      <c r="T541" s="24" t="s">
        <v>89</v>
      </c>
      <c r="U541" s="25" t="s">
        <v>1831</v>
      </c>
      <c r="V541" s="9" t="s">
        <v>149</v>
      </c>
      <c r="W541" s="53" t="str">
        <f t="shared" si="3"/>
        <v>Ativo</v>
      </c>
      <c r="X541" s="24"/>
      <c r="Y541" s="54" t="s">
        <v>91</v>
      </c>
      <c r="Z541" s="56"/>
      <c r="AA541" s="56"/>
      <c r="AB541" s="56"/>
      <c r="AC541" s="56"/>
      <c r="AD541" s="56"/>
      <c r="AE541" s="56"/>
      <c r="AF541" s="56">
        <v>0.0</v>
      </c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0.0</v>
      </c>
      <c r="AQ541" s="55">
        <v>0.0</v>
      </c>
      <c r="AR541" s="55">
        <v>0.0</v>
      </c>
      <c r="AS541" s="55">
        <v>0.0</v>
      </c>
      <c r="AT541" s="55" t="str">
        <f t="array" ref="AT541">XLOOKUP(C541,'PL TOTAL D0'!A:A,'PL TOTAL D0'!C:C,"")</f>
        <v/>
      </c>
    </row>
    <row r="542" ht="15.75" customHeight="1">
      <c r="A542" s="44" t="s">
        <v>36</v>
      </c>
      <c r="B542" s="45" t="s">
        <v>1832</v>
      </c>
      <c r="C542" s="46" t="s">
        <v>1833</v>
      </c>
      <c r="D542" s="47" t="s">
        <v>86</v>
      </c>
      <c r="E542" s="24" t="s">
        <v>29</v>
      </c>
      <c r="F542" s="47" t="s">
        <v>87</v>
      </c>
      <c r="G542" s="47" t="str">
        <f t="shared" si="1"/>
        <v>Breno</v>
      </c>
      <c r="H542" s="48" t="s">
        <v>88</v>
      </c>
      <c r="I542" s="48" t="s">
        <v>24</v>
      </c>
      <c r="J542" s="47" t="str">
        <f t="shared" si="4"/>
        <v>Não</v>
      </c>
      <c r="K542" s="49">
        <v>45082.0</v>
      </c>
      <c r="L542" s="64"/>
      <c r="M542" s="24" t="s">
        <v>243</v>
      </c>
      <c r="N542" s="50">
        <v>0.018</v>
      </c>
      <c r="O542" s="47" t="s">
        <v>46</v>
      </c>
      <c r="P542" s="51">
        <v>0.2</v>
      </c>
      <c r="Q542" s="75"/>
      <c r="R542" s="75"/>
      <c r="S542" s="75"/>
      <c r="T542" s="24" t="s">
        <v>89</v>
      </c>
      <c r="U542" s="25" t="s">
        <v>1834</v>
      </c>
      <c r="V542" s="9" t="s">
        <v>29</v>
      </c>
      <c r="W542" s="53" t="str">
        <f t="shared" si="3"/>
        <v>Ativo</v>
      </c>
      <c r="X542" s="24"/>
      <c r="Y542" s="54" t="s">
        <v>91</v>
      </c>
      <c r="Z542" s="56"/>
      <c r="AA542" s="56"/>
      <c r="AB542" s="56"/>
      <c r="AC542" s="56"/>
      <c r="AD542" s="56"/>
      <c r="AE542" s="56"/>
      <c r="AF542" s="56"/>
      <c r="AG542" s="56">
        <v>0.0</v>
      </c>
      <c r="AH542" s="56">
        <v>0.0</v>
      </c>
      <c r="AI542" s="56">
        <v>623400.99</v>
      </c>
      <c r="AJ542" s="56">
        <v>681159.69</v>
      </c>
      <c r="AK542" s="56">
        <v>701601.4</v>
      </c>
      <c r="AL542" s="56">
        <v>692743.23</v>
      </c>
      <c r="AM542" s="56">
        <v>688107.42</v>
      </c>
      <c r="AN542" s="56">
        <v>701645.17</v>
      </c>
      <c r="AO542" s="56">
        <v>721860.49</v>
      </c>
      <c r="AP542" s="56">
        <v>688520.55</v>
      </c>
      <c r="AQ542" s="55">
        <v>695565.07</v>
      </c>
      <c r="AR542" s="55">
        <v>703252.34</v>
      </c>
      <c r="AS542" s="55">
        <v>688431.26</v>
      </c>
      <c r="AT542" s="55">
        <f t="array" ref="AT542">XLOOKUP(C542,'PL TOTAL D0'!A:A,'PL TOTAL D0'!C:C,"")</f>
        <v>695554.3</v>
      </c>
    </row>
    <row r="543" ht="15.75" customHeight="1">
      <c r="A543" s="44" t="s">
        <v>36</v>
      </c>
      <c r="B543" s="45" t="s">
        <v>1835</v>
      </c>
      <c r="C543" s="46" t="s">
        <v>1836</v>
      </c>
      <c r="D543" s="47" t="s">
        <v>18</v>
      </c>
      <c r="E543" s="24" t="s">
        <v>19</v>
      </c>
      <c r="F543" s="47" t="s">
        <v>20</v>
      </c>
      <c r="G543" s="47" t="str">
        <f t="shared" si="1"/>
        <v>Augusto</v>
      </c>
      <c r="H543" s="53" t="s">
        <v>88</v>
      </c>
      <c r="I543" s="53" t="s">
        <v>24</v>
      </c>
      <c r="J543" s="47" t="str">
        <f t="shared" si="4"/>
        <v>Não</v>
      </c>
      <c r="K543" s="49">
        <v>44994.0</v>
      </c>
      <c r="L543" s="24"/>
      <c r="M543" s="25" t="s">
        <v>60</v>
      </c>
      <c r="N543" s="60">
        <v>0.012</v>
      </c>
      <c r="O543" s="9" t="s">
        <v>24</v>
      </c>
      <c r="P543" s="61">
        <v>0.0</v>
      </c>
      <c r="Q543" s="76"/>
      <c r="R543" s="75"/>
      <c r="S543" s="76" t="s">
        <v>530</v>
      </c>
      <c r="T543" s="24" t="s">
        <v>89</v>
      </c>
      <c r="U543" s="25" t="s">
        <v>1837</v>
      </c>
      <c r="V543" s="9" t="s">
        <v>19</v>
      </c>
      <c r="W543" s="53" t="str">
        <f t="shared" si="3"/>
        <v>Ativo</v>
      </c>
      <c r="X543" s="24"/>
      <c r="Y543" s="54" t="s">
        <v>95</v>
      </c>
      <c r="Z543" s="56"/>
      <c r="AA543" s="56"/>
      <c r="AB543" s="56"/>
      <c r="AC543" s="56"/>
      <c r="AD543" s="56"/>
      <c r="AE543" s="56">
        <v>0.0</v>
      </c>
      <c r="AF543" s="56">
        <v>104644.9</v>
      </c>
      <c r="AG543" s="56">
        <v>104992.36</v>
      </c>
      <c r="AH543" s="56">
        <v>106366.95</v>
      </c>
      <c r="AI543" s="56">
        <v>107455.17</v>
      </c>
      <c r="AJ543" s="56">
        <v>108307.08</v>
      </c>
      <c r="AK543" s="56">
        <v>109381.01</v>
      </c>
      <c r="AL543" s="56">
        <v>110181.84</v>
      </c>
      <c r="AM543" s="56">
        <v>110541.69</v>
      </c>
      <c r="AN543" s="56">
        <v>111342.3</v>
      </c>
      <c r="AO543" s="56">
        <v>112177.45</v>
      </c>
      <c r="AP543" s="56">
        <v>113123.62</v>
      </c>
      <c r="AQ543" s="55">
        <v>113982.99</v>
      </c>
      <c r="AR543" s="55">
        <v>114402.67</v>
      </c>
      <c r="AS543" s="55">
        <v>115227.91</v>
      </c>
      <c r="AT543" s="55">
        <f t="array" ref="AT543">XLOOKUP(C543,'PL TOTAL D0'!A:A,'PL TOTAL D0'!C:C,"")</f>
        <v>115617.4</v>
      </c>
    </row>
    <row r="544" ht="15.75" customHeight="1">
      <c r="A544" s="44" t="s">
        <v>36</v>
      </c>
      <c r="B544" s="66" t="s">
        <v>1838</v>
      </c>
      <c r="C544" s="67" t="s">
        <v>1839</v>
      </c>
      <c r="D544" s="9" t="s">
        <v>18</v>
      </c>
      <c r="E544" s="25" t="s">
        <v>29</v>
      </c>
      <c r="F544" s="9" t="s">
        <v>569</v>
      </c>
      <c r="G544" s="47" t="str">
        <f t="shared" si="1"/>
        <v>Breno</v>
      </c>
      <c r="H544" s="53" t="s">
        <v>88</v>
      </c>
      <c r="I544" s="53" t="s">
        <v>24</v>
      </c>
      <c r="J544" s="47" t="str">
        <f t="shared" si="4"/>
        <v>Não</v>
      </c>
      <c r="K544" s="59">
        <v>45408.0</v>
      </c>
      <c r="L544" s="24"/>
      <c r="M544" s="25" t="s">
        <v>60</v>
      </c>
      <c r="N544" s="60">
        <v>0.012</v>
      </c>
      <c r="O544" s="9" t="s">
        <v>24</v>
      </c>
      <c r="P544" s="61">
        <v>0.0</v>
      </c>
      <c r="Q544" s="76"/>
      <c r="R544" s="75"/>
      <c r="S544" s="76"/>
      <c r="T544" s="25" t="s">
        <v>89</v>
      </c>
      <c r="U544" s="25" t="s">
        <v>1840</v>
      </c>
      <c r="V544" s="9" t="s">
        <v>29</v>
      </c>
      <c r="W544" s="53" t="str">
        <f t="shared" si="3"/>
        <v>Ativo</v>
      </c>
      <c r="X544" s="25" t="s">
        <v>48</v>
      </c>
      <c r="Y544" s="54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5"/>
      <c r="AR544" s="55"/>
      <c r="AS544" s="55">
        <v>0.0</v>
      </c>
      <c r="AT544" s="55">
        <f t="array" ref="AT544">XLOOKUP(C544,'PL TOTAL D0'!A:A,'PL TOTAL D0'!C:C,"")</f>
        <v>469332.2</v>
      </c>
    </row>
    <row r="545" ht="15.75" customHeight="1">
      <c r="A545" s="44" t="s">
        <v>36</v>
      </c>
      <c r="B545" s="45" t="s">
        <v>1841</v>
      </c>
      <c r="C545" s="46" t="s">
        <v>1842</v>
      </c>
      <c r="D545" s="47" t="s">
        <v>86</v>
      </c>
      <c r="E545" s="24" t="s">
        <v>29</v>
      </c>
      <c r="F545" s="47" t="s">
        <v>87</v>
      </c>
      <c r="G545" s="47" t="str">
        <f t="shared" si="1"/>
        <v>Bruno</v>
      </c>
      <c r="H545" s="48" t="s">
        <v>88</v>
      </c>
      <c r="I545" s="48" t="s">
        <v>24</v>
      </c>
      <c r="J545" s="47" t="str">
        <f t="shared" si="4"/>
        <v>Sim</v>
      </c>
      <c r="K545" s="49">
        <v>45089.0</v>
      </c>
      <c r="L545" s="24"/>
      <c r="M545" s="24" t="s">
        <v>552</v>
      </c>
      <c r="N545" s="50">
        <v>0.008</v>
      </c>
      <c r="O545" s="47" t="s">
        <v>24</v>
      </c>
      <c r="P545" s="51">
        <v>0.0</v>
      </c>
      <c r="Q545" s="217" t="s">
        <v>1843</v>
      </c>
      <c r="R545" s="52"/>
      <c r="S545" s="52"/>
      <c r="T545" s="24" t="s">
        <v>89</v>
      </c>
      <c r="U545" s="25" t="s">
        <v>1844</v>
      </c>
      <c r="V545" s="9" t="s">
        <v>29</v>
      </c>
      <c r="W545" s="53" t="str">
        <f t="shared" si="3"/>
        <v>Ativo</v>
      </c>
      <c r="X545" s="24"/>
      <c r="Y545" s="54" t="s">
        <v>95</v>
      </c>
      <c r="Z545" s="56"/>
      <c r="AA545" s="56"/>
      <c r="AB545" s="56"/>
      <c r="AC545" s="56"/>
      <c r="AD545" s="56"/>
      <c r="AE545" s="56"/>
      <c r="AF545" s="56"/>
      <c r="AG545" s="56">
        <v>0.0</v>
      </c>
      <c r="AH545" s="56">
        <v>0.0</v>
      </c>
      <c r="AI545" s="56">
        <v>844672.09</v>
      </c>
      <c r="AJ545" s="56">
        <v>1470305.87</v>
      </c>
      <c r="AK545" s="56">
        <v>1550885.26</v>
      </c>
      <c r="AL545" s="56">
        <v>1818215.96</v>
      </c>
      <c r="AM545" s="56">
        <v>1901777.71</v>
      </c>
      <c r="AN545" s="56">
        <v>1783134.08</v>
      </c>
      <c r="AO545" s="56">
        <v>2044607.24</v>
      </c>
      <c r="AP545" s="56">
        <v>2055002.86</v>
      </c>
      <c r="AQ545" s="55">
        <v>2110226.61</v>
      </c>
      <c r="AR545" s="55">
        <v>2137864.26</v>
      </c>
      <c r="AS545" s="55">
        <v>2137697.55</v>
      </c>
      <c r="AT545" s="55">
        <f t="array" ref="AT545">XLOOKUP(C545,'PL TOTAL D0'!A:A,'PL TOTAL D0'!C:C,"")</f>
        <v>2151158</v>
      </c>
    </row>
    <row r="546" ht="15.75" customHeight="1">
      <c r="A546" s="44" t="s">
        <v>36</v>
      </c>
      <c r="B546" s="45" t="s">
        <v>1845</v>
      </c>
      <c r="C546" s="46" t="s">
        <v>1846</v>
      </c>
      <c r="D546" s="47" t="s">
        <v>18</v>
      </c>
      <c r="E546" s="24" t="s">
        <v>29</v>
      </c>
      <c r="F546" s="47" t="s">
        <v>137</v>
      </c>
      <c r="G546" s="47" t="str">
        <f t="shared" si="1"/>
        <v>Breno</v>
      </c>
      <c r="H546" s="48" t="s">
        <v>88</v>
      </c>
      <c r="I546" s="48" t="s">
        <v>24</v>
      </c>
      <c r="J546" s="47" t="str">
        <f t="shared" si="4"/>
        <v>Não</v>
      </c>
      <c r="K546" s="49">
        <v>44986.0</v>
      </c>
      <c r="L546" s="24"/>
      <c r="M546" s="24" t="s">
        <v>60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4" t="s">
        <v>89</v>
      </c>
      <c r="U546" s="25" t="s">
        <v>1847</v>
      </c>
      <c r="V546" s="9" t="s">
        <v>29</v>
      </c>
      <c r="W546" s="53" t="str">
        <f t="shared" si="3"/>
        <v>Ativo</v>
      </c>
      <c r="X546" s="24"/>
      <c r="Y546" s="54" t="s">
        <v>95</v>
      </c>
      <c r="Z546" s="56"/>
      <c r="AA546" s="56"/>
      <c r="AB546" s="56"/>
      <c r="AC546" s="56"/>
      <c r="AD546" s="56"/>
      <c r="AE546" s="56">
        <v>0.0</v>
      </c>
      <c r="AF546" s="56">
        <v>397131.76</v>
      </c>
      <c r="AG546" s="56">
        <v>400319.23</v>
      </c>
      <c r="AH546" s="56">
        <v>403819.67</v>
      </c>
      <c r="AI546" s="56">
        <v>407595.85</v>
      </c>
      <c r="AJ546" s="56">
        <v>410402.21</v>
      </c>
      <c r="AK546" s="56">
        <v>413976.63</v>
      </c>
      <c r="AL546" s="56">
        <v>416683.62</v>
      </c>
      <c r="AM546" s="56">
        <v>420357.87</v>
      </c>
      <c r="AN546" s="56">
        <v>423410.5</v>
      </c>
      <c r="AO546" s="56">
        <v>426737.93</v>
      </c>
      <c r="AP546" s="56">
        <v>429986.35</v>
      </c>
      <c r="AQ546" s="55">
        <v>433344.55</v>
      </c>
      <c r="AR546" s="55">
        <v>436678.49</v>
      </c>
      <c r="AS546" s="55">
        <v>437700.48</v>
      </c>
      <c r="AT546" s="55">
        <f t="array" ref="AT546">XLOOKUP(C546,'PL TOTAL D0'!A:A,'PL TOTAL D0'!C:C,"")</f>
        <v>438051.9</v>
      </c>
    </row>
    <row r="547" ht="17.25" customHeight="1">
      <c r="A547" s="44" t="s">
        <v>36</v>
      </c>
      <c r="B547" s="45" t="s">
        <v>1848</v>
      </c>
      <c r="C547" s="46" t="s">
        <v>1849</v>
      </c>
      <c r="D547" s="47" t="s">
        <v>18</v>
      </c>
      <c r="E547" s="24" t="s">
        <v>29</v>
      </c>
      <c r="F547" s="47" t="s">
        <v>137</v>
      </c>
      <c r="G547" s="47" t="str">
        <f t="shared" si="1"/>
        <v>Augusto</v>
      </c>
      <c r="H547" s="48" t="s">
        <v>88</v>
      </c>
      <c r="I547" s="48" t="s">
        <v>24</v>
      </c>
      <c r="J547" s="47" t="str">
        <f t="shared" si="4"/>
        <v>Não</v>
      </c>
      <c r="K547" s="49">
        <v>44973.0</v>
      </c>
      <c r="L547" s="24"/>
      <c r="M547" s="24" t="s">
        <v>60</v>
      </c>
      <c r="N547" s="50">
        <v>0.012</v>
      </c>
      <c r="O547" s="47" t="s">
        <v>24</v>
      </c>
      <c r="P547" s="51">
        <v>0.0</v>
      </c>
      <c r="Q547" s="106"/>
      <c r="R547" s="106"/>
      <c r="S547" s="106"/>
      <c r="T547" s="24" t="s">
        <v>89</v>
      </c>
      <c r="U547" s="25" t="s">
        <v>1850</v>
      </c>
      <c r="V547" s="9" t="s">
        <v>29</v>
      </c>
      <c r="W547" s="53" t="str">
        <f t="shared" si="3"/>
        <v>Ativo</v>
      </c>
      <c r="X547" s="24"/>
      <c r="Y547" s="54" t="s">
        <v>95</v>
      </c>
      <c r="Z547" s="56"/>
      <c r="AA547" s="56"/>
      <c r="AB547" s="56"/>
      <c r="AC547" s="56"/>
      <c r="AD547" s="56">
        <v>0.0</v>
      </c>
      <c r="AE547" s="56">
        <v>22406.26</v>
      </c>
      <c r="AF547" s="56">
        <v>123178.45</v>
      </c>
      <c r="AG547" s="56">
        <v>125221.88</v>
      </c>
      <c r="AH547" s="56">
        <v>127766.28</v>
      </c>
      <c r="AI547" s="56">
        <v>128997.24</v>
      </c>
      <c r="AJ547" s="56">
        <v>129836.83</v>
      </c>
      <c r="AK547" s="56">
        <v>135579.88</v>
      </c>
      <c r="AL547" s="56">
        <v>135977.64</v>
      </c>
      <c r="AM547" s="56">
        <v>136319.08</v>
      </c>
      <c r="AN547" s="56">
        <v>142388.81</v>
      </c>
      <c r="AO547" s="56">
        <v>143984.23</v>
      </c>
      <c r="AP547" s="56">
        <v>144825.19</v>
      </c>
      <c r="AQ547" s="55">
        <v>145769.92</v>
      </c>
      <c r="AR547" s="55">
        <v>146841.97</v>
      </c>
      <c r="AS547" s="55">
        <v>147818.6</v>
      </c>
      <c r="AT547" s="55">
        <f t="array" ref="AT547">XLOOKUP(C547,'PL TOTAL D0'!A:A,'PL TOTAL D0'!C:C,"")</f>
        <v>144213.1</v>
      </c>
    </row>
    <row r="548" ht="17.25" customHeight="1">
      <c r="A548" s="44" t="s">
        <v>36</v>
      </c>
      <c r="B548" s="96" t="s">
        <v>1851</v>
      </c>
      <c r="C548" s="150" t="s">
        <v>1852</v>
      </c>
      <c r="D548" s="47" t="s">
        <v>18</v>
      </c>
      <c r="E548" s="24" t="s">
        <v>29</v>
      </c>
      <c r="F548" s="47" t="s">
        <v>98</v>
      </c>
      <c r="G548" s="47" t="str">
        <f t="shared" si="1"/>
        <v>Augusto</v>
      </c>
      <c r="H548" s="48" t="s">
        <v>88</v>
      </c>
      <c r="I548" s="53" t="s">
        <v>24</v>
      </c>
      <c r="J548" s="47" t="str">
        <f t="shared" si="4"/>
        <v>Não</v>
      </c>
      <c r="K548" s="49">
        <v>45259.0</v>
      </c>
      <c r="L548" s="24"/>
      <c r="M548" s="24" t="s">
        <v>60</v>
      </c>
      <c r="N548" s="93">
        <v>0.012</v>
      </c>
      <c r="O548" s="94" t="s">
        <v>24</v>
      </c>
      <c r="P548" s="95">
        <v>0.0</v>
      </c>
      <c r="Q548" s="106"/>
      <c r="R548" s="106"/>
      <c r="S548" s="169"/>
      <c r="T548" s="24" t="s">
        <v>89</v>
      </c>
      <c r="U548" s="25" t="s">
        <v>1853</v>
      </c>
      <c r="V548" s="9" t="s">
        <v>29</v>
      </c>
      <c r="W548" s="53" t="str">
        <f t="shared" si="3"/>
        <v>Ativo</v>
      </c>
      <c r="X548" s="24"/>
      <c r="Y548" s="54" t="s">
        <v>95</v>
      </c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>
        <v>20010.0</v>
      </c>
      <c r="AO548" s="56">
        <v>40308.46</v>
      </c>
      <c r="AP548" s="56">
        <v>40674.87</v>
      </c>
      <c r="AQ548" s="55">
        <v>61072.64</v>
      </c>
      <c r="AR548" s="55">
        <v>71720.31</v>
      </c>
      <c r="AS548" s="55">
        <v>72330.27</v>
      </c>
      <c r="AT548" s="55">
        <f t="array" ref="AT548">XLOOKUP(C548,'PL TOTAL D0'!A:A,'PL TOTAL D0'!C:C,"")</f>
        <v>92706.53</v>
      </c>
    </row>
    <row r="549" ht="15.75" customHeight="1">
      <c r="A549" s="44" t="s">
        <v>36</v>
      </c>
      <c r="B549" s="45" t="s">
        <v>1854</v>
      </c>
      <c r="C549" s="82" t="s">
        <v>1855</v>
      </c>
      <c r="D549" s="47" t="s">
        <v>18</v>
      </c>
      <c r="E549" s="24" t="s">
        <v>145</v>
      </c>
      <c r="F549" s="47" t="s">
        <v>146</v>
      </c>
      <c r="G549" s="47" t="str">
        <f t="shared" si="1"/>
        <v>#N/A</v>
      </c>
      <c r="H549" s="53" t="s">
        <v>157</v>
      </c>
      <c r="I549" s="53" t="s">
        <v>24</v>
      </c>
      <c r="J549" s="47" t="str">
        <f t="shared" si="4"/>
        <v>Sim</v>
      </c>
      <c r="K549" s="49">
        <v>45111.0</v>
      </c>
      <c r="L549" s="70">
        <v>45433.0</v>
      </c>
      <c r="M549" s="24" t="s">
        <v>243</v>
      </c>
      <c r="N549" s="50">
        <v>0.02</v>
      </c>
      <c r="O549" s="47" t="s">
        <v>46</v>
      </c>
      <c r="P549" s="51">
        <v>0.2</v>
      </c>
      <c r="Q549" s="62" t="s">
        <v>211</v>
      </c>
      <c r="R549" s="169"/>
      <c r="S549" s="106"/>
      <c r="T549" s="24" t="s">
        <v>89</v>
      </c>
      <c r="U549" s="25" t="s">
        <v>1856</v>
      </c>
      <c r="V549" s="9" t="s">
        <v>149</v>
      </c>
      <c r="W549" s="53" t="str">
        <f t="shared" si="3"/>
        <v>Encerrado</v>
      </c>
      <c r="X549" s="24"/>
      <c r="Y549" s="54" t="s">
        <v>91</v>
      </c>
      <c r="Z549" s="56"/>
      <c r="AA549" s="56"/>
      <c r="AB549" s="56"/>
      <c r="AC549" s="56"/>
      <c r="AD549" s="56"/>
      <c r="AE549" s="56"/>
      <c r="AF549" s="56">
        <v>0.0</v>
      </c>
      <c r="AG549" s="56">
        <v>0.0</v>
      </c>
      <c r="AH549" s="56">
        <v>0.0</v>
      </c>
      <c r="AI549" s="56">
        <v>0.0</v>
      </c>
      <c r="AJ549" s="56">
        <v>650405.77</v>
      </c>
      <c r="AK549" s="56">
        <v>679714.54</v>
      </c>
      <c r="AL549" s="56">
        <v>776296.78</v>
      </c>
      <c r="AM549" s="56">
        <v>796616.21</v>
      </c>
      <c r="AN549" s="56">
        <v>823802.9</v>
      </c>
      <c r="AO549" s="56">
        <v>945272.34</v>
      </c>
      <c r="AP549" s="56">
        <v>972610.18</v>
      </c>
      <c r="AQ549" s="55">
        <v>981430.06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36</v>
      </c>
      <c r="B550" s="45" t="s">
        <v>1854</v>
      </c>
      <c r="C550" s="82" t="s">
        <v>1857</v>
      </c>
      <c r="D550" s="47" t="s">
        <v>18</v>
      </c>
      <c r="E550" s="24" t="s">
        <v>145</v>
      </c>
      <c r="F550" s="47" t="s">
        <v>146</v>
      </c>
      <c r="G550" s="47" t="str">
        <f t="shared" si="1"/>
        <v>#N/A</v>
      </c>
      <c r="H550" s="53" t="s">
        <v>157</v>
      </c>
      <c r="I550" s="48" t="s">
        <v>24</v>
      </c>
      <c r="J550" s="47" t="str">
        <f t="shared" si="4"/>
        <v>Sim</v>
      </c>
      <c r="K550" s="49">
        <v>45035.0</v>
      </c>
      <c r="L550" s="110">
        <v>45433.0</v>
      </c>
      <c r="M550" s="24" t="s">
        <v>60</v>
      </c>
      <c r="N550" s="50">
        <v>0.012</v>
      </c>
      <c r="O550" s="47" t="s">
        <v>24</v>
      </c>
      <c r="P550" s="51">
        <v>0.0</v>
      </c>
      <c r="Q550" s="62" t="s">
        <v>211</v>
      </c>
      <c r="R550" s="169"/>
      <c r="S550" s="106"/>
      <c r="T550" s="24" t="s">
        <v>89</v>
      </c>
      <c r="U550" s="25" t="s">
        <v>1856</v>
      </c>
      <c r="V550" s="9" t="s">
        <v>149</v>
      </c>
      <c r="W550" s="53" t="str">
        <f t="shared" si="3"/>
        <v>Encerrado</v>
      </c>
      <c r="X550" s="24"/>
      <c r="Y550" s="54" t="s">
        <v>91</v>
      </c>
      <c r="Z550" s="56"/>
      <c r="AA550" s="56"/>
      <c r="AB550" s="56"/>
      <c r="AC550" s="56"/>
      <c r="AD550" s="56"/>
      <c r="AE550" s="56"/>
      <c r="AF550" s="56">
        <v>0.0</v>
      </c>
      <c r="AG550" s="56">
        <v>3193690.29</v>
      </c>
      <c r="AH550" s="56">
        <v>3353269.63</v>
      </c>
      <c r="AI550" s="56">
        <v>3483183.91</v>
      </c>
      <c r="AJ550" s="56">
        <v>2892594.6</v>
      </c>
      <c r="AK550" s="56">
        <v>2920496.59</v>
      </c>
      <c r="AL550" s="56">
        <v>2943857.57</v>
      </c>
      <c r="AM550" s="56">
        <v>2969879.49</v>
      </c>
      <c r="AN550" s="56">
        <v>2991246.35</v>
      </c>
      <c r="AO550" s="56">
        <v>3010215.04</v>
      </c>
      <c r="AP550" s="56">
        <v>3038251.64</v>
      </c>
      <c r="AQ550" s="55">
        <v>3063154.49</v>
      </c>
      <c r="AR550" s="55">
        <v>0.0</v>
      </c>
      <c r="AS550" s="55">
        <v>0.0</v>
      </c>
      <c r="AT550" s="55" t="str">
        <f t="array" ref="AT550">XLOOKUP(C550,'PL TOTAL D0'!A:A,'PL TOTAL D0'!C:C,"")</f>
        <v/>
      </c>
    </row>
    <row r="551" ht="15.75" customHeight="1">
      <c r="A551" s="44" t="s">
        <v>36</v>
      </c>
      <c r="B551" s="45" t="s">
        <v>1858</v>
      </c>
      <c r="C551" s="46" t="s">
        <v>1859</v>
      </c>
      <c r="D551" s="47" t="s">
        <v>18</v>
      </c>
      <c r="E551" s="24" t="s">
        <v>19</v>
      </c>
      <c r="F551" s="47" t="s">
        <v>20</v>
      </c>
      <c r="G551" s="47" t="str">
        <f t="shared" si="1"/>
        <v>Augusto</v>
      </c>
      <c r="H551" s="53" t="s">
        <v>88</v>
      </c>
      <c r="I551" s="53" t="s">
        <v>24</v>
      </c>
      <c r="J551" s="47" t="str">
        <f t="shared" si="4"/>
        <v>Não</v>
      </c>
      <c r="K551" s="49">
        <v>45100.0</v>
      </c>
      <c r="L551" s="64"/>
      <c r="M551" s="25" t="s">
        <v>106</v>
      </c>
      <c r="N551" s="50">
        <v>0.012</v>
      </c>
      <c r="O551" s="9" t="s">
        <v>46</v>
      </c>
      <c r="P551" s="61">
        <v>0.1</v>
      </c>
      <c r="Q551" s="106"/>
      <c r="R551" s="106"/>
      <c r="S551" s="106"/>
      <c r="T551" s="24" t="s">
        <v>89</v>
      </c>
      <c r="U551" s="25" t="s">
        <v>1860</v>
      </c>
      <c r="V551" s="9" t="s">
        <v>455</v>
      </c>
      <c r="W551" s="53" t="str">
        <f t="shared" si="3"/>
        <v>Ativo</v>
      </c>
      <c r="X551" s="24"/>
      <c r="Y551" s="54" t="s">
        <v>95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>
        <v>30059.16</v>
      </c>
      <c r="AJ551" s="56">
        <v>30326.11</v>
      </c>
      <c r="AK551" s="56">
        <v>30619.31</v>
      </c>
      <c r="AL551" s="56">
        <v>30857.14</v>
      </c>
      <c r="AM551" s="56">
        <v>31138.01</v>
      </c>
      <c r="AN551" s="56">
        <v>31371.26</v>
      </c>
      <c r="AO551" s="56">
        <v>31623.21</v>
      </c>
      <c r="AP551" s="56">
        <v>31807.61</v>
      </c>
      <c r="AQ551" s="55">
        <v>32038.04</v>
      </c>
      <c r="AR551" s="55">
        <v>32287.35</v>
      </c>
      <c r="AS551" s="55">
        <v>32413.05</v>
      </c>
      <c r="AT551" s="55">
        <f t="array" ref="AT551">XLOOKUP(C551,'PL TOTAL D0'!A:A,'PL TOTAL D0'!C:C,"")</f>
        <v>32499.89</v>
      </c>
    </row>
    <row r="552" ht="15.75" customHeight="1">
      <c r="A552" s="44" t="s">
        <v>36</v>
      </c>
      <c r="B552" s="57" t="s">
        <v>1861</v>
      </c>
      <c r="C552" s="58" t="s">
        <v>1862</v>
      </c>
      <c r="D552" s="9" t="s">
        <v>18</v>
      </c>
      <c r="E552" s="25" t="s">
        <v>29</v>
      </c>
      <c r="F552" s="9" t="s">
        <v>110</v>
      </c>
      <c r="G552" s="47" t="str">
        <f t="shared" si="1"/>
        <v>Augusto</v>
      </c>
      <c r="H552" s="53" t="s">
        <v>88</v>
      </c>
      <c r="I552" s="53" t="s">
        <v>24</v>
      </c>
      <c r="J552" s="47" t="str">
        <f t="shared" si="4"/>
        <v>Não</v>
      </c>
      <c r="K552" s="59">
        <v>45315.0</v>
      </c>
      <c r="L552" s="64"/>
      <c r="M552" s="25" t="s">
        <v>99</v>
      </c>
      <c r="N552" s="60">
        <v>0.0</v>
      </c>
      <c r="O552" s="9" t="s">
        <v>24</v>
      </c>
      <c r="P552" s="61">
        <v>0.0</v>
      </c>
      <c r="Q552" s="106"/>
      <c r="R552" s="106"/>
      <c r="S552" s="106"/>
      <c r="T552" s="25" t="s">
        <v>89</v>
      </c>
      <c r="U552" s="25" t="s">
        <v>1863</v>
      </c>
      <c r="V552" s="9" t="s">
        <v>19</v>
      </c>
      <c r="W552" s="53" t="str">
        <f t="shared" si="3"/>
        <v>Ativo</v>
      </c>
      <c r="X552" s="24"/>
      <c r="Y552" s="54" t="s">
        <v>95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>
        <v>0.0</v>
      </c>
      <c r="AQ552" s="55">
        <v>0.0</v>
      </c>
      <c r="AR552" s="55">
        <v>5028.95</v>
      </c>
      <c r="AS552" s="55">
        <v>6584.48</v>
      </c>
      <c r="AT552" s="55">
        <f t="array" ref="AT552">XLOOKUP(C552,'PL TOTAL D0'!A:A,'PL TOTAL D0'!C:C,"")</f>
        <v>8624.73</v>
      </c>
    </row>
    <row r="553" ht="15.75" customHeight="1">
      <c r="A553" s="44" t="s">
        <v>36</v>
      </c>
      <c r="B553" s="96" t="s">
        <v>1864</v>
      </c>
      <c r="C553" s="73" t="s">
        <v>1865</v>
      </c>
      <c r="D553" s="47" t="s">
        <v>18</v>
      </c>
      <c r="E553" s="24" t="s">
        <v>19</v>
      </c>
      <c r="F553" s="47" t="s">
        <v>20</v>
      </c>
      <c r="G553" s="47" t="str">
        <f t="shared" si="1"/>
        <v>Breno</v>
      </c>
      <c r="H553" s="53" t="s">
        <v>88</v>
      </c>
      <c r="I553" s="48" t="s">
        <v>24</v>
      </c>
      <c r="J553" s="47" t="str">
        <f t="shared" si="4"/>
        <v>Sim</v>
      </c>
      <c r="K553" s="49">
        <v>45233.0</v>
      </c>
      <c r="L553" s="64"/>
      <c r="M553" s="25" t="s">
        <v>45</v>
      </c>
      <c r="N553" s="50">
        <v>0.012</v>
      </c>
      <c r="O553" s="9" t="s">
        <v>46</v>
      </c>
      <c r="P553" s="61">
        <v>0.1</v>
      </c>
      <c r="Q553" s="62" t="s">
        <v>1814</v>
      </c>
      <c r="R553" s="106"/>
      <c r="S553" s="218" t="s">
        <v>1866</v>
      </c>
      <c r="T553" s="24" t="s">
        <v>89</v>
      </c>
      <c r="U553" s="25" t="s">
        <v>1867</v>
      </c>
      <c r="V553" s="9" t="s">
        <v>19</v>
      </c>
      <c r="W553" s="53" t="str">
        <f t="shared" si="3"/>
        <v>Ativo</v>
      </c>
      <c r="X553" s="24"/>
      <c r="Y553" s="54" t="s">
        <v>95</v>
      </c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>
        <v>2000000.0</v>
      </c>
      <c r="AN553" s="56">
        <v>2015353.51</v>
      </c>
      <c r="AO553" s="56">
        <v>2034452.33</v>
      </c>
      <c r="AP553" s="56">
        <v>2047708.22</v>
      </c>
      <c r="AQ553" s="55">
        <v>1556016.05</v>
      </c>
      <c r="AR553" s="55">
        <v>1063307.91</v>
      </c>
      <c r="AS553" s="55">
        <v>755626.29</v>
      </c>
      <c r="AT553" s="55">
        <f t="array" ref="AT553">XLOOKUP(C553,'PL TOTAL D0'!A:A,'PL TOTAL D0'!C:C,"")</f>
        <v>603312.7</v>
      </c>
    </row>
    <row r="554" ht="15.75" customHeight="1">
      <c r="A554" s="44" t="s">
        <v>36</v>
      </c>
      <c r="B554" s="63" t="s">
        <v>1868</v>
      </c>
      <c r="C554" s="46" t="s">
        <v>1869</v>
      </c>
      <c r="D554" s="47" t="s">
        <v>18</v>
      </c>
      <c r="E554" s="24" t="s">
        <v>145</v>
      </c>
      <c r="F554" s="47" t="s">
        <v>146</v>
      </c>
      <c r="G554" s="47" t="str">
        <f t="shared" si="1"/>
        <v>Augusto</v>
      </c>
      <c r="H554" s="48" t="s">
        <v>88</v>
      </c>
      <c r="I554" s="48" t="s">
        <v>24</v>
      </c>
      <c r="J554" s="47" t="str">
        <f t="shared" si="4"/>
        <v>Não</v>
      </c>
      <c r="K554" s="49">
        <v>45056.0</v>
      </c>
      <c r="L554" s="64"/>
      <c r="M554" s="24" t="s">
        <v>60</v>
      </c>
      <c r="N554" s="50">
        <v>0.012</v>
      </c>
      <c r="O554" s="47" t="s">
        <v>24</v>
      </c>
      <c r="P554" s="51">
        <v>0.0</v>
      </c>
      <c r="Q554" s="106"/>
      <c r="R554" s="106"/>
      <c r="S554" s="52" t="s">
        <v>1870</v>
      </c>
      <c r="T554" s="24" t="s">
        <v>89</v>
      </c>
      <c r="U554" s="25" t="s">
        <v>1871</v>
      </c>
      <c r="V554" s="9" t="s">
        <v>121</v>
      </c>
      <c r="W554" s="53" t="str">
        <f t="shared" si="3"/>
        <v>Ativo</v>
      </c>
      <c r="X554" s="24"/>
      <c r="Y554" s="54" t="s">
        <v>91</v>
      </c>
      <c r="Z554" s="56"/>
      <c r="AA554" s="56"/>
      <c r="AB554" s="56"/>
      <c r="AC554" s="56"/>
      <c r="AD554" s="56"/>
      <c r="AE554" s="56"/>
      <c r="AF554" s="56">
        <v>0.0</v>
      </c>
      <c r="AG554" s="56">
        <v>0.0</v>
      </c>
      <c r="AH554" s="56">
        <v>0.0</v>
      </c>
      <c r="AI554" s="56">
        <v>341945.34</v>
      </c>
      <c r="AJ554" s="56">
        <v>345033.68</v>
      </c>
      <c r="AK554" s="56">
        <v>348396.55</v>
      </c>
      <c r="AL554" s="56">
        <v>351124.95</v>
      </c>
      <c r="AM554" s="56">
        <v>354086.89</v>
      </c>
      <c r="AN554" s="56">
        <v>356598.26</v>
      </c>
      <c r="AO554" s="56">
        <v>359308.27</v>
      </c>
      <c r="AP554" s="56">
        <v>362599.84</v>
      </c>
      <c r="AQ554" s="55">
        <v>365566.08</v>
      </c>
      <c r="AR554" s="55">
        <v>337962.6</v>
      </c>
      <c r="AS554" s="55">
        <v>340466.57</v>
      </c>
      <c r="AT554" s="55">
        <f t="array" ref="AT554">XLOOKUP(C554,'PL TOTAL D0'!A:A,'PL TOTAL D0'!C:C,"")</f>
        <v>325919.5</v>
      </c>
    </row>
    <row r="555" ht="15.75" customHeight="1">
      <c r="A555" s="44" t="s">
        <v>36</v>
      </c>
      <c r="B555" s="63" t="s">
        <v>1868</v>
      </c>
      <c r="C555" s="46" t="s">
        <v>1872</v>
      </c>
      <c r="D555" s="47" t="s">
        <v>18</v>
      </c>
      <c r="E555" s="24" t="s">
        <v>145</v>
      </c>
      <c r="F555" s="47" t="s">
        <v>146</v>
      </c>
      <c r="G555" s="47" t="str">
        <f t="shared" si="1"/>
        <v>Breno</v>
      </c>
      <c r="H555" s="48" t="s">
        <v>88</v>
      </c>
      <c r="I555" s="48" t="s">
        <v>24</v>
      </c>
      <c r="J555" s="47" t="str">
        <f t="shared" si="4"/>
        <v>Não</v>
      </c>
      <c r="K555" s="49">
        <v>45034.0</v>
      </c>
      <c r="L555" s="24"/>
      <c r="M555" s="24" t="s">
        <v>166</v>
      </c>
      <c r="N555" s="50">
        <v>0.008</v>
      </c>
      <c r="O555" s="47" t="s">
        <v>167</v>
      </c>
      <c r="P555" s="51">
        <v>0.1</v>
      </c>
      <c r="Q555" s="106"/>
      <c r="R555" s="106"/>
      <c r="S555" s="106"/>
      <c r="T555" s="24" t="s">
        <v>89</v>
      </c>
      <c r="U555" s="25" t="s">
        <v>1871</v>
      </c>
      <c r="V555" s="9" t="s">
        <v>121</v>
      </c>
      <c r="W555" s="53" t="str">
        <f t="shared" si="3"/>
        <v>Ativo</v>
      </c>
      <c r="X555" s="24"/>
      <c r="Y555" s="54" t="s">
        <v>91</v>
      </c>
      <c r="Z555" s="56"/>
      <c r="AA555" s="56"/>
      <c r="AB555" s="56"/>
      <c r="AC555" s="56"/>
      <c r="AD555" s="56"/>
      <c r="AE555" s="56"/>
      <c r="AF555" s="56">
        <v>0.0</v>
      </c>
      <c r="AG555" s="56">
        <v>545084.31</v>
      </c>
      <c r="AH555" s="56">
        <v>579285.01</v>
      </c>
      <c r="AI555" s="56">
        <v>604195.66</v>
      </c>
      <c r="AJ555" s="56">
        <v>619206.82</v>
      </c>
      <c r="AK555" s="56">
        <v>624915.15</v>
      </c>
      <c r="AL555" s="56">
        <v>629675.94</v>
      </c>
      <c r="AM555" s="56">
        <v>618554.44</v>
      </c>
      <c r="AN555" s="56">
        <v>629953.34</v>
      </c>
      <c r="AO555" s="56">
        <v>645323.53</v>
      </c>
      <c r="AP555" s="56">
        <v>645658.4</v>
      </c>
      <c r="AQ555" s="55">
        <v>658727.99</v>
      </c>
      <c r="AR555" s="55">
        <v>663847.98</v>
      </c>
      <c r="AS555" s="55">
        <v>654171.76</v>
      </c>
      <c r="AT555" s="55">
        <f t="array" ref="AT555">XLOOKUP(C555,'PL TOTAL D0'!A:A,'PL TOTAL D0'!C:C,"")</f>
        <v>652380</v>
      </c>
    </row>
    <row r="556" ht="15.75" customHeight="1">
      <c r="A556" s="44" t="s">
        <v>36</v>
      </c>
      <c r="B556" s="63" t="s">
        <v>1868</v>
      </c>
      <c r="C556" s="46" t="s">
        <v>1873</v>
      </c>
      <c r="D556" s="47" t="s">
        <v>18</v>
      </c>
      <c r="E556" s="24" t="s">
        <v>145</v>
      </c>
      <c r="F556" s="47" t="s">
        <v>146</v>
      </c>
      <c r="G556" s="47" t="str">
        <f t="shared" si="1"/>
        <v>Breno</v>
      </c>
      <c r="H556" s="48" t="s">
        <v>88</v>
      </c>
      <c r="I556" s="48" t="s">
        <v>24</v>
      </c>
      <c r="J556" s="47" t="str">
        <f t="shared" si="4"/>
        <v>Sim</v>
      </c>
      <c r="K556" s="49">
        <v>45034.0</v>
      </c>
      <c r="L556" s="24"/>
      <c r="M556" s="24" t="s">
        <v>60</v>
      </c>
      <c r="N556" s="50">
        <v>0.012</v>
      </c>
      <c r="O556" s="47" t="s">
        <v>24</v>
      </c>
      <c r="P556" s="51">
        <v>0.0</v>
      </c>
      <c r="Q556" s="76" t="s">
        <v>1874</v>
      </c>
      <c r="R556" s="75"/>
      <c r="S556" s="75"/>
      <c r="T556" s="24" t="s">
        <v>89</v>
      </c>
      <c r="U556" s="25" t="s">
        <v>1871</v>
      </c>
      <c r="V556" s="9" t="s">
        <v>121</v>
      </c>
      <c r="W556" s="53" t="str">
        <f t="shared" si="3"/>
        <v>Ativo</v>
      </c>
      <c r="X556" s="24"/>
      <c r="Y556" s="54" t="s">
        <v>91</v>
      </c>
      <c r="Z556" s="56"/>
      <c r="AA556" s="56"/>
      <c r="AB556" s="56"/>
      <c r="AC556" s="56"/>
      <c r="AD556" s="56"/>
      <c r="AE556" s="56"/>
      <c r="AF556" s="56">
        <v>0.0</v>
      </c>
      <c r="AG556" s="56">
        <v>773689.8</v>
      </c>
      <c r="AH556" s="56">
        <v>959768.12</v>
      </c>
      <c r="AI556" s="56">
        <v>621659.37</v>
      </c>
      <c r="AJ556" s="56">
        <v>564875.41</v>
      </c>
      <c r="AK556" s="56">
        <v>570213.32</v>
      </c>
      <c r="AL556" s="56">
        <v>566734.95</v>
      </c>
      <c r="AM556" s="56">
        <v>559509.81</v>
      </c>
      <c r="AN556" s="56">
        <v>563466.37</v>
      </c>
      <c r="AO556" s="56">
        <v>567959.82</v>
      </c>
      <c r="AP556" s="56">
        <v>572510.06</v>
      </c>
      <c r="AQ556" s="55">
        <v>566750.13</v>
      </c>
      <c r="AR556" s="55">
        <v>554805.92</v>
      </c>
      <c r="AS556" s="55">
        <v>546484.35</v>
      </c>
      <c r="AT556" s="55">
        <f t="array" ref="AT556">XLOOKUP(C556,'PL TOTAL D0'!A:A,'PL TOTAL D0'!C:C,"")</f>
        <v>548721.8</v>
      </c>
    </row>
    <row r="557" ht="15.75" customHeight="1">
      <c r="A557" s="44" t="s">
        <v>36</v>
      </c>
      <c r="B557" s="45" t="s">
        <v>1875</v>
      </c>
      <c r="C557" s="46" t="s">
        <v>1876</v>
      </c>
      <c r="D557" s="47" t="s">
        <v>18</v>
      </c>
      <c r="E557" s="24" t="s">
        <v>145</v>
      </c>
      <c r="F557" s="47" t="s">
        <v>171</v>
      </c>
      <c r="G557" s="47" t="str">
        <f t="shared" si="1"/>
        <v>Augusto</v>
      </c>
      <c r="H557" s="48" t="s">
        <v>88</v>
      </c>
      <c r="I557" s="48" t="s">
        <v>24</v>
      </c>
      <c r="J557" s="47" t="str">
        <f t="shared" si="4"/>
        <v>Não</v>
      </c>
      <c r="K557" s="49">
        <v>45159.0</v>
      </c>
      <c r="L557" s="64"/>
      <c r="M557" s="24" t="s">
        <v>111</v>
      </c>
      <c r="N557" s="50">
        <v>0.015</v>
      </c>
      <c r="O557" s="47" t="s">
        <v>46</v>
      </c>
      <c r="P557" s="51">
        <v>0.1</v>
      </c>
      <c r="Q557" s="75"/>
      <c r="R557" s="75"/>
      <c r="S557" s="62" t="s">
        <v>1877</v>
      </c>
      <c r="T557" s="24" t="s">
        <v>89</v>
      </c>
      <c r="U557" s="25" t="s">
        <v>1878</v>
      </c>
      <c r="V557" s="9" t="s">
        <v>715</v>
      </c>
      <c r="W557" s="53" t="str">
        <f t="shared" si="3"/>
        <v>Ativo</v>
      </c>
      <c r="X557" s="24"/>
      <c r="Y557" s="54" t="s">
        <v>91</v>
      </c>
      <c r="Z557" s="56"/>
      <c r="AA557" s="56"/>
      <c r="AB557" s="56"/>
      <c r="AC557" s="56"/>
      <c r="AD557" s="56">
        <v>0.0</v>
      </c>
      <c r="AE557" s="56">
        <v>0.0</v>
      </c>
      <c r="AF557" s="56">
        <v>0.0</v>
      </c>
      <c r="AG557" s="56">
        <v>0.0</v>
      </c>
      <c r="AH557" s="56">
        <v>0.0</v>
      </c>
      <c r="AI557" s="56">
        <v>0.0</v>
      </c>
      <c r="AJ557" s="56">
        <v>0.0</v>
      </c>
      <c r="AK557" s="56">
        <v>169304.0</v>
      </c>
      <c r="AL557" s="56">
        <v>178411.71</v>
      </c>
      <c r="AM557" s="56">
        <v>178119.97</v>
      </c>
      <c r="AN557" s="56">
        <v>182529.06</v>
      </c>
      <c r="AO557" s="56">
        <v>186264.3</v>
      </c>
      <c r="AP557" s="56">
        <v>183385.5</v>
      </c>
      <c r="AQ557" s="55">
        <v>184894.13</v>
      </c>
      <c r="AR557" s="55">
        <v>185296.17</v>
      </c>
      <c r="AS557" s="55">
        <v>183844.14</v>
      </c>
      <c r="AT557" s="55">
        <f t="array" ref="AT557">XLOOKUP(C557,'PL TOTAL D0'!A:A,'PL TOTAL D0'!C:C,"")</f>
        <v>185534.6</v>
      </c>
    </row>
    <row r="558" ht="15.75" customHeight="1">
      <c r="A558" s="6" t="s">
        <v>36</v>
      </c>
      <c r="B558" s="20" t="s">
        <v>1879</v>
      </c>
      <c r="C558" s="21" t="s">
        <v>1880</v>
      </c>
      <c r="D558" s="9" t="s">
        <v>18</v>
      </c>
      <c r="E558" s="25" t="s">
        <v>29</v>
      </c>
      <c r="F558" s="9" t="s">
        <v>98</v>
      </c>
      <c r="G558" s="47" t="str">
        <f t="shared" si="1"/>
        <v>Augusto</v>
      </c>
      <c r="H558" s="53" t="s">
        <v>88</v>
      </c>
      <c r="I558" s="53" t="s">
        <v>24</v>
      </c>
      <c r="J558" s="47" t="str">
        <f t="shared" si="4"/>
        <v>Não</v>
      </c>
      <c r="K558" s="59">
        <v>44996.0</v>
      </c>
      <c r="L558" s="64"/>
      <c r="M558" s="25" t="s">
        <v>111</v>
      </c>
      <c r="N558" s="60">
        <v>0.015</v>
      </c>
      <c r="O558" s="9" t="s">
        <v>46</v>
      </c>
      <c r="P558" s="61">
        <v>0.0</v>
      </c>
      <c r="Q558" s="62"/>
      <c r="R558" s="75"/>
      <c r="S558" s="62"/>
      <c r="T558" s="25" t="s">
        <v>89</v>
      </c>
      <c r="U558" s="23" t="s">
        <v>1881</v>
      </c>
      <c r="V558" s="9" t="s">
        <v>29</v>
      </c>
      <c r="W558" s="53" t="str">
        <f t="shared" si="3"/>
        <v>Ativo</v>
      </c>
      <c r="X558" s="24"/>
      <c r="Y558" s="54" t="s">
        <v>95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5"/>
      <c r="AR558" s="55">
        <v>0.0</v>
      </c>
      <c r="AS558" s="55">
        <v>154173.34</v>
      </c>
      <c r="AT558" s="55">
        <f t="array" ref="AT558">XLOOKUP(C558,'PL TOTAL D0'!A:A,'PL TOTAL D0'!C:C,"")</f>
        <v>159701.9</v>
      </c>
    </row>
    <row r="559" ht="15.75" customHeight="1">
      <c r="A559" s="44" t="s">
        <v>36</v>
      </c>
      <c r="B559" s="68" t="s">
        <v>1882</v>
      </c>
      <c r="C559" s="82" t="s">
        <v>1883</v>
      </c>
      <c r="D559" s="47" t="s">
        <v>86</v>
      </c>
      <c r="E559" s="24" t="s">
        <v>29</v>
      </c>
      <c r="F559" s="47" t="s">
        <v>371</v>
      </c>
      <c r="G559" s="47" t="str">
        <f t="shared" si="1"/>
        <v>#N/A</v>
      </c>
      <c r="H559" s="53" t="s">
        <v>116</v>
      </c>
      <c r="I559" s="48" t="s">
        <v>24</v>
      </c>
      <c r="J559" s="47" t="str">
        <f t="shared" si="4"/>
        <v>Sim</v>
      </c>
      <c r="K559" s="49">
        <v>45177.0</v>
      </c>
      <c r="L559" s="64"/>
      <c r="M559" s="24" t="s">
        <v>60</v>
      </c>
      <c r="N559" s="50">
        <v>0.005</v>
      </c>
      <c r="O559" s="47" t="s">
        <v>24</v>
      </c>
      <c r="P559" s="51">
        <v>0.0</v>
      </c>
      <c r="Q559" s="219" t="s">
        <v>1884</v>
      </c>
      <c r="R559" s="75"/>
      <c r="S559" s="52"/>
      <c r="T559" s="24" t="s">
        <v>89</v>
      </c>
      <c r="U559" s="25" t="s">
        <v>1885</v>
      </c>
      <c r="V559" s="9" t="s">
        <v>29</v>
      </c>
      <c r="W559" s="53" t="str">
        <f t="shared" si="3"/>
        <v>Ativo</v>
      </c>
      <c r="X559" s="24"/>
      <c r="Y559" s="54" t="s">
        <v>91</v>
      </c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>
        <v>218126.16</v>
      </c>
      <c r="AL559" s="56">
        <v>239118.78</v>
      </c>
      <c r="AM559" s="56">
        <v>244551.99</v>
      </c>
      <c r="AN559" s="56">
        <v>0.0</v>
      </c>
      <c r="AO559" s="56">
        <v>0.0</v>
      </c>
      <c r="AP559" s="56">
        <v>0.0</v>
      </c>
      <c r="AQ559" s="55">
        <v>0.0</v>
      </c>
      <c r="AR559" s="55">
        <v>0.0</v>
      </c>
      <c r="AS559" s="55">
        <v>0.0</v>
      </c>
      <c r="AT559" s="55" t="str">
        <f t="array" ref="AT559">XLOOKUP(C559,'PL TOTAL D0'!A:A,'PL TOTAL D0'!C:C,"")</f>
        <v/>
      </c>
    </row>
    <row r="560" ht="15.75" customHeight="1">
      <c r="A560" s="44" t="s">
        <v>36</v>
      </c>
      <c r="B560" s="63" t="s">
        <v>1886</v>
      </c>
      <c r="C560" s="46" t="s">
        <v>1887</v>
      </c>
      <c r="D560" s="47" t="s">
        <v>86</v>
      </c>
      <c r="E560" s="24" t="s">
        <v>29</v>
      </c>
      <c r="F560" s="47" t="s">
        <v>87</v>
      </c>
      <c r="G560" s="47" t="str">
        <f t="shared" si="1"/>
        <v>Breno</v>
      </c>
      <c r="H560" s="48" t="s">
        <v>88</v>
      </c>
      <c r="I560" s="48" t="s">
        <v>24</v>
      </c>
      <c r="J560" s="47" t="str">
        <f t="shared" si="4"/>
        <v>Não</v>
      </c>
      <c r="K560" s="64">
        <v>45105.0</v>
      </c>
      <c r="L560" s="64"/>
      <c r="M560" s="24" t="s">
        <v>111</v>
      </c>
      <c r="N560" s="116">
        <v>0.016</v>
      </c>
      <c r="O560" s="24" t="s">
        <v>46</v>
      </c>
      <c r="P560" s="117">
        <v>0.2</v>
      </c>
      <c r="Q560" s="52"/>
      <c r="R560" s="52"/>
      <c r="S560" s="52"/>
      <c r="T560" s="24" t="s">
        <v>329</v>
      </c>
      <c r="U560" s="25" t="s">
        <v>1888</v>
      </c>
      <c r="V560" s="25" t="s">
        <v>180</v>
      </c>
      <c r="W560" s="53" t="str">
        <f t="shared" si="3"/>
        <v>Ativo</v>
      </c>
      <c r="X560" s="24"/>
      <c r="Y560" s="54" t="s">
        <v>95</v>
      </c>
      <c r="Z560" s="220"/>
      <c r="AA560" s="220"/>
      <c r="AB560" s="220"/>
      <c r="AC560" s="220"/>
      <c r="AD560" s="220"/>
      <c r="AE560" s="220"/>
      <c r="AF560" s="220"/>
      <c r="AG560" s="56">
        <v>0.0</v>
      </c>
      <c r="AH560" s="56">
        <v>0.0</v>
      </c>
      <c r="AI560" s="56">
        <v>297526.94</v>
      </c>
      <c r="AJ560" s="56">
        <v>483333.15</v>
      </c>
      <c r="AK560" s="56">
        <v>491270.74</v>
      </c>
      <c r="AL560" s="56">
        <v>494652.08</v>
      </c>
      <c r="AM560" s="56">
        <v>495607.59</v>
      </c>
      <c r="AN560" s="56">
        <v>506447.09</v>
      </c>
      <c r="AO560" s="56">
        <v>516749.55</v>
      </c>
      <c r="AP560" s="56">
        <v>505670.98</v>
      </c>
      <c r="AQ560" s="55">
        <v>459026.09</v>
      </c>
      <c r="AR560" s="55">
        <v>463317.5</v>
      </c>
      <c r="AS560" s="55">
        <v>459552.18</v>
      </c>
      <c r="AT560" s="55">
        <f t="array" ref="AT560">XLOOKUP(C560,'PL TOTAL D0'!A:A,'PL TOTAL D0'!C:C,"")</f>
        <v>462318.4</v>
      </c>
    </row>
    <row r="561" ht="15.75" customHeight="1">
      <c r="A561" s="44" t="s">
        <v>36</v>
      </c>
      <c r="B561" s="45" t="s">
        <v>1889</v>
      </c>
      <c r="C561" s="46" t="s">
        <v>1890</v>
      </c>
      <c r="D561" s="47" t="s">
        <v>18</v>
      </c>
      <c r="E561" s="24" t="s">
        <v>19</v>
      </c>
      <c r="F561" s="24" t="s">
        <v>52</v>
      </c>
      <c r="G561" s="47" t="str">
        <f t="shared" si="1"/>
        <v>Bruno</v>
      </c>
      <c r="H561" s="48" t="s">
        <v>88</v>
      </c>
      <c r="I561" s="48" t="s">
        <v>24</v>
      </c>
      <c r="J561" s="47" t="str">
        <f t="shared" si="4"/>
        <v>Não</v>
      </c>
      <c r="K561" s="64">
        <v>45162.0</v>
      </c>
      <c r="L561" s="24"/>
      <c r="M561" s="24" t="s">
        <v>60</v>
      </c>
      <c r="N561" s="116">
        <v>0.012</v>
      </c>
      <c r="O561" s="47" t="s">
        <v>24</v>
      </c>
      <c r="P561" s="51">
        <v>0.0</v>
      </c>
      <c r="Q561" s="75"/>
      <c r="R561" s="75"/>
      <c r="S561" s="75"/>
      <c r="T561" s="24" t="s">
        <v>329</v>
      </c>
      <c r="U561" s="25" t="s">
        <v>1891</v>
      </c>
      <c r="V561" s="25" t="s">
        <v>19</v>
      </c>
      <c r="W561" s="53" t="str">
        <f t="shared" si="3"/>
        <v>Ativo</v>
      </c>
      <c r="X561" s="24"/>
      <c r="Y561" s="54" t="s">
        <v>95</v>
      </c>
      <c r="Z561" s="220"/>
      <c r="AA561" s="220"/>
      <c r="AB561" s="220"/>
      <c r="AC561" s="220"/>
      <c r="AD561" s="220"/>
      <c r="AE561" s="220"/>
      <c r="AF561" s="220"/>
      <c r="AG561" s="56"/>
      <c r="AH561" s="56"/>
      <c r="AI561" s="56"/>
      <c r="AJ561" s="56"/>
      <c r="AK561" s="56">
        <v>450929.66</v>
      </c>
      <c r="AL561" s="56">
        <v>454884.96</v>
      </c>
      <c r="AM561" s="56">
        <v>459118.81</v>
      </c>
      <c r="AN561" s="56">
        <v>461300.92</v>
      </c>
      <c r="AO561" s="56">
        <v>966123.99</v>
      </c>
      <c r="AP561" s="56">
        <v>975509.87</v>
      </c>
      <c r="AQ561" s="55">
        <v>983112.91</v>
      </c>
      <c r="AR561" s="55">
        <v>990177.55</v>
      </c>
      <c r="AS561" s="55">
        <v>996757.63</v>
      </c>
      <c r="AT561" s="55">
        <f t="array" ref="AT561">XLOOKUP(C561,'PL TOTAL D0'!A:A,'PL TOTAL D0'!C:C,"")</f>
        <v>1001326</v>
      </c>
    </row>
    <row r="562" ht="15.75" customHeight="1">
      <c r="A562" s="44" t="s">
        <v>36</v>
      </c>
      <c r="B562" s="63" t="s">
        <v>1892</v>
      </c>
      <c r="C562" s="46" t="s">
        <v>1893</v>
      </c>
      <c r="D562" s="47" t="s">
        <v>18</v>
      </c>
      <c r="E562" s="24" t="s">
        <v>19</v>
      </c>
      <c r="F562" s="24" t="s">
        <v>20</v>
      </c>
      <c r="G562" s="47" t="str">
        <f t="shared" si="1"/>
        <v>Augusto</v>
      </c>
      <c r="H562" s="53" t="s">
        <v>88</v>
      </c>
      <c r="I562" s="53" t="s">
        <v>24</v>
      </c>
      <c r="J562" s="47" t="str">
        <f t="shared" si="4"/>
        <v>Não</v>
      </c>
      <c r="K562" s="64">
        <v>44998.0</v>
      </c>
      <c r="L562" s="24"/>
      <c r="M562" s="25" t="s">
        <v>60</v>
      </c>
      <c r="N562" s="200">
        <v>0.012</v>
      </c>
      <c r="O562" s="25" t="s">
        <v>24</v>
      </c>
      <c r="P562" s="201">
        <v>0.0</v>
      </c>
      <c r="Q562" s="76"/>
      <c r="R562" s="75"/>
      <c r="S562" s="76" t="s">
        <v>530</v>
      </c>
      <c r="T562" s="24" t="s">
        <v>89</v>
      </c>
      <c r="U562" s="25" t="s">
        <v>1894</v>
      </c>
      <c r="V562" s="25" t="s">
        <v>19</v>
      </c>
      <c r="W562" s="53" t="str">
        <f t="shared" si="3"/>
        <v>Ativo</v>
      </c>
      <c r="X562" s="24"/>
      <c r="Y562" s="54" t="s">
        <v>95</v>
      </c>
      <c r="Z562" s="220"/>
      <c r="AA562" s="220"/>
      <c r="AB562" s="220"/>
      <c r="AC562" s="220"/>
      <c r="AD562" s="220"/>
      <c r="AE562" s="220"/>
      <c r="AF562" s="56">
        <v>104644.56</v>
      </c>
      <c r="AG562" s="56">
        <v>105009.13</v>
      </c>
      <c r="AH562" s="56">
        <v>106396.79</v>
      </c>
      <c r="AI562" s="56">
        <v>107496.6</v>
      </c>
      <c r="AJ562" s="56">
        <v>108349.8</v>
      </c>
      <c r="AK562" s="56">
        <v>109392.57</v>
      </c>
      <c r="AL562" s="56">
        <v>110247.12</v>
      </c>
      <c r="AM562" s="56">
        <v>110627.56</v>
      </c>
      <c r="AN562" s="56">
        <v>111444.63</v>
      </c>
      <c r="AO562" s="56">
        <v>112292.46</v>
      </c>
      <c r="AP562" s="56">
        <v>113253.94</v>
      </c>
      <c r="AQ562" s="55">
        <v>114113.36</v>
      </c>
      <c r="AR562" s="55">
        <v>114480.81</v>
      </c>
      <c r="AS562" s="55">
        <v>115185.13</v>
      </c>
      <c r="AT562" s="55">
        <f t="array" ref="AT562">XLOOKUP(C562,'PL TOTAL D0'!A:A,'PL TOTAL D0'!C:C,"")</f>
        <v>115693.2</v>
      </c>
    </row>
    <row r="563" ht="15.75" customHeight="1">
      <c r="A563" s="44" t="s">
        <v>36</v>
      </c>
      <c r="B563" s="45" t="s">
        <v>1895</v>
      </c>
      <c r="C563" s="46" t="s">
        <v>1896</v>
      </c>
      <c r="D563" s="47" t="s">
        <v>86</v>
      </c>
      <c r="E563" s="24" t="s">
        <v>29</v>
      </c>
      <c r="F563" s="47" t="s">
        <v>1897</v>
      </c>
      <c r="G563" s="47" t="str">
        <f t="shared" si="1"/>
        <v>#N/A</v>
      </c>
      <c r="H563" s="48" t="s">
        <v>157</v>
      </c>
      <c r="I563" s="48" t="s">
        <v>24</v>
      </c>
      <c r="J563" s="47" t="str">
        <f t="shared" si="4"/>
        <v>Não</v>
      </c>
      <c r="K563" s="49">
        <v>44932.0</v>
      </c>
      <c r="L563" s="120">
        <v>45259.0</v>
      </c>
      <c r="M563" s="24" t="s">
        <v>60</v>
      </c>
      <c r="N563" s="50">
        <v>0.012</v>
      </c>
      <c r="O563" s="47" t="s">
        <v>24</v>
      </c>
      <c r="P563" s="51">
        <v>0.0</v>
      </c>
      <c r="Q563" s="106"/>
      <c r="R563" s="106"/>
      <c r="S563" s="106"/>
      <c r="T563" s="24" t="s">
        <v>89</v>
      </c>
      <c r="U563" s="25" t="s">
        <v>1898</v>
      </c>
      <c r="V563" s="9" t="s">
        <v>180</v>
      </c>
      <c r="W563" s="53" t="str">
        <f t="shared" si="3"/>
        <v>Encerrado</v>
      </c>
      <c r="X563" s="24"/>
      <c r="Y563" s="54"/>
      <c r="Z563" s="56"/>
      <c r="AA563" s="56"/>
      <c r="AB563" s="56"/>
      <c r="AC563" s="56"/>
      <c r="AD563" s="56"/>
      <c r="AE563" s="56">
        <v>802748.34</v>
      </c>
      <c r="AF563" s="56">
        <v>913671.31</v>
      </c>
      <c r="AG563" s="56">
        <v>918724.54</v>
      </c>
      <c r="AH563" s="56">
        <v>579356.6</v>
      </c>
      <c r="AI563" s="56">
        <v>583264.52</v>
      </c>
      <c r="AJ563" s="56">
        <v>584594.91</v>
      </c>
      <c r="AK563" s="56">
        <v>585634.41</v>
      </c>
      <c r="AL563" s="56">
        <v>587784.24</v>
      </c>
      <c r="AM563" s="56">
        <v>588943.46</v>
      </c>
      <c r="AN563" s="56">
        <v>0.0</v>
      </c>
      <c r="AO563" s="56">
        <v>0.0</v>
      </c>
      <c r="AP563" s="56">
        <v>0.0</v>
      </c>
      <c r="AQ563" s="55">
        <v>0.0</v>
      </c>
      <c r="AR563" s="55">
        <v>0.0</v>
      </c>
      <c r="AS563" s="55">
        <v>0.0</v>
      </c>
      <c r="AT563" s="55" t="str">
        <f t="array" ref="AT563">XLOOKUP(C563,'PL TOTAL D0'!A:A,'PL TOTAL D0'!C:C,"")</f>
        <v/>
      </c>
    </row>
    <row r="564" ht="15.75" customHeight="1">
      <c r="A564" s="44" t="s">
        <v>36</v>
      </c>
      <c r="B564" s="45" t="s">
        <v>1899</v>
      </c>
      <c r="C564" s="46" t="s">
        <v>1900</v>
      </c>
      <c r="D564" s="47" t="s">
        <v>18</v>
      </c>
      <c r="E564" s="24" t="s">
        <v>19</v>
      </c>
      <c r="F564" s="47" t="s">
        <v>201</v>
      </c>
      <c r="G564" s="47" t="str">
        <f t="shared" si="1"/>
        <v>Bruno</v>
      </c>
      <c r="H564" s="48" t="s">
        <v>88</v>
      </c>
      <c r="I564" s="48" t="s">
        <v>24</v>
      </c>
      <c r="J564" s="47" t="str">
        <f t="shared" si="4"/>
        <v>Não</v>
      </c>
      <c r="K564" s="49">
        <v>44946.0</v>
      </c>
      <c r="L564" s="24"/>
      <c r="M564" s="24" t="s">
        <v>60</v>
      </c>
      <c r="N564" s="50">
        <v>0.007</v>
      </c>
      <c r="O564" s="47" t="s">
        <v>24</v>
      </c>
      <c r="P564" s="51">
        <v>0.0</v>
      </c>
      <c r="Q564" s="106"/>
      <c r="R564" s="106"/>
      <c r="S564" s="106"/>
      <c r="T564" s="24" t="s">
        <v>89</v>
      </c>
      <c r="U564" s="25" t="s">
        <v>1901</v>
      </c>
      <c r="V564" s="9" t="s">
        <v>19</v>
      </c>
      <c r="W564" s="53" t="str">
        <f t="shared" si="3"/>
        <v>Ativo</v>
      </c>
      <c r="X564" s="24"/>
      <c r="Y564" s="54" t="s">
        <v>91</v>
      </c>
      <c r="Z564" s="56"/>
      <c r="AA564" s="56"/>
      <c r="AB564" s="56"/>
      <c r="AC564" s="56"/>
      <c r="AD564" s="56">
        <v>849130.06</v>
      </c>
      <c r="AE564" s="56">
        <v>876298.99</v>
      </c>
      <c r="AF564" s="56">
        <v>877861.49</v>
      </c>
      <c r="AG564" s="56">
        <v>883858.74</v>
      </c>
      <c r="AH564" s="56">
        <v>890507.37</v>
      </c>
      <c r="AI564" s="56">
        <v>896950.17</v>
      </c>
      <c r="AJ564" s="56">
        <v>904259.97</v>
      </c>
      <c r="AK564" s="56">
        <v>912107.56</v>
      </c>
      <c r="AL564" s="56">
        <v>929489.91</v>
      </c>
      <c r="AM564" s="56">
        <v>937853.27</v>
      </c>
      <c r="AN564" s="56">
        <v>969637.0</v>
      </c>
      <c r="AO564" s="56">
        <v>987498.22</v>
      </c>
      <c r="AP564" s="56">
        <v>895831.28</v>
      </c>
      <c r="AQ564" s="55">
        <v>1000404.98</v>
      </c>
      <c r="AR564" s="55">
        <v>1153441.88</v>
      </c>
      <c r="AS564" s="55">
        <v>1296844.74</v>
      </c>
      <c r="AT564" s="55">
        <f t="array" ref="AT564">XLOOKUP(C564,'PL TOTAL D0'!A:A,'PL TOTAL D0'!C:C,"")</f>
        <v>1303532</v>
      </c>
    </row>
    <row r="565" ht="15.75" customHeight="1">
      <c r="A565" s="44" t="s">
        <v>36</v>
      </c>
      <c r="B565" s="45" t="s">
        <v>1902</v>
      </c>
      <c r="C565" s="46" t="s">
        <v>1903</v>
      </c>
      <c r="D565" s="47" t="s">
        <v>18</v>
      </c>
      <c r="E565" s="24" t="s">
        <v>19</v>
      </c>
      <c r="F565" s="47" t="s">
        <v>201</v>
      </c>
      <c r="G565" s="47" t="str">
        <f t="shared" si="1"/>
        <v>Augusto</v>
      </c>
      <c r="H565" s="48" t="s">
        <v>88</v>
      </c>
      <c r="I565" s="48" t="s">
        <v>24</v>
      </c>
      <c r="J565" s="47" t="str">
        <f t="shared" si="4"/>
        <v>Sim</v>
      </c>
      <c r="K565" s="49">
        <v>45030.0</v>
      </c>
      <c r="L565" s="24"/>
      <c r="M565" s="24" t="s">
        <v>60</v>
      </c>
      <c r="N565" s="50">
        <v>0.012</v>
      </c>
      <c r="O565" s="47" t="s">
        <v>24</v>
      </c>
      <c r="P565" s="51">
        <v>0.0</v>
      </c>
      <c r="Q565" s="62" t="s">
        <v>1904</v>
      </c>
      <c r="R565" s="106"/>
      <c r="S565" s="106"/>
      <c r="T565" s="24" t="s">
        <v>89</v>
      </c>
      <c r="U565" s="25" t="s">
        <v>1901</v>
      </c>
      <c r="V565" s="9" t="s">
        <v>19</v>
      </c>
      <c r="W565" s="53" t="str">
        <f t="shared" si="3"/>
        <v>Ativo</v>
      </c>
      <c r="X565" s="24"/>
      <c r="Y565" s="54" t="s">
        <v>91</v>
      </c>
      <c r="Z565" s="56"/>
      <c r="AA565" s="56"/>
      <c r="AB565" s="56"/>
      <c r="AC565" s="56"/>
      <c r="AD565" s="56"/>
      <c r="AE565" s="56"/>
      <c r="AF565" s="56">
        <v>0.0</v>
      </c>
      <c r="AG565" s="56">
        <v>49866.06</v>
      </c>
      <c r="AH565" s="56">
        <v>50389.96</v>
      </c>
      <c r="AI565" s="56">
        <v>50830.05</v>
      </c>
      <c r="AJ565" s="56">
        <v>51225.61</v>
      </c>
      <c r="AK565" s="56">
        <v>51722.59</v>
      </c>
      <c r="AL565" s="56">
        <v>52143.83</v>
      </c>
      <c r="AM565" s="56">
        <v>52450.33</v>
      </c>
      <c r="AN565" s="56">
        <v>52839.24</v>
      </c>
      <c r="AO565" s="56">
        <v>53233.35</v>
      </c>
      <c r="AP565" s="56">
        <v>53566.67</v>
      </c>
      <c r="AQ565" s="55">
        <v>53987.41</v>
      </c>
      <c r="AR565" s="55">
        <v>154454.13</v>
      </c>
      <c r="AS565" s="55">
        <v>205889.6</v>
      </c>
      <c r="AT565" s="55">
        <f t="array" ref="AT565">XLOOKUP(C565,'PL TOTAL D0'!A:A,'PL TOTAL D0'!C:C,"")</f>
        <v>206815.7</v>
      </c>
    </row>
    <row r="566" ht="15.75" customHeight="1">
      <c r="A566" s="44" t="s">
        <v>36</v>
      </c>
      <c r="B566" s="221" t="s">
        <v>1905</v>
      </c>
      <c r="C566" s="46" t="s">
        <v>1906</v>
      </c>
      <c r="D566" s="47" t="s">
        <v>18</v>
      </c>
      <c r="E566" s="24" t="s">
        <v>19</v>
      </c>
      <c r="F566" s="47" t="s">
        <v>52</v>
      </c>
      <c r="G566" s="47" t="str">
        <f t="shared" si="1"/>
        <v>Breno</v>
      </c>
      <c r="H566" s="48" t="s">
        <v>88</v>
      </c>
      <c r="I566" s="48" t="s">
        <v>24</v>
      </c>
      <c r="J566" s="47" t="str">
        <f t="shared" si="4"/>
        <v>Não</v>
      </c>
      <c r="K566" s="49">
        <v>45086.0</v>
      </c>
      <c r="L566" s="24"/>
      <c r="M566" s="24" t="s">
        <v>60</v>
      </c>
      <c r="N566" s="50">
        <v>0.012</v>
      </c>
      <c r="O566" s="47" t="s">
        <v>24</v>
      </c>
      <c r="P566" s="51">
        <v>0.0</v>
      </c>
      <c r="Q566" s="106"/>
      <c r="R566" s="106"/>
      <c r="S566" s="106"/>
      <c r="T566" s="24" t="s">
        <v>89</v>
      </c>
      <c r="U566" s="25" t="s">
        <v>1907</v>
      </c>
      <c r="V566" s="9" t="s">
        <v>19</v>
      </c>
      <c r="W566" s="53" t="str">
        <f t="shared" si="3"/>
        <v>Ativo</v>
      </c>
      <c r="X566" s="24"/>
      <c r="Y566" s="54" t="s">
        <v>95</v>
      </c>
      <c r="Z566" s="56"/>
      <c r="AA566" s="56"/>
      <c r="AB566" s="56"/>
      <c r="AC566" s="56"/>
      <c r="AD566" s="56"/>
      <c r="AE566" s="56"/>
      <c r="AF566" s="56"/>
      <c r="AG566" s="56">
        <v>0.0</v>
      </c>
      <c r="AH566" s="56">
        <v>0.0</v>
      </c>
      <c r="AI566" s="56">
        <v>449191.02</v>
      </c>
      <c r="AJ566" s="56">
        <v>451876.08</v>
      </c>
      <c r="AK566" s="56">
        <v>454771.05</v>
      </c>
      <c r="AL566" s="56">
        <v>454815.67</v>
      </c>
      <c r="AM566" s="56">
        <v>455268.96</v>
      </c>
      <c r="AN566" s="56">
        <v>459331.33</v>
      </c>
      <c r="AO566" s="56">
        <v>463926.66</v>
      </c>
      <c r="AP566" s="56">
        <v>467515.65</v>
      </c>
      <c r="AQ566" s="55">
        <v>470343.37</v>
      </c>
      <c r="AR566" s="55">
        <v>473331.37</v>
      </c>
      <c r="AS566" s="55">
        <v>471690.24</v>
      </c>
      <c r="AT566" s="55">
        <f t="array" ref="AT566">XLOOKUP(C566,'PL TOTAL D0'!A:A,'PL TOTAL D0'!C:C,"")</f>
        <v>472819.3</v>
      </c>
    </row>
    <row r="567" ht="15.75" customHeight="1">
      <c r="A567" s="44" t="s">
        <v>36</v>
      </c>
      <c r="B567" s="57" t="s">
        <v>1908</v>
      </c>
      <c r="C567" s="46" t="s">
        <v>1909</v>
      </c>
      <c r="D567" s="47" t="s">
        <v>18</v>
      </c>
      <c r="E567" s="24" t="s">
        <v>29</v>
      </c>
      <c r="F567" s="47" t="s">
        <v>110</v>
      </c>
      <c r="G567" s="47" t="str">
        <f t="shared" si="1"/>
        <v>Bruno</v>
      </c>
      <c r="H567" s="48" t="s">
        <v>88</v>
      </c>
      <c r="I567" s="48" t="s">
        <v>24</v>
      </c>
      <c r="J567" s="47" t="str">
        <f t="shared" si="4"/>
        <v>Sim</v>
      </c>
      <c r="K567" s="49">
        <v>44992.0</v>
      </c>
      <c r="L567" s="24"/>
      <c r="M567" s="24" t="s">
        <v>60</v>
      </c>
      <c r="N567" s="50">
        <v>0.008</v>
      </c>
      <c r="O567" s="47" t="s">
        <v>24</v>
      </c>
      <c r="P567" s="51">
        <v>0.0</v>
      </c>
      <c r="Q567" s="62" t="s">
        <v>1910</v>
      </c>
      <c r="R567" s="52"/>
      <c r="S567" s="106"/>
      <c r="T567" s="24" t="s">
        <v>89</v>
      </c>
      <c r="U567" s="25" t="s">
        <v>1911</v>
      </c>
      <c r="V567" s="9" t="s">
        <v>29</v>
      </c>
      <c r="W567" s="53" t="str">
        <f t="shared" si="3"/>
        <v>Ativo</v>
      </c>
      <c r="X567" s="24"/>
      <c r="Y567" s="54" t="s">
        <v>91</v>
      </c>
      <c r="Z567" s="56"/>
      <c r="AA567" s="56"/>
      <c r="AB567" s="56"/>
      <c r="AC567" s="56"/>
      <c r="AD567" s="56"/>
      <c r="AE567" s="56">
        <v>0.0</v>
      </c>
      <c r="AF567" s="56">
        <v>1893864.24</v>
      </c>
      <c r="AG567" s="56">
        <v>2000594.47</v>
      </c>
      <c r="AH567" s="56">
        <v>2168757.62</v>
      </c>
      <c r="AI567" s="56">
        <v>2206209.9</v>
      </c>
      <c r="AJ567" s="56">
        <v>2223135.83</v>
      </c>
      <c r="AK567" s="56">
        <v>2249409.44</v>
      </c>
      <c r="AL567" s="56">
        <v>2268957.8</v>
      </c>
      <c r="AM567" s="56">
        <v>2277468.78</v>
      </c>
      <c r="AN567" s="56">
        <v>2351206.03</v>
      </c>
      <c r="AO567" s="56">
        <v>2493194.17</v>
      </c>
      <c r="AP567" s="56">
        <v>2548688.83</v>
      </c>
      <c r="AQ567" s="55">
        <v>2571543.79</v>
      </c>
      <c r="AR567" s="55">
        <v>2795806.8</v>
      </c>
      <c r="AS567" s="55">
        <v>2804842.65</v>
      </c>
      <c r="AT567" s="55">
        <f t="array" ref="AT567">XLOOKUP(C567,'PL TOTAL D0'!A:A,'PL TOTAL D0'!C:C,"")</f>
        <v>2816034</v>
      </c>
    </row>
    <row r="568" ht="15.75" customHeight="1">
      <c r="A568" s="44" t="s">
        <v>36</v>
      </c>
      <c r="B568" s="45" t="s">
        <v>1912</v>
      </c>
      <c r="C568" s="46" t="s">
        <v>1913</v>
      </c>
      <c r="D568" s="47" t="s">
        <v>18</v>
      </c>
      <c r="E568" s="24" t="s">
        <v>145</v>
      </c>
      <c r="F568" s="47" t="s">
        <v>146</v>
      </c>
      <c r="G568" s="47" t="str">
        <f t="shared" si="1"/>
        <v>Augusto</v>
      </c>
      <c r="H568" s="48" t="s">
        <v>88</v>
      </c>
      <c r="I568" s="48" t="s">
        <v>24</v>
      </c>
      <c r="J568" s="47" t="str">
        <f t="shared" si="4"/>
        <v>Não</v>
      </c>
      <c r="K568" s="49">
        <v>45260.0</v>
      </c>
      <c r="L568" s="24"/>
      <c r="M568" s="24" t="s">
        <v>162</v>
      </c>
      <c r="N568" s="50">
        <v>0.025</v>
      </c>
      <c r="O568" s="47" t="s">
        <v>163</v>
      </c>
      <c r="P568" s="51">
        <v>0.2</v>
      </c>
      <c r="Q568" s="75"/>
      <c r="R568" s="75"/>
      <c r="S568" s="52"/>
      <c r="T568" s="24" t="s">
        <v>89</v>
      </c>
      <c r="U568" s="25" t="s">
        <v>1914</v>
      </c>
      <c r="V568" s="9" t="s">
        <v>149</v>
      </c>
      <c r="W568" s="53" t="str">
        <f t="shared" si="3"/>
        <v>Ativo</v>
      </c>
      <c r="X568" s="24"/>
      <c r="Y568" s="54" t="s">
        <v>91</v>
      </c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>
        <v>0.0</v>
      </c>
      <c r="AO568" s="56">
        <v>36835.9</v>
      </c>
      <c r="AP568" s="56">
        <v>36047.55</v>
      </c>
      <c r="AQ568" s="55">
        <v>38109.64</v>
      </c>
      <c r="AR568" s="55">
        <v>40194.98</v>
      </c>
      <c r="AS568" s="55">
        <v>40411.36</v>
      </c>
      <c r="AT568" s="55">
        <f t="array" ref="AT568">XLOOKUP(C568,'PL TOTAL D0'!A:A,'PL TOTAL D0'!C:C,"")</f>
        <v>42634.97</v>
      </c>
    </row>
    <row r="569" ht="15.75" customHeight="1">
      <c r="A569" s="44" t="s">
        <v>36</v>
      </c>
      <c r="B569" s="45" t="s">
        <v>1912</v>
      </c>
      <c r="C569" s="46" t="s">
        <v>1915</v>
      </c>
      <c r="D569" s="47" t="s">
        <v>18</v>
      </c>
      <c r="E569" s="24" t="s">
        <v>145</v>
      </c>
      <c r="F569" s="47" t="s">
        <v>146</v>
      </c>
      <c r="G569" s="47" t="str">
        <f t="shared" si="1"/>
        <v>Augusto</v>
      </c>
      <c r="H569" s="48" t="s">
        <v>88</v>
      </c>
      <c r="I569" s="48" t="s">
        <v>24</v>
      </c>
      <c r="J569" s="47" t="str">
        <f t="shared" si="4"/>
        <v>Não</v>
      </c>
      <c r="K569" s="49">
        <v>45071.0</v>
      </c>
      <c r="L569" s="24"/>
      <c r="M569" s="24" t="s">
        <v>45</v>
      </c>
      <c r="N569" s="50">
        <v>0.012</v>
      </c>
      <c r="O569" s="47" t="s">
        <v>24</v>
      </c>
      <c r="P569" s="51">
        <v>0.0</v>
      </c>
      <c r="Q569" s="75"/>
      <c r="R569" s="75"/>
      <c r="S569" s="62" t="s">
        <v>1916</v>
      </c>
      <c r="T569" s="24" t="s">
        <v>89</v>
      </c>
      <c r="U569" s="25" t="s">
        <v>1914</v>
      </c>
      <c r="V569" s="9" t="s">
        <v>149</v>
      </c>
      <c r="W569" s="53" t="str">
        <f t="shared" si="3"/>
        <v>Ativo</v>
      </c>
      <c r="X569" s="24"/>
      <c r="Y569" s="54" t="s">
        <v>91</v>
      </c>
      <c r="Z569" s="56"/>
      <c r="AA569" s="56"/>
      <c r="AB569" s="56"/>
      <c r="AC569" s="56"/>
      <c r="AD569" s="56"/>
      <c r="AE569" s="56"/>
      <c r="AF569" s="56">
        <v>0.0</v>
      </c>
      <c r="AG569" s="56">
        <v>4494.36</v>
      </c>
      <c r="AH569" s="56">
        <v>9048.26</v>
      </c>
      <c r="AI569" s="56">
        <v>59569.73</v>
      </c>
      <c r="AJ569" s="56">
        <v>64630.92</v>
      </c>
      <c r="AK569" s="56">
        <v>69593.19</v>
      </c>
      <c r="AL569" s="56">
        <v>73684.92</v>
      </c>
      <c r="AM569" s="56">
        <v>78381.66</v>
      </c>
      <c r="AN569" s="56">
        <v>83617.39</v>
      </c>
      <c r="AO569" s="56">
        <v>89160.8</v>
      </c>
      <c r="AP569" s="56">
        <v>93530.33</v>
      </c>
      <c r="AQ569" s="55">
        <v>98857.87</v>
      </c>
      <c r="AR569" s="55">
        <v>104300.0</v>
      </c>
      <c r="AS569" s="55">
        <v>108339.94</v>
      </c>
      <c r="AT569" s="55">
        <f t="array" ref="AT569">XLOOKUP(C569,'PL TOTAL D0'!A:A,'PL TOTAL D0'!C:C,"")</f>
        <v>109078.8</v>
      </c>
    </row>
    <row r="570" ht="15.75" customHeight="1">
      <c r="A570" s="44" t="s">
        <v>36</v>
      </c>
      <c r="B570" s="45" t="s">
        <v>1917</v>
      </c>
      <c r="C570" s="46" t="s">
        <v>1918</v>
      </c>
      <c r="D570" s="47" t="s">
        <v>18</v>
      </c>
      <c r="E570" s="24" t="s">
        <v>19</v>
      </c>
      <c r="F570" s="47" t="s">
        <v>230</v>
      </c>
      <c r="G570" s="47" t="str">
        <f t="shared" si="1"/>
        <v>Augusto</v>
      </c>
      <c r="H570" s="48" t="s">
        <v>88</v>
      </c>
      <c r="I570" s="48" t="s">
        <v>24</v>
      </c>
      <c r="J570" s="47" t="str">
        <f t="shared" si="4"/>
        <v>Não</v>
      </c>
      <c r="K570" s="49">
        <v>44951.0</v>
      </c>
      <c r="L570" s="24"/>
      <c r="M570" s="24" t="s">
        <v>243</v>
      </c>
      <c r="N570" s="50">
        <v>0.025</v>
      </c>
      <c r="O570" s="47" t="s">
        <v>46</v>
      </c>
      <c r="P570" s="51">
        <v>0.2</v>
      </c>
      <c r="Q570" s="106"/>
      <c r="R570" s="106"/>
      <c r="S570" s="106"/>
      <c r="T570" s="24" t="s">
        <v>89</v>
      </c>
      <c r="U570" s="25" t="s">
        <v>1919</v>
      </c>
      <c r="V570" s="9" t="s">
        <v>29</v>
      </c>
      <c r="W570" s="53" t="str">
        <f t="shared" si="3"/>
        <v>Ativo</v>
      </c>
      <c r="X570" s="24"/>
      <c r="Y570" s="54" t="s">
        <v>95</v>
      </c>
      <c r="Z570" s="56"/>
      <c r="AA570" s="56"/>
      <c r="AB570" s="56"/>
      <c r="AC570" s="56">
        <v>0.5</v>
      </c>
      <c r="AD570" s="56">
        <v>129462.59</v>
      </c>
      <c r="AE570" s="56">
        <v>144797.29</v>
      </c>
      <c r="AF570" s="56">
        <v>145316.61</v>
      </c>
      <c r="AG570" s="56">
        <v>145842.39</v>
      </c>
      <c r="AH570" s="56">
        <v>147938.64</v>
      </c>
      <c r="AI570" s="56">
        <v>152357.62</v>
      </c>
      <c r="AJ570" s="56">
        <v>156012.55</v>
      </c>
      <c r="AK570" s="56">
        <v>154568.8</v>
      </c>
      <c r="AL570" s="56">
        <v>194407.84</v>
      </c>
      <c r="AM570" s="56">
        <v>193488.64</v>
      </c>
      <c r="AN570" s="56">
        <v>200174.42</v>
      </c>
      <c r="AO570" s="56">
        <v>205376.18</v>
      </c>
      <c r="AP570" s="56">
        <v>197933.0</v>
      </c>
      <c r="AQ570" s="55">
        <v>199573.02</v>
      </c>
      <c r="AR570" s="55">
        <v>216644.68</v>
      </c>
      <c r="AS570" s="55">
        <v>213157.32</v>
      </c>
      <c r="AT570" s="55">
        <f t="array" ref="AT570">XLOOKUP(C570,'PL TOTAL D0'!A:A,'PL TOTAL D0'!C:C,"")</f>
        <v>215822.3</v>
      </c>
    </row>
    <row r="571" ht="15.75" customHeight="1">
      <c r="A571" s="44" t="s">
        <v>36</v>
      </c>
      <c r="B571" s="45" t="s">
        <v>1920</v>
      </c>
      <c r="C571" s="46" t="s">
        <v>1921</v>
      </c>
      <c r="D571" s="47" t="s">
        <v>18</v>
      </c>
      <c r="E571" s="24" t="s">
        <v>29</v>
      </c>
      <c r="F571" s="9" t="s">
        <v>569</v>
      </c>
      <c r="G571" s="47" t="str">
        <f t="shared" si="1"/>
        <v>Augusto</v>
      </c>
      <c r="H571" s="53" t="s">
        <v>116</v>
      </c>
      <c r="I571" s="53" t="s">
        <v>161</v>
      </c>
      <c r="J571" s="47" t="str">
        <f t="shared" si="4"/>
        <v>Não</v>
      </c>
      <c r="K571" s="49">
        <v>45042.0</v>
      </c>
      <c r="L571" s="24"/>
      <c r="M571" s="24" t="s">
        <v>243</v>
      </c>
      <c r="N571" s="50">
        <v>0.02</v>
      </c>
      <c r="O571" s="47" t="s">
        <v>46</v>
      </c>
      <c r="P571" s="51">
        <v>0.2</v>
      </c>
      <c r="Q571" s="62"/>
      <c r="R571" s="106"/>
      <c r="S571" s="72" t="s">
        <v>1922</v>
      </c>
      <c r="T571" s="24" t="s">
        <v>89</v>
      </c>
      <c r="U571" s="25" t="s">
        <v>1923</v>
      </c>
      <c r="V571" s="9" t="s">
        <v>29</v>
      </c>
      <c r="W571" s="53" t="str">
        <f t="shared" si="3"/>
        <v>Ativo</v>
      </c>
      <c r="X571" s="24"/>
      <c r="Y571" s="54" t="s">
        <v>95</v>
      </c>
      <c r="Z571" s="56"/>
      <c r="AA571" s="56"/>
      <c r="AB571" s="56"/>
      <c r="AC571" s="56"/>
      <c r="AD571" s="56"/>
      <c r="AE571" s="56"/>
      <c r="AF571" s="56"/>
      <c r="AG571" s="56">
        <v>504162.28</v>
      </c>
      <c r="AH571" s="56">
        <v>618853.27</v>
      </c>
      <c r="AI571" s="56">
        <v>636897.62</v>
      </c>
      <c r="AJ571" s="56">
        <v>652844.08</v>
      </c>
      <c r="AK571" s="56">
        <v>641406.1</v>
      </c>
      <c r="AL571" s="56">
        <v>642259.74</v>
      </c>
      <c r="AM571" s="56">
        <v>635116.45</v>
      </c>
      <c r="AN571" s="56">
        <v>657145.17</v>
      </c>
      <c r="AO571" s="56">
        <v>674875.78</v>
      </c>
      <c r="AP571" s="56">
        <v>651865.15</v>
      </c>
      <c r="AQ571" s="55">
        <v>575384.85</v>
      </c>
      <c r="AR571" s="55">
        <v>582727.07</v>
      </c>
      <c r="AS571" s="55">
        <v>918.37</v>
      </c>
      <c r="AT571" s="55">
        <f t="array" ref="AT571">XLOOKUP(C571,'PL TOTAL D0'!A:A,'PL TOTAL D0'!C:C,"")</f>
        <v>918.37</v>
      </c>
    </row>
    <row r="572" ht="15.75" customHeight="1">
      <c r="A572" s="44" t="s">
        <v>36</v>
      </c>
      <c r="B572" s="63" t="s">
        <v>1924</v>
      </c>
      <c r="C572" s="46" t="s">
        <v>1925</v>
      </c>
      <c r="D572" s="47" t="s">
        <v>86</v>
      </c>
      <c r="E572" s="24" t="s">
        <v>29</v>
      </c>
      <c r="F572" s="47" t="s">
        <v>1926</v>
      </c>
      <c r="G572" s="47" t="str">
        <f t="shared" si="1"/>
        <v>Augusto</v>
      </c>
      <c r="H572" s="53" t="s">
        <v>116</v>
      </c>
      <c r="I572" s="48" t="s">
        <v>24</v>
      </c>
      <c r="J572" s="47" t="str">
        <f t="shared" si="4"/>
        <v>Sim</v>
      </c>
      <c r="K572" s="49">
        <v>45012.0</v>
      </c>
      <c r="L572" s="24"/>
      <c r="M572" s="24" t="s">
        <v>111</v>
      </c>
      <c r="N572" s="50">
        <v>0.015</v>
      </c>
      <c r="O572" s="47" t="s">
        <v>46</v>
      </c>
      <c r="P572" s="51">
        <v>0.1</v>
      </c>
      <c r="Q572" s="161" t="s">
        <v>1927</v>
      </c>
      <c r="R572" s="106"/>
      <c r="S572" s="106"/>
      <c r="T572" s="24" t="s">
        <v>89</v>
      </c>
      <c r="U572" s="25" t="s">
        <v>1928</v>
      </c>
      <c r="V572" s="9" t="s">
        <v>29</v>
      </c>
      <c r="W572" s="53" t="str">
        <f t="shared" si="3"/>
        <v>Ativo</v>
      </c>
      <c r="X572" s="24"/>
      <c r="Y572" s="54" t="s">
        <v>95</v>
      </c>
      <c r="Z572" s="56"/>
      <c r="AA572" s="56"/>
      <c r="AB572" s="56"/>
      <c r="AC572" s="56"/>
      <c r="AD572" s="56"/>
      <c r="AE572" s="56"/>
      <c r="AF572" s="56">
        <v>350337.58</v>
      </c>
      <c r="AG572" s="56">
        <v>351903.67</v>
      </c>
      <c r="AH572" s="56">
        <v>340102.23</v>
      </c>
      <c r="AI572" s="56">
        <v>332995.49</v>
      </c>
      <c r="AJ572" s="56">
        <v>314336.41</v>
      </c>
      <c r="AK572" s="56">
        <v>242316.62</v>
      </c>
      <c r="AL572" s="56">
        <v>213072.17</v>
      </c>
      <c r="AM572" s="56">
        <v>172288.07</v>
      </c>
      <c r="AN572" s="56">
        <v>135635.54</v>
      </c>
      <c r="AO572" s="56">
        <v>82464.94</v>
      </c>
      <c r="AP572" s="56">
        <v>50275.19</v>
      </c>
      <c r="AQ572" s="55">
        <v>16773.51</v>
      </c>
      <c r="AR572" s="55">
        <v>16731.64</v>
      </c>
      <c r="AS572" s="55">
        <v>16735.57</v>
      </c>
      <c r="AT572" s="55">
        <f t="array" ref="AT572">XLOOKUP(C572,'PL TOTAL D0'!A:A,'PL TOTAL D0'!C:C,"")</f>
        <v>16728</v>
      </c>
    </row>
    <row r="573" ht="15.75" customHeight="1">
      <c r="A573" s="6" t="s">
        <v>36</v>
      </c>
      <c r="B573" s="57" t="s">
        <v>1929</v>
      </c>
      <c r="C573" s="58" t="s">
        <v>1930</v>
      </c>
      <c r="D573" s="9" t="s">
        <v>18</v>
      </c>
      <c r="E573" s="25" t="s">
        <v>29</v>
      </c>
      <c r="F573" s="9" t="s">
        <v>98</v>
      </c>
      <c r="G573" s="47" t="str">
        <f t="shared" si="1"/>
        <v>Augusto</v>
      </c>
      <c r="H573" s="53" t="s">
        <v>88</v>
      </c>
      <c r="I573" s="53" t="s">
        <v>24</v>
      </c>
      <c r="J573" s="47" t="str">
        <f t="shared" si="4"/>
        <v>Sim</v>
      </c>
      <c r="K573" s="59">
        <v>45341.0</v>
      </c>
      <c r="L573" s="24"/>
      <c r="M573" s="25" t="s">
        <v>106</v>
      </c>
      <c r="N573" s="60">
        <v>0.01</v>
      </c>
      <c r="O573" s="9" t="s">
        <v>46</v>
      </c>
      <c r="P573" s="61">
        <v>0.0</v>
      </c>
      <c r="Q573" s="62" t="s">
        <v>1931</v>
      </c>
      <c r="R573" s="106"/>
      <c r="S573" s="106"/>
      <c r="T573" s="25" t="s">
        <v>89</v>
      </c>
      <c r="U573" s="25" t="s">
        <v>1932</v>
      </c>
      <c r="V573" s="9" t="s">
        <v>29</v>
      </c>
      <c r="W573" s="53" t="str">
        <f t="shared" si="3"/>
        <v>Ativo</v>
      </c>
      <c r="X573" s="24"/>
      <c r="Y573" s="54" t="s">
        <v>95</v>
      </c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5">
        <v>35089.67</v>
      </c>
      <c r="AR573" s="55">
        <v>54451.84</v>
      </c>
      <c r="AS573" s="55">
        <v>54735.12</v>
      </c>
      <c r="AT573" s="55">
        <f t="array" ref="AT573">XLOOKUP(C573,'PL TOTAL D0'!A:A,'PL TOTAL D0'!C:C,"")</f>
        <v>40334.46</v>
      </c>
    </row>
    <row r="574" ht="15.75" customHeight="1">
      <c r="A574" s="44" t="s">
        <v>36</v>
      </c>
      <c r="B574" s="45" t="s">
        <v>1933</v>
      </c>
      <c r="C574" s="46" t="s">
        <v>1934</v>
      </c>
      <c r="D574" s="47" t="s">
        <v>18</v>
      </c>
      <c r="E574" s="24" t="s">
        <v>29</v>
      </c>
      <c r="F574" s="47" t="s">
        <v>110</v>
      </c>
      <c r="G574" s="47" t="str">
        <f t="shared" si="1"/>
        <v>Augusto</v>
      </c>
      <c r="H574" s="53" t="s">
        <v>88</v>
      </c>
      <c r="I574" s="53" t="s">
        <v>24</v>
      </c>
      <c r="J574" s="47" t="str">
        <f t="shared" si="4"/>
        <v>Não</v>
      </c>
      <c r="K574" s="49">
        <v>45041.0</v>
      </c>
      <c r="L574" s="24"/>
      <c r="M574" s="24" t="s">
        <v>60</v>
      </c>
      <c r="N574" s="50">
        <v>0.007</v>
      </c>
      <c r="O574" s="47" t="s">
        <v>24</v>
      </c>
      <c r="P574" s="51">
        <v>0.0</v>
      </c>
      <c r="Q574" s="106"/>
      <c r="R574" s="106"/>
      <c r="S574" s="106"/>
      <c r="T574" s="24" t="s">
        <v>89</v>
      </c>
      <c r="U574" s="25" t="s">
        <v>1935</v>
      </c>
      <c r="V574" s="9" t="s">
        <v>29</v>
      </c>
      <c r="W574" s="53" t="str">
        <f t="shared" si="3"/>
        <v>Ativo</v>
      </c>
      <c r="X574" s="24"/>
      <c r="Y574" s="54" t="s">
        <v>95</v>
      </c>
      <c r="Z574" s="56"/>
      <c r="AA574" s="56"/>
      <c r="AB574" s="56"/>
      <c r="AC574" s="56"/>
      <c r="AD574" s="56"/>
      <c r="AE574" s="56"/>
      <c r="AF574" s="56">
        <v>0.0</v>
      </c>
      <c r="AG574" s="56">
        <v>107406.13</v>
      </c>
      <c r="AH574" s="56">
        <v>108108.28</v>
      </c>
      <c r="AI574" s="56">
        <v>107124.87</v>
      </c>
      <c r="AJ574" s="56">
        <v>107989.96</v>
      </c>
      <c r="AK574" s="56">
        <v>108656.69</v>
      </c>
      <c r="AL574" s="56">
        <v>109097.2</v>
      </c>
      <c r="AM574" s="56">
        <v>107631.81</v>
      </c>
      <c r="AN574" s="56">
        <v>109898.82</v>
      </c>
      <c r="AO574" s="56">
        <v>122192.3</v>
      </c>
      <c r="AP574" s="56">
        <v>138269.42</v>
      </c>
      <c r="AQ574" s="55">
        <v>139093.12</v>
      </c>
      <c r="AR574" s="55">
        <v>140285.0</v>
      </c>
      <c r="AS574" s="55">
        <v>155862.91</v>
      </c>
      <c r="AT574" s="55">
        <f t="array" ref="AT574">XLOOKUP(C574,'PL TOTAL D0'!A:A,'PL TOTAL D0'!C:C,"")</f>
        <v>140383.4</v>
      </c>
    </row>
    <row r="575" ht="15.75" customHeight="1">
      <c r="A575" s="44" t="s">
        <v>36</v>
      </c>
      <c r="B575" s="68" t="s">
        <v>1936</v>
      </c>
      <c r="C575" s="46" t="s">
        <v>1937</v>
      </c>
      <c r="D575" s="47" t="s">
        <v>18</v>
      </c>
      <c r="E575" s="24" t="s">
        <v>29</v>
      </c>
      <c r="F575" s="47" t="s">
        <v>58</v>
      </c>
      <c r="G575" s="47" t="str">
        <f t="shared" si="1"/>
        <v>#N/A</v>
      </c>
      <c r="H575" s="53" t="s">
        <v>116</v>
      </c>
      <c r="I575" s="48" t="s">
        <v>130</v>
      </c>
      <c r="J575" s="47" t="str">
        <f t="shared" si="4"/>
        <v>Não</v>
      </c>
      <c r="K575" s="49">
        <v>45218.0</v>
      </c>
      <c r="L575" s="24"/>
      <c r="M575" s="24" t="s">
        <v>99</v>
      </c>
      <c r="N575" s="50">
        <v>0.0</v>
      </c>
      <c r="O575" s="47" t="s">
        <v>24</v>
      </c>
      <c r="P575" s="51">
        <v>0.0</v>
      </c>
      <c r="Q575" s="106"/>
      <c r="R575" s="106"/>
      <c r="S575" s="106"/>
      <c r="T575" s="24" t="s">
        <v>329</v>
      </c>
      <c r="U575" s="25" t="s">
        <v>1938</v>
      </c>
      <c r="V575" s="9" t="s">
        <v>29</v>
      </c>
      <c r="W575" s="53" t="str">
        <f t="shared" si="3"/>
        <v>Ativo</v>
      </c>
      <c r="X575" s="24"/>
      <c r="Y575" s="54" t="s">
        <v>95</v>
      </c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>
        <v>0.0</v>
      </c>
      <c r="AN575" s="56">
        <v>0.0</v>
      </c>
      <c r="AO575" s="56">
        <v>0.0</v>
      </c>
      <c r="AP575" s="56">
        <v>0.0</v>
      </c>
      <c r="AQ575" s="55">
        <v>0.0</v>
      </c>
      <c r="AR575" s="55">
        <v>0.0</v>
      </c>
      <c r="AS575" s="55">
        <v>0.0</v>
      </c>
      <c r="AT575" s="55" t="str">
        <f t="array" ref="AT575">XLOOKUP(C575,'PL TOTAL D0'!A:A,'PL TOTAL D0'!C:C,"")</f>
        <v/>
      </c>
    </row>
    <row r="576" ht="15.75" customHeight="1">
      <c r="A576" s="6" t="s">
        <v>36</v>
      </c>
      <c r="B576" s="66" t="s">
        <v>1939</v>
      </c>
      <c r="C576" s="67" t="s">
        <v>1940</v>
      </c>
      <c r="D576" s="9" t="s">
        <v>18</v>
      </c>
      <c r="E576" s="25" t="s">
        <v>29</v>
      </c>
      <c r="F576" s="9" t="s">
        <v>569</v>
      </c>
      <c r="G576" s="47" t="str">
        <f t="shared" si="1"/>
        <v>Augusto</v>
      </c>
      <c r="H576" s="53" t="s">
        <v>88</v>
      </c>
      <c r="I576" s="53" t="s">
        <v>24</v>
      </c>
      <c r="J576" s="47" t="str">
        <f>IF(Q575=0,"Não","Sim")</f>
        <v>Não</v>
      </c>
      <c r="K576" s="59">
        <v>45385.0</v>
      </c>
      <c r="L576" s="24"/>
      <c r="M576" s="25" t="s">
        <v>60</v>
      </c>
      <c r="N576" s="60">
        <v>0.012</v>
      </c>
      <c r="O576" s="9" t="s">
        <v>24</v>
      </c>
      <c r="P576" s="61">
        <v>0.0</v>
      </c>
      <c r="Q576" s="15" t="s">
        <v>1941</v>
      </c>
      <c r="R576" s="106"/>
      <c r="S576" s="106"/>
      <c r="T576" s="25" t="s">
        <v>89</v>
      </c>
      <c r="U576" s="5" t="s">
        <v>1942</v>
      </c>
      <c r="V576" s="9" t="s">
        <v>29</v>
      </c>
      <c r="W576" s="53" t="str">
        <f t="shared" si="3"/>
        <v>Ativo</v>
      </c>
      <c r="X576" s="24"/>
      <c r="Y576" s="54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5"/>
      <c r="AR576" s="55"/>
      <c r="AS576" s="55">
        <v>148083.84</v>
      </c>
      <c r="AT576" s="55">
        <f t="array" ref="AT576">XLOOKUP(C576,'PL TOTAL D0'!A:A,'PL TOTAL D0'!C:C,"")</f>
        <v>212704.1</v>
      </c>
    </row>
    <row r="577" ht="15.75" customHeight="1">
      <c r="A577" s="44" t="s">
        <v>36</v>
      </c>
      <c r="B577" s="45" t="s">
        <v>1943</v>
      </c>
      <c r="C577" s="46" t="s">
        <v>1944</v>
      </c>
      <c r="D577" s="47" t="s">
        <v>18</v>
      </c>
      <c r="E577" s="24" t="s">
        <v>145</v>
      </c>
      <c r="F577" s="47" t="s">
        <v>146</v>
      </c>
      <c r="G577" s="47" t="str">
        <f t="shared" si="1"/>
        <v>Augusto</v>
      </c>
      <c r="H577" s="48" t="s">
        <v>116</v>
      </c>
      <c r="I577" s="48" t="s">
        <v>161</v>
      </c>
      <c r="J577" s="47" t="str">
        <f t="shared" ref="J577:J639" si="5">IF(Q577=0,"Não","Sim")</f>
        <v>Não</v>
      </c>
      <c r="K577" s="49">
        <v>45159.0</v>
      </c>
      <c r="L577" s="64"/>
      <c r="M577" s="24" t="s">
        <v>60</v>
      </c>
      <c r="N577" s="50">
        <v>0.012</v>
      </c>
      <c r="O577" s="47" t="s">
        <v>24</v>
      </c>
      <c r="P577" s="51">
        <v>0.0</v>
      </c>
      <c r="Q577" s="75"/>
      <c r="R577" s="75"/>
      <c r="S577" s="222" t="s">
        <v>1945</v>
      </c>
      <c r="T577" s="24" t="s">
        <v>89</v>
      </c>
      <c r="U577" s="25" t="s">
        <v>1946</v>
      </c>
      <c r="V577" s="9" t="s">
        <v>149</v>
      </c>
      <c r="W577" s="53" t="str">
        <f t="shared" si="3"/>
        <v>Ativo</v>
      </c>
      <c r="X577" s="24"/>
      <c r="Y577" s="54" t="s">
        <v>91</v>
      </c>
      <c r="Z577" s="56"/>
      <c r="AA577" s="56"/>
      <c r="AB577" s="56"/>
      <c r="AC577" s="56"/>
      <c r="AD577" s="56"/>
      <c r="AE577" s="56"/>
      <c r="AF577" s="56">
        <v>0.0</v>
      </c>
      <c r="AG577" s="56">
        <v>0.0</v>
      </c>
      <c r="AH577" s="56">
        <v>0.0</v>
      </c>
      <c r="AI577" s="56">
        <v>0.0</v>
      </c>
      <c r="AJ577" s="56">
        <v>0.0</v>
      </c>
      <c r="AK577" s="56">
        <v>48613.69</v>
      </c>
      <c r="AL577" s="56">
        <v>38676.69</v>
      </c>
      <c r="AM577" s="56">
        <v>0.05</v>
      </c>
      <c r="AN577" s="56">
        <v>0.05</v>
      </c>
      <c r="AO577" s="56">
        <v>0.05</v>
      </c>
      <c r="AP577" s="56">
        <v>0.05</v>
      </c>
      <c r="AQ577" s="55">
        <v>0.16</v>
      </c>
      <c r="AR577" s="55">
        <v>0.16</v>
      </c>
      <c r="AS577" s="55">
        <v>0.16</v>
      </c>
      <c r="AT577" s="55">
        <f t="array" ref="AT577">XLOOKUP(C577,'PL TOTAL D0'!A:A,'PL TOTAL D0'!C:C,"")</f>
        <v>0.16</v>
      </c>
    </row>
    <row r="578" ht="15.75" customHeight="1">
      <c r="A578" s="44" t="s">
        <v>36</v>
      </c>
      <c r="B578" s="45" t="s">
        <v>1947</v>
      </c>
      <c r="C578" s="46" t="s">
        <v>1948</v>
      </c>
      <c r="D578" s="47" t="s">
        <v>18</v>
      </c>
      <c r="E578" s="24" t="s">
        <v>29</v>
      </c>
      <c r="F578" s="47" t="s">
        <v>58</v>
      </c>
      <c r="G578" s="47" t="str">
        <f t="shared" si="1"/>
        <v>#N/A</v>
      </c>
      <c r="H578" s="48" t="s">
        <v>116</v>
      </c>
      <c r="I578" s="53" t="s">
        <v>130</v>
      </c>
      <c r="J578" s="47" t="str">
        <f t="shared" si="5"/>
        <v>Não</v>
      </c>
      <c r="K578" s="49">
        <v>45159.0</v>
      </c>
      <c r="L578" s="64"/>
      <c r="M578" s="24" t="s">
        <v>99</v>
      </c>
      <c r="N578" s="50">
        <v>0.0</v>
      </c>
      <c r="O578" s="47" t="s">
        <v>24</v>
      </c>
      <c r="P578" s="51">
        <v>0.0</v>
      </c>
      <c r="Q578" s="106"/>
      <c r="R578" s="106"/>
      <c r="S578" s="223" t="s">
        <v>1949</v>
      </c>
      <c r="T578" s="24" t="s">
        <v>329</v>
      </c>
      <c r="U578" s="25" t="s">
        <v>1950</v>
      </c>
      <c r="V578" s="9" t="s">
        <v>29</v>
      </c>
      <c r="W578" s="53" t="str">
        <f t="shared" si="3"/>
        <v>Ativo</v>
      </c>
      <c r="X578" s="24"/>
      <c r="Y578" s="54" t="s">
        <v>95</v>
      </c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>
        <v>0.0</v>
      </c>
      <c r="AK578" s="56">
        <v>0.0</v>
      </c>
      <c r="AL578" s="56">
        <v>0.0</v>
      </c>
      <c r="AM578" s="56">
        <v>0.0</v>
      </c>
      <c r="AN578" s="56">
        <v>0.0</v>
      </c>
      <c r="AO578" s="56">
        <v>0.0</v>
      </c>
      <c r="AP578" s="56">
        <v>0.0</v>
      </c>
      <c r="AQ578" s="55">
        <v>0.0</v>
      </c>
      <c r="AR578" s="55">
        <v>0.0</v>
      </c>
      <c r="AS578" s="55">
        <v>0.0</v>
      </c>
      <c r="AT578" s="55" t="str">
        <f t="array" ref="AT578">XLOOKUP(C578,'PL TOTAL D0'!A:A,'PL TOTAL D0'!C:C,"")</f>
        <v/>
      </c>
    </row>
    <row r="579" ht="15.75" customHeight="1">
      <c r="A579" s="44" t="s">
        <v>36</v>
      </c>
      <c r="B579" s="57" t="s">
        <v>1951</v>
      </c>
      <c r="C579" s="46" t="s">
        <v>1952</v>
      </c>
      <c r="D579" s="47" t="s">
        <v>18</v>
      </c>
      <c r="E579" s="24" t="s">
        <v>19</v>
      </c>
      <c r="F579" s="47" t="s">
        <v>20</v>
      </c>
      <c r="G579" s="47" t="str">
        <f t="shared" si="1"/>
        <v>Breno</v>
      </c>
      <c r="H579" s="48" t="s">
        <v>88</v>
      </c>
      <c r="I579" s="48" t="s">
        <v>24</v>
      </c>
      <c r="J579" s="47" t="str">
        <f t="shared" si="5"/>
        <v>Não</v>
      </c>
      <c r="K579" s="49">
        <v>44951.0</v>
      </c>
      <c r="L579" s="24"/>
      <c r="M579" s="24" t="s">
        <v>60</v>
      </c>
      <c r="N579" s="50">
        <v>0.012</v>
      </c>
      <c r="O579" s="47" t="s">
        <v>24</v>
      </c>
      <c r="P579" s="51">
        <v>0.0</v>
      </c>
      <c r="Q579" s="44"/>
      <c r="R579" s="106"/>
      <c r="S579" s="62" t="s">
        <v>1953</v>
      </c>
      <c r="T579" s="24" t="s">
        <v>89</v>
      </c>
      <c r="U579" s="25" t="s">
        <v>1954</v>
      </c>
      <c r="V579" s="9" t="s">
        <v>19</v>
      </c>
      <c r="W579" s="53" t="str">
        <f t="shared" si="3"/>
        <v>Ativo</v>
      </c>
      <c r="X579" s="24"/>
      <c r="Y579" s="54" t="s">
        <v>95</v>
      </c>
      <c r="Z579" s="56"/>
      <c r="AA579" s="56"/>
      <c r="AB579" s="56"/>
      <c r="AC579" s="56"/>
      <c r="AD579" s="56">
        <v>640201.03</v>
      </c>
      <c r="AE579" s="56">
        <v>841947.6</v>
      </c>
      <c r="AF579" s="56">
        <v>851371.63</v>
      </c>
      <c r="AG579" s="56">
        <v>857106.85</v>
      </c>
      <c r="AH579" s="56">
        <v>820233.94</v>
      </c>
      <c r="AI579" s="56">
        <v>782725.41</v>
      </c>
      <c r="AJ579" s="56">
        <v>788355.82</v>
      </c>
      <c r="AK579" s="56">
        <v>815467.53</v>
      </c>
      <c r="AL579" s="56">
        <v>821280.09</v>
      </c>
      <c r="AM579" s="56">
        <v>827608.99</v>
      </c>
      <c r="AN579" s="56">
        <v>833741.49</v>
      </c>
      <c r="AO579" s="56">
        <v>855396.58</v>
      </c>
      <c r="AP579" s="56">
        <v>862753.85</v>
      </c>
      <c r="AQ579" s="55">
        <v>969583.34</v>
      </c>
      <c r="AR579" s="55">
        <v>978638.13</v>
      </c>
      <c r="AS579" s="55">
        <v>986443.11</v>
      </c>
      <c r="AT579" s="55">
        <f t="array" ref="AT579">XLOOKUP(C579,'PL TOTAL D0'!A:A,'PL TOTAL D0'!C:C,"")</f>
        <v>986256.4</v>
      </c>
    </row>
    <row r="580" ht="15.75" customHeight="1">
      <c r="A580" s="44" t="s">
        <v>36</v>
      </c>
      <c r="B580" s="124" t="s">
        <v>1955</v>
      </c>
      <c r="C580" s="46" t="s">
        <v>1956</v>
      </c>
      <c r="D580" s="47" t="s">
        <v>18</v>
      </c>
      <c r="E580" s="24" t="s">
        <v>145</v>
      </c>
      <c r="F580" s="47" t="s">
        <v>171</v>
      </c>
      <c r="G580" s="47" t="str">
        <f t="shared" si="1"/>
        <v>Augusto</v>
      </c>
      <c r="H580" s="48" t="s">
        <v>88</v>
      </c>
      <c r="I580" s="48" t="s">
        <v>24</v>
      </c>
      <c r="J580" s="47" t="str">
        <f t="shared" si="5"/>
        <v>Não</v>
      </c>
      <c r="K580" s="49">
        <v>45075.0</v>
      </c>
      <c r="L580" s="24"/>
      <c r="M580" s="24" t="s">
        <v>60</v>
      </c>
      <c r="N580" s="50">
        <v>0.012</v>
      </c>
      <c r="O580" s="47" t="s">
        <v>24</v>
      </c>
      <c r="P580" s="51">
        <v>0.0</v>
      </c>
      <c r="Q580" s="106"/>
      <c r="R580" s="106"/>
      <c r="S580" s="106"/>
      <c r="T580" s="24" t="s">
        <v>89</v>
      </c>
      <c r="U580" s="25" t="s">
        <v>1957</v>
      </c>
      <c r="V580" s="9" t="s">
        <v>149</v>
      </c>
      <c r="W580" s="53" t="str">
        <f t="shared" si="3"/>
        <v>Ativo</v>
      </c>
      <c r="X580" s="24"/>
      <c r="Y580" s="54" t="s">
        <v>91</v>
      </c>
      <c r="Z580" s="56"/>
      <c r="AA580" s="56"/>
      <c r="AB580" s="56"/>
      <c r="AC580" s="56"/>
      <c r="AD580" s="56"/>
      <c r="AE580" s="56"/>
      <c r="AF580" s="56">
        <v>0.0</v>
      </c>
      <c r="AG580" s="56">
        <v>0.0</v>
      </c>
      <c r="AH580" s="56">
        <v>357473.9</v>
      </c>
      <c r="AI580" s="56">
        <v>352698.01</v>
      </c>
      <c r="AJ580" s="56">
        <v>342580.44</v>
      </c>
      <c r="AK580" s="56">
        <v>333648.49</v>
      </c>
      <c r="AL580" s="56">
        <v>323131.19</v>
      </c>
      <c r="AM580" s="56">
        <v>312639.69</v>
      </c>
      <c r="AN580" s="56">
        <v>315737.75</v>
      </c>
      <c r="AO580" s="56">
        <v>306187.49</v>
      </c>
      <c r="AP580" s="56">
        <v>292129.58</v>
      </c>
      <c r="AQ580" s="55">
        <v>283839.87</v>
      </c>
      <c r="AR580" s="55">
        <v>273707.75</v>
      </c>
      <c r="AS580" s="55">
        <v>250411.36</v>
      </c>
      <c r="AT580" s="55">
        <f t="array" ref="AT580">XLOOKUP(C580,'PL TOTAL D0'!A:A,'PL TOTAL D0'!C:C,"")</f>
        <v>251390.6</v>
      </c>
    </row>
    <row r="581" ht="15.75" customHeight="1">
      <c r="A581" s="6" t="s">
        <v>36</v>
      </c>
      <c r="B581" s="57" t="s">
        <v>1958</v>
      </c>
      <c r="C581" s="58" t="s">
        <v>1959</v>
      </c>
      <c r="D581" s="9" t="s">
        <v>18</v>
      </c>
      <c r="E581" s="25" t="s">
        <v>29</v>
      </c>
      <c r="F581" s="9" t="s">
        <v>110</v>
      </c>
      <c r="G581" s="47" t="str">
        <f t="shared" si="1"/>
        <v>Augusto</v>
      </c>
      <c r="H581" s="53" t="s">
        <v>88</v>
      </c>
      <c r="I581" s="53" t="s">
        <v>24</v>
      </c>
      <c r="J581" s="47" t="str">
        <f t="shared" si="5"/>
        <v>Não</v>
      </c>
      <c r="K581" s="59">
        <v>45308.0</v>
      </c>
      <c r="L581" s="24"/>
      <c r="M581" s="25" t="s">
        <v>99</v>
      </c>
      <c r="N581" s="60">
        <v>0.0</v>
      </c>
      <c r="O581" s="9" t="s">
        <v>24</v>
      </c>
      <c r="P581" s="61">
        <v>0.0</v>
      </c>
      <c r="Q581" s="106"/>
      <c r="R581" s="106"/>
      <c r="S581" s="106"/>
      <c r="T581" s="25" t="s">
        <v>89</v>
      </c>
      <c r="U581" s="25" t="s">
        <v>1960</v>
      </c>
      <c r="V581" s="9" t="s">
        <v>29</v>
      </c>
      <c r="W581" s="53" t="str">
        <f t="shared" si="3"/>
        <v>Ativo</v>
      </c>
      <c r="X581" s="24"/>
      <c r="Y581" s="54" t="s">
        <v>95</v>
      </c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>
        <v>995.42</v>
      </c>
      <c r="AQ581" s="55">
        <v>1299.02</v>
      </c>
      <c r="AR581" s="55">
        <v>1301.52</v>
      </c>
      <c r="AS581" s="55">
        <v>1296.73</v>
      </c>
      <c r="AT581" s="55">
        <f t="array" ref="AT581">XLOOKUP(C581,'PL TOTAL D0'!A:A,'PL TOTAL D0'!C:C,"")</f>
        <v>1302.98</v>
      </c>
    </row>
    <row r="582" ht="15.75" customHeight="1">
      <c r="A582" s="44" t="s">
        <v>36</v>
      </c>
      <c r="B582" s="224" t="s">
        <v>1961</v>
      </c>
      <c r="C582" s="46" t="s">
        <v>1962</v>
      </c>
      <c r="D582" s="47" t="s">
        <v>18</v>
      </c>
      <c r="E582" s="24" t="s">
        <v>145</v>
      </c>
      <c r="F582" s="47" t="s">
        <v>171</v>
      </c>
      <c r="G582" s="47" t="str">
        <f t="shared" si="1"/>
        <v>Augusto</v>
      </c>
      <c r="H582" s="48" t="s">
        <v>116</v>
      </c>
      <c r="I582" s="53" t="s">
        <v>161</v>
      </c>
      <c r="J582" s="47" t="str">
        <f t="shared" si="5"/>
        <v>Não</v>
      </c>
      <c r="K582" s="49">
        <v>45043.0</v>
      </c>
      <c r="L582" s="24"/>
      <c r="M582" s="24" t="s">
        <v>166</v>
      </c>
      <c r="N582" s="50">
        <v>0.008</v>
      </c>
      <c r="O582" s="47" t="s">
        <v>167</v>
      </c>
      <c r="P582" s="51">
        <v>0.1</v>
      </c>
      <c r="Q582" s="106"/>
      <c r="R582" s="106"/>
      <c r="S582" s="225" t="s">
        <v>1963</v>
      </c>
      <c r="T582" s="24" t="s">
        <v>89</v>
      </c>
      <c r="U582" s="25" t="s">
        <v>1964</v>
      </c>
      <c r="V582" s="9" t="s">
        <v>796</v>
      </c>
      <c r="W582" s="53" t="str">
        <f t="shared" si="3"/>
        <v>Ativo</v>
      </c>
      <c r="X582" s="24"/>
      <c r="Y582" s="54" t="s">
        <v>95</v>
      </c>
      <c r="Z582" s="56"/>
      <c r="AA582" s="56"/>
      <c r="AB582" s="56"/>
      <c r="AC582" s="56"/>
      <c r="AD582" s="56">
        <v>0.0</v>
      </c>
      <c r="AE582" s="56">
        <v>0.0</v>
      </c>
      <c r="AF582" s="56">
        <v>0.0</v>
      </c>
      <c r="AG582" s="56">
        <v>79248.86</v>
      </c>
      <c r="AH582" s="56">
        <v>712.78</v>
      </c>
      <c r="AI582" s="56">
        <v>712.78</v>
      </c>
      <c r="AJ582" s="56">
        <v>729.09</v>
      </c>
      <c r="AK582" s="56">
        <v>729.09</v>
      </c>
      <c r="AL582" s="56">
        <v>729.09</v>
      </c>
      <c r="AM582" s="56">
        <v>731.42</v>
      </c>
      <c r="AN582" s="56">
        <v>736.8</v>
      </c>
      <c r="AO582" s="56">
        <v>742.4</v>
      </c>
      <c r="AP582" s="56">
        <v>748.49</v>
      </c>
      <c r="AQ582" s="55">
        <v>753.66</v>
      </c>
      <c r="AR582" s="55">
        <v>759.0</v>
      </c>
      <c r="AS582" s="55">
        <v>764.74</v>
      </c>
      <c r="AT582" s="55">
        <f t="array" ref="AT582">XLOOKUP(C582,'PL TOTAL D0'!A:A,'PL TOTAL D0'!C:C,"")</f>
        <v>768.12</v>
      </c>
    </row>
    <row r="583" ht="15.75" customHeight="1">
      <c r="A583" s="44" t="s">
        <v>36</v>
      </c>
      <c r="B583" s="149" t="s">
        <v>1961</v>
      </c>
      <c r="C583" s="46" t="s">
        <v>1965</v>
      </c>
      <c r="D583" s="47" t="s">
        <v>18</v>
      </c>
      <c r="E583" s="24" t="s">
        <v>145</v>
      </c>
      <c r="F583" s="47" t="s">
        <v>171</v>
      </c>
      <c r="G583" s="47" t="str">
        <f t="shared" si="1"/>
        <v>Augusto</v>
      </c>
      <c r="H583" s="48" t="s">
        <v>88</v>
      </c>
      <c r="I583" s="48" t="s">
        <v>24</v>
      </c>
      <c r="J583" s="47" t="str">
        <f t="shared" si="5"/>
        <v>Não</v>
      </c>
      <c r="K583" s="49">
        <v>44928.0</v>
      </c>
      <c r="L583" s="24"/>
      <c r="M583" s="24" t="s">
        <v>162</v>
      </c>
      <c r="N583" s="50">
        <v>0.025</v>
      </c>
      <c r="O583" s="47" t="s">
        <v>163</v>
      </c>
      <c r="P583" s="51">
        <v>0.2</v>
      </c>
      <c r="Q583" s="106"/>
      <c r="R583" s="106"/>
      <c r="S583" s="106"/>
      <c r="T583" s="24" t="s">
        <v>89</v>
      </c>
      <c r="U583" s="25" t="s">
        <v>1964</v>
      </c>
      <c r="V583" s="9" t="s">
        <v>796</v>
      </c>
      <c r="W583" s="53" t="str">
        <f t="shared" si="3"/>
        <v>Ativo</v>
      </c>
      <c r="X583" s="24"/>
      <c r="Y583" s="54" t="s">
        <v>95</v>
      </c>
      <c r="Z583" s="56"/>
      <c r="AA583" s="56"/>
      <c r="AB583" s="56"/>
      <c r="AC583" s="56"/>
      <c r="AD583" s="56">
        <v>2.06</v>
      </c>
      <c r="AE583" s="56">
        <v>2.06</v>
      </c>
      <c r="AF583" s="56">
        <v>4226.53</v>
      </c>
      <c r="AG583" s="56">
        <v>38153.64</v>
      </c>
      <c r="AH583" s="56">
        <v>125151.44</v>
      </c>
      <c r="AI583" s="56">
        <v>123140.07</v>
      </c>
      <c r="AJ583" s="56">
        <v>119855.66</v>
      </c>
      <c r="AK583" s="56">
        <v>125631.62</v>
      </c>
      <c r="AL583" s="56">
        <v>130795.52</v>
      </c>
      <c r="AM583" s="56">
        <v>122488.33</v>
      </c>
      <c r="AN583" s="56">
        <v>131490.15</v>
      </c>
      <c r="AO583" s="56">
        <v>137780.79</v>
      </c>
      <c r="AP583" s="56">
        <v>111871.11</v>
      </c>
      <c r="AQ583" s="55">
        <v>107340.63</v>
      </c>
      <c r="AR583" s="55">
        <v>109137.66</v>
      </c>
      <c r="AS583" s="55">
        <v>104504.09</v>
      </c>
      <c r="AT583" s="55">
        <f t="array" ref="AT583">XLOOKUP(C583,'PL TOTAL D0'!A:A,'PL TOTAL D0'!C:C,"")</f>
        <v>106564.4</v>
      </c>
    </row>
    <row r="584" ht="15.75" customHeight="1">
      <c r="A584" s="44" t="s">
        <v>36</v>
      </c>
      <c r="B584" s="45" t="s">
        <v>1966</v>
      </c>
      <c r="C584" s="46" t="s">
        <v>1967</v>
      </c>
      <c r="D584" s="47" t="s">
        <v>18</v>
      </c>
      <c r="E584" s="24" t="s">
        <v>29</v>
      </c>
      <c r="F584" s="47" t="s">
        <v>58</v>
      </c>
      <c r="G584" s="47" t="str">
        <f t="shared" si="1"/>
        <v>Augusto</v>
      </c>
      <c r="H584" s="48" t="s">
        <v>88</v>
      </c>
      <c r="I584" s="48" t="s">
        <v>24</v>
      </c>
      <c r="J584" s="47" t="str">
        <f t="shared" si="5"/>
        <v>Não</v>
      </c>
      <c r="K584" s="49">
        <v>45163.0</v>
      </c>
      <c r="L584" s="64"/>
      <c r="M584" s="24" t="s">
        <v>111</v>
      </c>
      <c r="N584" s="50">
        <v>0.015</v>
      </c>
      <c r="O584" s="47" t="s">
        <v>46</v>
      </c>
      <c r="P584" s="51">
        <v>0.1</v>
      </c>
      <c r="Q584" s="62"/>
      <c r="R584" s="106"/>
      <c r="S584" s="106"/>
      <c r="T584" s="24" t="s">
        <v>89</v>
      </c>
      <c r="U584" s="25" t="s">
        <v>1968</v>
      </c>
      <c r="V584" s="9" t="s">
        <v>29</v>
      </c>
      <c r="W584" s="53" t="str">
        <f t="shared" si="3"/>
        <v>Ativo</v>
      </c>
      <c r="X584" s="24"/>
      <c r="Y584" s="54" t="s">
        <v>95</v>
      </c>
      <c r="Z584" s="56"/>
      <c r="AA584" s="56"/>
      <c r="AB584" s="56"/>
      <c r="AC584" s="56"/>
      <c r="AD584" s="56">
        <v>0.0</v>
      </c>
      <c r="AE584" s="56">
        <v>0.0</v>
      </c>
      <c r="AF584" s="56">
        <v>0.0</v>
      </c>
      <c r="AG584" s="56">
        <v>0.0</v>
      </c>
      <c r="AH584" s="56">
        <v>0.0</v>
      </c>
      <c r="AI584" s="56">
        <v>0.0</v>
      </c>
      <c r="AJ584" s="56">
        <v>0.0</v>
      </c>
      <c r="AK584" s="56">
        <v>0.0</v>
      </c>
      <c r="AL584" s="56">
        <v>0.0</v>
      </c>
      <c r="AM584" s="56">
        <v>34032.59</v>
      </c>
      <c r="AN584" s="56">
        <v>34332.67</v>
      </c>
      <c r="AO584" s="56">
        <v>34603.74</v>
      </c>
      <c r="AP584" s="56">
        <v>20766.33</v>
      </c>
      <c r="AQ584" s="55">
        <v>20899.85</v>
      </c>
      <c r="AR584" s="55">
        <v>21052.45</v>
      </c>
      <c r="AS584" s="55">
        <v>21216.61</v>
      </c>
      <c r="AT584" s="55">
        <f t="array" ref="AT584">XLOOKUP(C584,'PL TOTAL D0'!A:A,'PL TOTAL D0'!C:C,"")</f>
        <v>21300.31</v>
      </c>
    </row>
    <row r="585" ht="15.75" customHeight="1">
      <c r="A585" s="44" t="s">
        <v>36</v>
      </c>
      <c r="B585" s="45" t="s">
        <v>1969</v>
      </c>
      <c r="C585" s="46" t="s">
        <v>1970</v>
      </c>
      <c r="D585" s="47" t="s">
        <v>86</v>
      </c>
      <c r="E585" s="24" t="s">
        <v>29</v>
      </c>
      <c r="F585" s="47" t="s">
        <v>371</v>
      </c>
      <c r="G585" s="47" t="str">
        <f t="shared" si="1"/>
        <v>Breno</v>
      </c>
      <c r="H585" s="48" t="s">
        <v>88</v>
      </c>
      <c r="I585" s="48" t="s">
        <v>24</v>
      </c>
      <c r="J585" s="47" t="str">
        <f t="shared" si="5"/>
        <v>Não</v>
      </c>
      <c r="K585" s="49">
        <v>45168.0</v>
      </c>
      <c r="L585" s="64"/>
      <c r="M585" s="24" t="s">
        <v>60</v>
      </c>
      <c r="N585" s="50">
        <v>0.005</v>
      </c>
      <c r="O585" s="47" t="s">
        <v>24</v>
      </c>
      <c r="P585" s="51">
        <v>0.0</v>
      </c>
      <c r="Q585" s="106"/>
      <c r="R585" s="106"/>
      <c r="S585" s="106"/>
      <c r="T585" s="24" t="s">
        <v>89</v>
      </c>
      <c r="U585" s="25" t="s">
        <v>1971</v>
      </c>
      <c r="V585" s="9" t="s">
        <v>29</v>
      </c>
      <c r="W585" s="53" t="str">
        <f t="shared" si="3"/>
        <v>Ativo</v>
      </c>
      <c r="X585" s="24"/>
      <c r="Y585" s="54" t="s">
        <v>91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>
        <v>686313.07</v>
      </c>
      <c r="AL585" s="56">
        <v>695559.77</v>
      </c>
      <c r="AM585" s="56">
        <v>701272.22</v>
      </c>
      <c r="AN585" s="56">
        <v>546580.13</v>
      </c>
      <c r="AO585" s="56">
        <v>533184.53</v>
      </c>
      <c r="AP585" s="56">
        <v>618511.71</v>
      </c>
      <c r="AQ585" s="55">
        <v>674920.46</v>
      </c>
      <c r="AR585" s="55">
        <v>676174.01</v>
      </c>
      <c r="AS585" s="55">
        <v>677461.23</v>
      </c>
      <c r="AT585" s="55">
        <f t="array" ref="AT585">XLOOKUP(C585,'PL TOTAL D0'!A:A,'PL TOTAL D0'!C:C,"")</f>
        <v>679998.4</v>
      </c>
    </row>
    <row r="586" ht="13.5" customHeight="1">
      <c r="A586" s="44" t="s">
        <v>36</v>
      </c>
      <c r="B586" s="45" t="s">
        <v>1972</v>
      </c>
      <c r="C586" s="46" t="s">
        <v>1973</v>
      </c>
      <c r="D586" s="47" t="s">
        <v>18</v>
      </c>
      <c r="E586" s="24" t="s">
        <v>29</v>
      </c>
      <c r="F586" s="47" t="s">
        <v>58</v>
      </c>
      <c r="G586" s="47" t="str">
        <f t="shared" si="1"/>
        <v>Augusto</v>
      </c>
      <c r="H586" s="48" t="s">
        <v>116</v>
      </c>
      <c r="I586" s="53" t="s">
        <v>161</v>
      </c>
      <c r="J586" s="47" t="str">
        <f t="shared" si="5"/>
        <v>Não</v>
      </c>
      <c r="K586" s="49">
        <v>45117.0</v>
      </c>
      <c r="L586" s="64"/>
      <c r="M586" s="24" t="s">
        <v>60</v>
      </c>
      <c r="N586" s="50">
        <v>0.011</v>
      </c>
      <c r="O586" s="47" t="s">
        <v>24</v>
      </c>
      <c r="P586" s="51">
        <v>0.0</v>
      </c>
      <c r="Q586" s="106"/>
      <c r="R586" s="169" t="s">
        <v>1974</v>
      </c>
      <c r="S586" s="106"/>
      <c r="T586" s="24" t="s">
        <v>89</v>
      </c>
      <c r="U586" s="25" t="s">
        <v>1975</v>
      </c>
      <c r="V586" s="9" t="s">
        <v>29</v>
      </c>
      <c r="W586" s="53" t="str">
        <f t="shared" si="3"/>
        <v>Ativo</v>
      </c>
      <c r="X586" s="24"/>
      <c r="Y586" s="54" t="s">
        <v>95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266116.93</v>
      </c>
      <c r="AK586" s="56">
        <v>313.8</v>
      </c>
      <c r="AL586" s="56">
        <v>277.3</v>
      </c>
      <c r="AM586" s="56">
        <v>277.3</v>
      </c>
      <c r="AN586" s="56">
        <v>277.3</v>
      </c>
      <c r="AO586" s="56">
        <v>277.66</v>
      </c>
      <c r="AP586" s="56">
        <v>280.32</v>
      </c>
      <c r="AQ586" s="55">
        <v>282.55</v>
      </c>
      <c r="AR586" s="55">
        <v>284.91</v>
      </c>
      <c r="AS586" s="55">
        <v>287.41</v>
      </c>
      <c r="AT586" s="55">
        <f t="array" ref="AT586">XLOOKUP(C586,'PL TOTAL D0'!A:A,'PL TOTAL D0'!C:C,"")</f>
        <v>288.88</v>
      </c>
    </row>
    <row r="587" ht="15.75" customHeight="1">
      <c r="A587" s="44" t="s">
        <v>36</v>
      </c>
      <c r="B587" s="118" t="s">
        <v>1976</v>
      </c>
      <c r="C587" s="58" t="s">
        <v>1977</v>
      </c>
      <c r="D587" s="47" t="s">
        <v>18</v>
      </c>
      <c r="E587" s="24" t="s">
        <v>29</v>
      </c>
      <c r="F587" s="47" t="s">
        <v>58</v>
      </c>
      <c r="G587" s="47" t="str">
        <f t="shared" si="1"/>
        <v>Augusto</v>
      </c>
      <c r="H587" s="53" t="s">
        <v>88</v>
      </c>
      <c r="I587" s="53" t="s">
        <v>24</v>
      </c>
      <c r="J587" s="47" t="str">
        <f t="shared" si="5"/>
        <v>Sim</v>
      </c>
      <c r="K587" s="49">
        <v>45155.0</v>
      </c>
      <c r="L587" s="64"/>
      <c r="M587" s="24" t="s">
        <v>162</v>
      </c>
      <c r="N587" s="50">
        <v>0.02</v>
      </c>
      <c r="O587" s="47" t="s">
        <v>163</v>
      </c>
      <c r="P587" s="51">
        <v>0.2</v>
      </c>
      <c r="Q587" s="169" t="s">
        <v>1978</v>
      </c>
      <c r="R587" s="106"/>
      <c r="S587" s="106"/>
      <c r="T587" s="24" t="s">
        <v>89</v>
      </c>
      <c r="U587" s="25" t="s">
        <v>1979</v>
      </c>
      <c r="V587" s="9" t="s">
        <v>29</v>
      </c>
      <c r="W587" s="53" t="str">
        <f t="shared" si="3"/>
        <v>Ativo</v>
      </c>
      <c r="X587" s="24"/>
      <c r="Y587" s="54" t="s">
        <v>95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413199.93</v>
      </c>
      <c r="AK587" s="56">
        <v>100505.12</v>
      </c>
      <c r="AL587" s="56">
        <v>2.57</v>
      </c>
      <c r="AM587" s="56">
        <v>0.0</v>
      </c>
      <c r="AN587" s="56">
        <v>0.0</v>
      </c>
      <c r="AO587" s="56">
        <v>0.0</v>
      </c>
      <c r="AP587" s="56">
        <v>0.0</v>
      </c>
      <c r="AQ587" s="55">
        <v>0.43</v>
      </c>
      <c r="AR587" s="55">
        <v>112663.48</v>
      </c>
      <c r="AS587" s="55">
        <v>109084.5</v>
      </c>
      <c r="AT587" s="55">
        <f t="array" ref="AT587">XLOOKUP(C587,'PL TOTAL D0'!A:A,'PL TOTAL D0'!C:C,"")</f>
        <v>111266.9</v>
      </c>
    </row>
    <row r="588" ht="15.75" customHeight="1">
      <c r="A588" s="44" t="s">
        <v>36</v>
      </c>
      <c r="B588" s="118" t="s">
        <v>1976</v>
      </c>
      <c r="C588" s="46" t="s">
        <v>1980</v>
      </c>
      <c r="D588" s="47" t="s">
        <v>18</v>
      </c>
      <c r="E588" s="24" t="s">
        <v>29</v>
      </c>
      <c r="F588" s="47" t="s">
        <v>58</v>
      </c>
      <c r="G588" s="47" t="str">
        <f t="shared" si="1"/>
        <v>Bruno</v>
      </c>
      <c r="H588" s="48" t="s">
        <v>88</v>
      </c>
      <c r="I588" s="48" t="s">
        <v>24</v>
      </c>
      <c r="J588" s="47" t="str">
        <f t="shared" si="5"/>
        <v>Não</v>
      </c>
      <c r="K588" s="49">
        <v>45121.0</v>
      </c>
      <c r="L588" s="64"/>
      <c r="M588" s="24" t="s">
        <v>60</v>
      </c>
      <c r="N588" s="50">
        <v>0.01</v>
      </c>
      <c r="O588" s="47" t="s">
        <v>24</v>
      </c>
      <c r="P588" s="51">
        <v>0.0</v>
      </c>
      <c r="Q588" s="169"/>
      <c r="R588" s="106"/>
      <c r="S588" s="106"/>
      <c r="T588" s="24" t="s">
        <v>89</v>
      </c>
      <c r="U588" s="25" t="s">
        <v>1975</v>
      </c>
      <c r="V588" s="9" t="s">
        <v>29</v>
      </c>
      <c r="W588" s="53" t="str">
        <f t="shared" si="3"/>
        <v>Ativo</v>
      </c>
      <c r="X588" s="24"/>
      <c r="Y588" s="54" t="s">
        <v>95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74859.75</v>
      </c>
      <c r="AK588" s="56">
        <v>761838.54</v>
      </c>
      <c r="AL588" s="56">
        <v>1069740.49</v>
      </c>
      <c r="AM588" s="56">
        <v>1078972.63</v>
      </c>
      <c r="AN588" s="56">
        <v>1313535.01</v>
      </c>
      <c r="AO588" s="56">
        <v>1325726.86</v>
      </c>
      <c r="AP588" s="56">
        <v>1547689.79</v>
      </c>
      <c r="AQ588" s="55">
        <v>1561784.18</v>
      </c>
      <c r="AR588" s="55">
        <v>1563469.43</v>
      </c>
      <c r="AS588" s="55">
        <v>1578160.53</v>
      </c>
      <c r="AT588" s="55">
        <f t="array" ref="AT588">XLOOKUP(C588,'PL TOTAL D0'!A:A,'PL TOTAL D0'!C:C,"")</f>
        <v>1836942</v>
      </c>
    </row>
    <row r="589" ht="15.75" customHeight="1">
      <c r="A589" s="44" t="s">
        <v>36</v>
      </c>
      <c r="B589" s="45" t="s">
        <v>1981</v>
      </c>
      <c r="C589" s="46" t="s">
        <v>1982</v>
      </c>
      <c r="D589" s="47" t="s">
        <v>18</v>
      </c>
      <c r="E589" s="24" t="s">
        <v>145</v>
      </c>
      <c r="F589" s="47" t="s">
        <v>478</v>
      </c>
      <c r="G589" s="47" t="str">
        <f t="shared" si="1"/>
        <v>Augusto</v>
      </c>
      <c r="H589" s="48" t="s">
        <v>88</v>
      </c>
      <c r="I589" s="48" t="s">
        <v>24</v>
      </c>
      <c r="J589" s="47" t="str">
        <f t="shared" si="5"/>
        <v>Não</v>
      </c>
      <c r="K589" s="49">
        <v>45133.0</v>
      </c>
      <c r="L589" s="64"/>
      <c r="M589" s="24" t="s">
        <v>60</v>
      </c>
      <c r="N589" s="50">
        <v>0.012</v>
      </c>
      <c r="O589" s="47" t="s">
        <v>24</v>
      </c>
      <c r="P589" s="51">
        <v>0.0</v>
      </c>
      <c r="Q589" s="106"/>
      <c r="R589" s="106"/>
      <c r="S589" s="106"/>
      <c r="T589" s="24" t="s">
        <v>89</v>
      </c>
      <c r="U589" s="25" t="s">
        <v>1983</v>
      </c>
      <c r="V589" s="9" t="s">
        <v>180</v>
      </c>
      <c r="W589" s="53" t="str">
        <f t="shared" si="3"/>
        <v>Ativo</v>
      </c>
      <c r="X589" s="24"/>
      <c r="Y589" s="54" t="s">
        <v>95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100133.79</v>
      </c>
      <c r="AK589" s="56">
        <v>151456.37</v>
      </c>
      <c r="AL589" s="56">
        <v>152699.95</v>
      </c>
      <c r="AM589" s="56">
        <v>154046.65</v>
      </c>
      <c r="AN589" s="56">
        <v>155203.75</v>
      </c>
      <c r="AO589" s="56">
        <v>156461.77</v>
      </c>
      <c r="AP589" s="56">
        <v>157315.28</v>
      </c>
      <c r="AQ589" s="55">
        <v>158558.25</v>
      </c>
      <c r="AR589" s="55">
        <v>159902.35</v>
      </c>
      <c r="AS589" s="55">
        <v>161099.12</v>
      </c>
      <c r="AT589" s="55">
        <f t="array" ref="AT589">XLOOKUP(C589,'PL TOTAL D0'!A:A,'PL TOTAL D0'!C:C,"")</f>
        <v>161818.2</v>
      </c>
    </row>
    <row r="590" ht="15.75" customHeight="1">
      <c r="A590" s="44" t="s">
        <v>36</v>
      </c>
      <c r="B590" s="20" t="s">
        <v>1984</v>
      </c>
      <c r="C590" s="21" t="s">
        <v>1985</v>
      </c>
      <c r="D590" s="9" t="s">
        <v>822</v>
      </c>
      <c r="E590" s="25" t="s">
        <v>19</v>
      </c>
      <c r="F590" s="9" t="s">
        <v>823</v>
      </c>
      <c r="G590" s="47" t="str">
        <f t="shared" si="1"/>
        <v>Augusto</v>
      </c>
      <c r="H590" s="53" t="s">
        <v>88</v>
      </c>
      <c r="I590" s="53" t="s">
        <v>24</v>
      </c>
      <c r="J590" s="47" t="str">
        <f t="shared" si="5"/>
        <v>Não</v>
      </c>
      <c r="K590" s="59">
        <v>45385.0</v>
      </c>
      <c r="L590" s="64"/>
      <c r="M590" s="25" t="s">
        <v>60</v>
      </c>
      <c r="N590" s="60">
        <v>0.01</v>
      </c>
      <c r="O590" s="9" t="s">
        <v>24</v>
      </c>
      <c r="P590" s="61">
        <v>0.0</v>
      </c>
      <c r="Q590" s="106"/>
      <c r="R590" s="106"/>
      <c r="S590" s="106"/>
      <c r="T590" s="25" t="s">
        <v>89</v>
      </c>
      <c r="U590" s="23" t="s">
        <v>1986</v>
      </c>
      <c r="V590" s="9" t="s">
        <v>29</v>
      </c>
      <c r="W590" s="53" t="str">
        <f t="shared" si="3"/>
        <v>Ativo</v>
      </c>
      <c r="X590" s="24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/>
      <c r="AS590" s="55">
        <v>273459.23</v>
      </c>
      <c r="AT590" s="55">
        <f t="array" ref="AT590">XLOOKUP(C590,'PL TOTAL D0'!A:A,'PL TOTAL D0'!C:C,"")</f>
        <v>275201.9</v>
      </c>
    </row>
    <row r="591" ht="15.75" customHeight="1">
      <c r="A591" s="6" t="s">
        <v>36</v>
      </c>
      <c r="B591" s="6" t="s">
        <v>1987</v>
      </c>
      <c r="C591" s="21" t="s">
        <v>1988</v>
      </c>
      <c r="D591" s="9" t="s">
        <v>18</v>
      </c>
      <c r="E591" s="25" t="s">
        <v>29</v>
      </c>
      <c r="F591" s="9" t="s">
        <v>37</v>
      </c>
      <c r="G591" s="47" t="str">
        <f t="shared" si="1"/>
        <v>Augusto</v>
      </c>
      <c r="H591" s="53" t="s">
        <v>88</v>
      </c>
      <c r="I591" s="53" t="s">
        <v>24</v>
      </c>
      <c r="J591" s="47" t="str">
        <f t="shared" si="5"/>
        <v>Não</v>
      </c>
      <c r="K591" s="59">
        <v>45369.0</v>
      </c>
      <c r="L591" s="64"/>
      <c r="M591" s="25" t="s">
        <v>111</v>
      </c>
      <c r="N591" s="60">
        <v>0.016</v>
      </c>
      <c r="O591" s="9" t="s">
        <v>46</v>
      </c>
      <c r="P591" s="61">
        <v>0.2</v>
      </c>
      <c r="Q591" s="106"/>
      <c r="R591" s="106"/>
      <c r="S591" s="106"/>
      <c r="T591" s="25" t="s">
        <v>89</v>
      </c>
      <c r="U591" s="25" t="s">
        <v>1989</v>
      </c>
      <c r="V591" s="9" t="s">
        <v>29</v>
      </c>
      <c r="W591" s="53" t="str">
        <f t="shared" si="3"/>
        <v>Ativo</v>
      </c>
      <c r="X591" s="24"/>
      <c r="Y591" s="54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5"/>
      <c r="AR591" s="55">
        <v>150736.95</v>
      </c>
      <c r="AS591" s="55">
        <v>149844.48</v>
      </c>
      <c r="AT591" s="55">
        <f t="array" ref="AT591">XLOOKUP(C591,'PL TOTAL D0'!A:A,'PL TOTAL D0'!C:C,"")</f>
        <v>151241.5</v>
      </c>
    </row>
    <row r="592" ht="15.75" customHeight="1">
      <c r="A592" s="44" t="s">
        <v>36</v>
      </c>
      <c r="B592" s="45" t="s">
        <v>1990</v>
      </c>
      <c r="C592" s="46" t="s">
        <v>1991</v>
      </c>
      <c r="D592" s="47" t="s">
        <v>18</v>
      </c>
      <c r="E592" s="24" t="s">
        <v>19</v>
      </c>
      <c r="F592" s="47" t="s">
        <v>20</v>
      </c>
      <c r="G592" s="47" t="str">
        <f t="shared" si="1"/>
        <v>Breno</v>
      </c>
      <c r="H592" s="48" t="s">
        <v>88</v>
      </c>
      <c r="I592" s="48" t="s">
        <v>24</v>
      </c>
      <c r="J592" s="47" t="str">
        <f t="shared" si="5"/>
        <v>Sim</v>
      </c>
      <c r="K592" s="49">
        <v>44949.0</v>
      </c>
      <c r="L592" s="24"/>
      <c r="M592" s="25" t="s">
        <v>652</v>
      </c>
      <c r="N592" s="50">
        <v>0.015</v>
      </c>
      <c r="O592" s="47" t="s">
        <v>46</v>
      </c>
      <c r="P592" s="51">
        <v>0.1</v>
      </c>
      <c r="Q592" s="62" t="s">
        <v>1992</v>
      </c>
      <c r="R592" s="52"/>
      <c r="S592" s="226" t="s">
        <v>1993</v>
      </c>
      <c r="T592" s="24" t="s">
        <v>89</v>
      </c>
      <c r="U592" s="25" t="s">
        <v>1994</v>
      </c>
      <c r="V592" s="9" t="s">
        <v>1144</v>
      </c>
      <c r="W592" s="53" t="str">
        <f t="shared" si="3"/>
        <v>Ativo</v>
      </c>
      <c r="X592" s="24"/>
      <c r="Y592" s="54" t="s">
        <v>95</v>
      </c>
      <c r="Z592" s="56"/>
      <c r="AA592" s="56"/>
      <c r="AB592" s="56"/>
      <c r="AC592" s="56"/>
      <c r="AD592" s="56">
        <v>518746.89</v>
      </c>
      <c r="AE592" s="56">
        <v>522921.32</v>
      </c>
      <c r="AF592" s="56">
        <v>266412.32</v>
      </c>
      <c r="AG592" s="56">
        <v>404393.62</v>
      </c>
      <c r="AH592" s="56">
        <v>408190.6</v>
      </c>
      <c r="AI592" s="56">
        <v>412192.57</v>
      </c>
      <c r="AJ592" s="56">
        <v>483870.82</v>
      </c>
      <c r="AK592" s="56">
        <v>487362.75</v>
      </c>
      <c r="AL592" s="56">
        <v>506159.39</v>
      </c>
      <c r="AM592" s="56">
        <v>526109.95</v>
      </c>
      <c r="AN592" s="56">
        <v>532554.44</v>
      </c>
      <c r="AO592" s="56">
        <v>536225.61</v>
      </c>
      <c r="AP592" s="56">
        <v>550339.08</v>
      </c>
      <c r="AQ592" s="55">
        <v>603676.81</v>
      </c>
      <c r="AR592" s="55">
        <v>608996.41</v>
      </c>
      <c r="AS592" s="55">
        <v>607133.75</v>
      </c>
      <c r="AT592" s="55">
        <f t="array" ref="AT592">XLOOKUP(C592,'PL TOTAL D0'!A:A,'PL TOTAL D0'!C:C,"")</f>
        <v>610620</v>
      </c>
    </row>
    <row r="593" ht="15.75" customHeight="1">
      <c r="A593" s="44" t="s">
        <v>36</v>
      </c>
      <c r="B593" s="45" t="s">
        <v>1995</v>
      </c>
      <c r="C593" s="46" t="s">
        <v>1996</v>
      </c>
      <c r="D593" s="47" t="s">
        <v>18</v>
      </c>
      <c r="E593" s="24" t="s">
        <v>145</v>
      </c>
      <c r="F593" s="47" t="s">
        <v>171</v>
      </c>
      <c r="G593" s="47" t="str">
        <f t="shared" si="1"/>
        <v>Augusto</v>
      </c>
      <c r="H593" s="48" t="s">
        <v>88</v>
      </c>
      <c r="I593" s="48" t="s">
        <v>24</v>
      </c>
      <c r="J593" s="47" t="str">
        <f t="shared" si="5"/>
        <v>Não</v>
      </c>
      <c r="K593" s="49">
        <v>45127.0</v>
      </c>
      <c r="L593" s="64"/>
      <c r="M593" s="24" t="s">
        <v>162</v>
      </c>
      <c r="N593" s="50">
        <v>0.025</v>
      </c>
      <c r="O593" s="47" t="s">
        <v>163</v>
      </c>
      <c r="P593" s="51">
        <v>0.2</v>
      </c>
      <c r="Q593" s="106"/>
      <c r="R593" s="106"/>
      <c r="S593" s="106"/>
      <c r="T593" s="24" t="s">
        <v>89</v>
      </c>
      <c r="U593" s="25" t="s">
        <v>1997</v>
      </c>
      <c r="V593" s="9" t="s">
        <v>149</v>
      </c>
      <c r="W593" s="53" t="str">
        <f t="shared" si="3"/>
        <v>Ativo</v>
      </c>
      <c r="X593" s="24"/>
      <c r="Y593" s="54" t="s">
        <v>91</v>
      </c>
      <c r="Z593" s="56"/>
      <c r="AA593" s="56"/>
      <c r="AB593" s="56"/>
      <c r="AC593" s="56"/>
      <c r="AD593" s="56"/>
      <c r="AE593" s="56"/>
      <c r="AF593" s="56"/>
      <c r="AG593" s="56">
        <v>0.0</v>
      </c>
      <c r="AH593" s="56">
        <v>0.0</v>
      </c>
      <c r="AI593" s="56">
        <v>0.0</v>
      </c>
      <c r="AJ593" s="56">
        <v>90215.35</v>
      </c>
      <c r="AK593" s="56">
        <v>88981.6</v>
      </c>
      <c r="AL593" s="56">
        <v>86715.3</v>
      </c>
      <c r="AM593" s="56">
        <v>82767.94</v>
      </c>
      <c r="AN593" s="56">
        <v>88841.29</v>
      </c>
      <c r="AO593" s="56">
        <v>93152.33</v>
      </c>
      <c r="AP593" s="56">
        <v>86866.71</v>
      </c>
      <c r="AQ593" s="55">
        <v>87808.38</v>
      </c>
      <c r="AR593" s="55">
        <v>89216.53</v>
      </c>
      <c r="AS593" s="55">
        <v>85486.3</v>
      </c>
      <c r="AT593" s="55">
        <f t="array" ref="AT593">XLOOKUP(C593,'PL TOTAL D0'!A:A,'PL TOTAL D0'!C:C,"")</f>
        <v>86964.31</v>
      </c>
    </row>
    <row r="594" ht="15.75" customHeight="1">
      <c r="A594" s="44" t="s">
        <v>36</v>
      </c>
      <c r="B594" s="45" t="s">
        <v>1998</v>
      </c>
      <c r="C594" s="46" t="s">
        <v>1999</v>
      </c>
      <c r="D594" s="47" t="s">
        <v>18</v>
      </c>
      <c r="E594" s="24" t="s">
        <v>29</v>
      </c>
      <c r="F594" s="47" t="s">
        <v>110</v>
      </c>
      <c r="G594" s="47" t="str">
        <f t="shared" si="1"/>
        <v>Augusto</v>
      </c>
      <c r="H594" s="48" t="s">
        <v>88</v>
      </c>
      <c r="I594" s="48" t="s">
        <v>24</v>
      </c>
      <c r="J594" s="47" t="str">
        <f t="shared" si="5"/>
        <v>Não</v>
      </c>
      <c r="K594" s="49">
        <v>45042.0</v>
      </c>
      <c r="L594" s="24"/>
      <c r="M594" s="24" t="s">
        <v>111</v>
      </c>
      <c r="N594" s="50">
        <v>0.015</v>
      </c>
      <c r="O594" s="47" t="s">
        <v>46</v>
      </c>
      <c r="P594" s="51">
        <v>0.1</v>
      </c>
      <c r="Q594" s="106"/>
      <c r="R594" s="106"/>
      <c r="S594" s="106"/>
      <c r="T594" s="24" t="s">
        <v>89</v>
      </c>
      <c r="U594" s="25" t="s">
        <v>2000</v>
      </c>
      <c r="V594" s="9" t="s">
        <v>29</v>
      </c>
      <c r="W594" s="53" t="str">
        <f t="shared" si="3"/>
        <v>Ativo</v>
      </c>
      <c r="X594" s="24"/>
      <c r="Y594" s="54" t="s">
        <v>95</v>
      </c>
      <c r="Z594" s="56"/>
      <c r="AA594" s="56"/>
      <c r="AB594" s="56"/>
      <c r="AC594" s="56"/>
      <c r="AD594" s="56"/>
      <c r="AE594" s="56"/>
      <c r="AF594" s="56"/>
      <c r="AG594" s="56">
        <v>138047.59</v>
      </c>
      <c r="AH594" s="56">
        <v>139372.91</v>
      </c>
      <c r="AI594" s="56">
        <v>143006.24</v>
      </c>
      <c r="AJ594" s="56">
        <v>146285.25</v>
      </c>
      <c r="AK594" s="56">
        <v>145052.98</v>
      </c>
      <c r="AL594" s="56">
        <v>145422.56</v>
      </c>
      <c r="AM594" s="56">
        <v>145078.47</v>
      </c>
      <c r="AN594" s="56">
        <v>148501.52</v>
      </c>
      <c r="AO594" s="56">
        <v>151527.69</v>
      </c>
      <c r="AP594" s="56">
        <v>148221.34</v>
      </c>
      <c r="AQ594" s="55">
        <v>149227.1</v>
      </c>
      <c r="AR594" s="55">
        <v>150464.07</v>
      </c>
      <c r="AS594" s="55">
        <v>148686.62</v>
      </c>
      <c r="AT594" s="55">
        <f t="array" ref="AT594">XLOOKUP(C594,'PL TOTAL D0'!A:A,'PL TOTAL D0'!C:C,"")</f>
        <v>149838.2</v>
      </c>
    </row>
    <row r="595" ht="15.75" customHeight="1">
      <c r="A595" s="44" t="s">
        <v>36</v>
      </c>
      <c r="B595" s="45" t="s">
        <v>2001</v>
      </c>
      <c r="C595" s="46" t="s">
        <v>2002</v>
      </c>
      <c r="D595" s="47" t="s">
        <v>18</v>
      </c>
      <c r="E595" s="24" t="s">
        <v>19</v>
      </c>
      <c r="F595" s="47" t="s">
        <v>230</v>
      </c>
      <c r="G595" s="47" t="str">
        <f t="shared" si="1"/>
        <v>#N/A</v>
      </c>
      <c r="H595" s="53" t="s">
        <v>116</v>
      </c>
      <c r="I595" s="48" t="s">
        <v>161</v>
      </c>
      <c r="J595" s="47" t="str">
        <f t="shared" si="5"/>
        <v>Não</v>
      </c>
      <c r="K595" s="49">
        <v>45163.0</v>
      </c>
      <c r="L595" s="64"/>
      <c r="M595" s="24" t="s">
        <v>60</v>
      </c>
      <c r="N595" s="50">
        <v>0.012</v>
      </c>
      <c r="O595" s="47" t="s">
        <v>24</v>
      </c>
      <c r="P595" s="51">
        <v>0.0</v>
      </c>
      <c r="Q595" s="106"/>
      <c r="R595" s="106"/>
      <c r="S595" s="62" t="s">
        <v>1220</v>
      </c>
      <c r="T595" s="24" t="s">
        <v>89</v>
      </c>
      <c r="U595" s="25" t="s">
        <v>2003</v>
      </c>
      <c r="V595" s="9" t="s">
        <v>29</v>
      </c>
      <c r="W595" s="53" t="str">
        <f t="shared" si="3"/>
        <v>Ativo</v>
      </c>
      <c r="X595" s="24"/>
      <c r="Y595" s="54" t="s">
        <v>95</v>
      </c>
      <c r="Z595" s="56"/>
      <c r="AA595" s="56"/>
      <c r="AB595" s="56"/>
      <c r="AC595" s="56"/>
      <c r="AD595" s="56"/>
      <c r="AE595" s="56"/>
      <c r="AF595" s="56">
        <v>0.0</v>
      </c>
      <c r="AG595" s="56">
        <v>0.0</v>
      </c>
      <c r="AH595" s="56">
        <v>0.0</v>
      </c>
      <c r="AI595" s="56">
        <v>0.0</v>
      </c>
      <c r="AJ595" s="56">
        <v>0.0</v>
      </c>
      <c r="AK595" s="56">
        <v>0.0</v>
      </c>
      <c r="AL595" s="56">
        <v>0.0</v>
      </c>
      <c r="AM595" s="56">
        <v>0.0</v>
      </c>
      <c r="AN595" s="56">
        <v>0.0</v>
      </c>
      <c r="AO595" s="56">
        <v>0.0</v>
      </c>
      <c r="AP595" s="56">
        <v>0.0</v>
      </c>
      <c r="AQ595" s="55">
        <v>0.0</v>
      </c>
      <c r="AR595" s="55">
        <v>0.0</v>
      </c>
      <c r="AS595" s="55">
        <v>0.0</v>
      </c>
      <c r="AT595" s="55" t="str">
        <f t="array" ref="AT595">XLOOKUP(C595,'PL TOTAL D0'!A:A,'PL TOTAL D0'!C:C,"")</f>
        <v/>
      </c>
    </row>
    <row r="596" ht="15.75" customHeight="1">
      <c r="A596" s="44" t="s">
        <v>36</v>
      </c>
      <c r="B596" s="114" t="s">
        <v>2004</v>
      </c>
      <c r="C596" s="46" t="s">
        <v>2005</v>
      </c>
      <c r="D596" s="47" t="s">
        <v>18</v>
      </c>
      <c r="E596" s="24" t="s">
        <v>19</v>
      </c>
      <c r="F596" s="47" t="s">
        <v>20</v>
      </c>
      <c r="G596" s="47" t="str">
        <f t="shared" si="1"/>
        <v>Augusto</v>
      </c>
      <c r="H596" s="48" t="s">
        <v>88</v>
      </c>
      <c r="I596" s="48" t="s">
        <v>24</v>
      </c>
      <c r="J596" s="47" t="str">
        <f t="shared" si="5"/>
        <v>Não</v>
      </c>
      <c r="K596" s="49">
        <v>45027.0</v>
      </c>
      <c r="L596" s="24"/>
      <c r="M596" s="24" t="s">
        <v>60</v>
      </c>
      <c r="N596" s="50">
        <v>0.012</v>
      </c>
      <c r="O596" s="47" t="s">
        <v>24</v>
      </c>
      <c r="P596" s="51">
        <v>0.0</v>
      </c>
      <c r="Q596" s="106"/>
      <c r="R596" s="106"/>
      <c r="S596" s="106"/>
      <c r="T596" s="24" t="s">
        <v>89</v>
      </c>
      <c r="U596" s="25" t="s">
        <v>2006</v>
      </c>
      <c r="V596" s="9" t="s">
        <v>1144</v>
      </c>
      <c r="W596" s="53" t="str">
        <f t="shared" si="3"/>
        <v>Ativo</v>
      </c>
      <c r="X596" s="24"/>
      <c r="Y596" s="54" t="s">
        <v>95</v>
      </c>
      <c r="Z596" s="56"/>
      <c r="AA596" s="56"/>
      <c r="AB596" s="56"/>
      <c r="AC596" s="56"/>
      <c r="AD596" s="56"/>
      <c r="AE596" s="56"/>
      <c r="AF596" s="56">
        <v>0.0</v>
      </c>
      <c r="AG596" s="56">
        <v>215468.62</v>
      </c>
      <c r="AH596" s="56">
        <v>217477.55</v>
      </c>
      <c r="AI596" s="56">
        <v>219227.81</v>
      </c>
      <c r="AJ596" s="56">
        <v>320715.33</v>
      </c>
      <c r="AK596" s="56">
        <v>349171.08</v>
      </c>
      <c r="AL596" s="56">
        <v>351580.87</v>
      </c>
      <c r="AM596" s="56">
        <v>354443.63</v>
      </c>
      <c r="AN596" s="56">
        <v>356843.49</v>
      </c>
      <c r="AO596" s="56">
        <v>359473.07</v>
      </c>
      <c r="AP596" s="56">
        <v>362690.15</v>
      </c>
      <c r="AQ596" s="55">
        <v>365407.73</v>
      </c>
      <c r="AR596" s="55">
        <v>368641.85</v>
      </c>
      <c r="AS596" s="55">
        <v>371454.71</v>
      </c>
      <c r="AT596" s="55">
        <f t="array" ref="AT596">XLOOKUP(C596,'PL TOTAL D0'!A:A,'PL TOTAL D0'!C:C,"")</f>
        <v>373086.8</v>
      </c>
    </row>
    <row r="597" ht="15.75" customHeight="1">
      <c r="A597" s="44" t="s">
        <v>36</v>
      </c>
      <c r="B597" s="45" t="s">
        <v>2007</v>
      </c>
      <c r="C597" s="46" t="s">
        <v>2008</v>
      </c>
      <c r="D597" s="47" t="s">
        <v>86</v>
      </c>
      <c r="E597" s="24" t="s">
        <v>29</v>
      </c>
      <c r="F597" s="47" t="s">
        <v>87</v>
      </c>
      <c r="G597" s="47" t="str">
        <f t="shared" si="1"/>
        <v>Breno</v>
      </c>
      <c r="H597" s="48" t="s">
        <v>88</v>
      </c>
      <c r="I597" s="48" t="s">
        <v>24</v>
      </c>
      <c r="J597" s="47" t="str">
        <f t="shared" si="5"/>
        <v>Não</v>
      </c>
      <c r="K597" s="49">
        <v>45124.0</v>
      </c>
      <c r="L597" s="64"/>
      <c r="M597" s="24" t="s">
        <v>2009</v>
      </c>
      <c r="N597" s="50">
        <v>0.014</v>
      </c>
      <c r="O597" s="47" t="s">
        <v>46</v>
      </c>
      <c r="P597" s="51">
        <v>0.1</v>
      </c>
      <c r="Q597" s="75"/>
      <c r="R597" s="75"/>
      <c r="S597" s="75"/>
      <c r="T597" s="24" t="s">
        <v>89</v>
      </c>
      <c r="U597" s="25" t="s">
        <v>2010</v>
      </c>
      <c r="V597" s="9" t="s">
        <v>29</v>
      </c>
      <c r="W597" s="53" t="str">
        <f t="shared" si="3"/>
        <v>Ativo</v>
      </c>
      <c r="X597" s="24"/>
      <c r="Y597" s="54" t="s">
        <v>95</v>
      </c>
      <c r="Z597" s="56"/>
      <c r="AA597" s="56"/>
      <c r="AB597" s="56"/>
      <c r="AC597" s="56"/>
      <c r="AD597" s="56"/>
      <c r="AE597" s="56"/>
      <c r="AF597" s="56"/>
      <c r="AG597" s="56"/>
      <c r="AH597" s="56"/>
      <c r="AI597" s="56">
        <v>0.0</v>
      </c>
      <c r="AJ597" s="56">
        <v>401081.8</v>
      </c>
      <c r="AK597" s="56">
        <v>546504.0</v>
      </c>
      <c r="AL597" s="56">
        <v>608060.78</v>
      </c>
      <c r="AM597" s="56">
        <v>622970.52</v>
      </c>
      <c r="AN597" s="56">
        <v>647615.82</v>
      </c>
      <c r="AO597" s="56">
        <v>706869.86</v>
      </c>
      <c r="AP597" s="56">
        <v>713532.19</v>
      </c>
      <c r="AQ597" s="55">
        <v>675253.15</v>
      </c>
      <c r="AR597" s="55">
        <v>686867.99</v>
      </c>
      <c r="AS597" s="55">
        <v>701714.16</v>
      </c>
      <c r="AT597" s="55">
        <f t="array" ref="AT597">XLOOKUP(C597,'PL TOTAL D0'!A:A,'PL TOTAL D0'!C:C,"")</f>
        <v>707249.6</v>
      </c>
    </row>
    <row r="598" ht="15.75" customHeight="1">
      <c r="A598" s="44" t="s">
        <v>36</v>
      </c>
      <c r="B598" s="45" t="s">
        <v>2011</v>
      </c>
      <c r="C598" s="58" t="s">
        <v>2012</v>
      </c>
      <c r="D598" s="47" t="s">
        <v>18</v>
      </c>
      <c r="E598" s="24" t="s">
        <v>19</v>
      </c>
      <c r="F598" s="47" t="s">
        <v>230</v>
      </c>
      <c r="G598" s="47" t="str">
        <f t="shared" si="1"/>
        <v>Augusto</v>
      </c>
      <c r="H598" s="48" t="s">
        <v>88</v>
      </c>
      <c r="I598" s="48" t="s">
        <v>24</v>
      </c>
      <c r="J598" s="47" t="str">
        <f t="shared" si="5"/>
        <v>Não</v>
      </c>
      <c r="K598" s="49">
        <v>45140.0</v>
      </c>
      <c r="L598" s="64"/>
      <c r="M598" s="24" t="s">
        <v>60</v>
      </c>
      <c r="N598" s="50">
        <v>0.01</v>
      </c>
      <c r="O598" s="47" t="s">
        <v>24</v>
      </c>
      <c r="P598" s="51">
        <v>0.0</v>
      </c>
      <c r="Q598" s="106"/>
      <c r="R598" s="106"/>
      <c r="S598" s="106"/>
      <c r="T598" s="24" t="s">
        <v>89</v>
      </c>
      <c r="U598" s="25" t="s">
        <v>2013</v>
      </c>
      <c r="V598" s="9" t="s">
        <v>19</v>
      </c>
      <c r="W598" s="53" t="str">
        <f t="shared" si="3"/>
        <v>Ativo</v>
      </c>
      <c r="X598" s="24"/>
      <c r="Y598" s="54" t="s">
        <v>95</v>
      </c>
      <c r="Z598" s="56"/>
      <c r="AA598" s="56"/>
      <c r="AB598" s="56"/>
      <c r="AC598" s="56"/>
      <c r="AD598" s="56">
        <v>0.0</v>
      </c>
      <c r="AE598" s="56">
        <v>0.0</v>
      </c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201716.4</v>
      </c>
      <c r="AL598" s="56">
        <v>203447.67</v>
      </c>
      <c r="AM598" s="56">
        <v>205220.16</v>
      </c>
      <c r="AN598" s="56">
        <v>206722.52</v>
      </c>
      <c r="AO598" s="56">
        <v>208336.6</v>
      </c>
      <c r="AP598" s="56">
        <v>210172.99</v>
      </c>
      <c r="AQ598" s="55">
        <v>186046.01</v>
      </c>
      <c r="AR598" s="55">
        <v>187596.72</v>
      </c>
      <c r="AS598" s="55">
        <v>188257.1</v>
      </c>
      <c r="AT598" s="55">
        <f t="array" ref="AT598">XLOOKUP(C598,'PL TOTAL D0'!A:A,'PL TOTAL D0'!C:C,"")</f>
        <v>189151.4</v>
      </c>
    </row>
    <row r="599" ht="15.75" customHeight="1">
      <c r="A599" s="44" t="s">
        <v>36</v>
      </c>
      <c r="B599" s="63" t="s">
        <v>2014</v>
      </c>
      <c r="C599" s="46" t="s">
        <v>2015</v>
      </c>
      <c r="D599" s="47" t="s">
        <v>18</v>
      </c>
      <c r="E599" s="24" t="s">
        <v>145</v>
      </c>
      <c r="F599" s="47" t="s">
        <v>146</v>
      </c>
      <c r="G599" s="47" t="str">
        <f t="shared" si="1"/>
        <v>Augusto</v>
      </c>
      <c r="H599" s="48" t="s">
        <v>88</v>
      </c>
      <c r="I599" s="48" t="s">
        <v>24</v>
      </c>
      <c r="J599" s="47" t="str">
        <f t="shared" si="5"/>
        <v>Não</v>
      </c>
      <c r="K599" s="49">
        <v>45029.0</v>
      </c>
      <c r="L599" s="24"/>
      <c r="M599" s="24" t="s">
        <v>111</v>
      </c>
      <c r="N599" s="50">
        <v>0.015</v>
      </c>
      <c r="O599" s="47" t="s">
        <v>46</v>
      </c>
      <c r="P599" s="51">
        <v>0.1</v>
      </c>
      <c r="Q599" s="106"/>
      <c r="R599" s="106"/>
      <c r="S599" s="106"/>
      <c r="T599" s="24" t="s">
        <v>89</v>
      </c>
      <c r="U599" s="25" t="s">
        <v>2016</v>
      </c>
      <c r="V599" s="9" t="s">
        <v>180</v>
      </c>
      <c r="W599" s="53" t="str">
        <f t="shared" si="3"/>
        <v>Ativo</v>
      </c>
      <c r="X599" s="24"/>
      <c r="Y599" s="54" t="s">
        <v>91</v>
      </c>
      <c r="Z599" s="56"/>
      <c r="AA599" s="56"/>
      <c r="AB599" s="56"/>
      <c r="AC599" s="56"/>
      <c r="AD599" s="56"/>
      <c r="AE599" s="56"/>
      <c r="AF599" s="56">
        <v>0.0</v>
      </c>
      <c r="AG599" s="56">
        <v>71165.0</v>
      </c>
      <c r="AH599" s="56">
        <v>71927.97</v>
      </c>
      <c r="AI599" s="56">
        <v>74121.42</v>
      </c>
      <c r="AJ599" s="56">
        <v>75419.21</v>
      </c>
      <c r="AK599" s="56">
        <v>74772.62</v>
      </c>
      <c r="AL599" s="56">
        <v>74160.17</v>
      </c>
      <c r="AM599" s="56">
        <v>74366.7</v>
      </c>
      <c r="AN599" s="56">
        <v>75449.28</v>
      </c>
      <c r="AO599" s="56">
        <v>76863.18</v>
      </c>
      <c r="AP599" s="56">
        <v>75769.16</v>
      </c>
      <c r="AQ599" s="55">
        <v>76380.91</v>
      </c>
      <c r="AR599" s="55">
        <v>77206.92</v>
      </c>
      <c r="AS599" s="55">
        <v>76735.03</v>
      </c>
      <c r="AT599" s="55">
        <f t="array" ref="AT599">XLOOKUP(C599,'PL TOTAL D0'!A:A,'PL TOTAL D0'!C:C,"")</f>
        <v>77444.57</v>
      </c>
    </row>
    <row r="600" ht="15.75" customHeight="1">
      <c r="A600" s="44" t="s">
        <v>36</v>
      </c>
      <c r="B600" s="63" t="s">
        <v>2017</v>
      </c>
      <c r="C600" s="46" t="s">
        <v>2018</v>
      </c>
      <c r="D600" s="47" t="s">
        <v>18</v>
      </c>
      <c r="E600" s="24" t="s">
        <v>145</v>
      </c>
      <c r="F600" s="47" t="s">
        <v>171</v>
      </c>
      <c r="G600" s="47" t="str">
        <f t="shared" si="1"/>
        <v>Augusto</v>
      </c>
      <c r="H600" s="53" t="s">
        <v>116</v>
      </c>
      <c r="I600" s="53" t="s">
        <v>609</v>
      </c>
      <c r="J600" s="47" t="str">
        <f t="shared" si="5"/>
        <v>Não</v>
      </c>
      <c r="K600" s="49">
        <v>45163.0</v>
      </c>
      <c r="L600" s="64"/>
      <c r="M600" s="24" t="s">
        <v>60</v>
      </c>
      <c r="N600" s="50">
        <v>0.012</v>
      </c>
      <c r="O600" s="47" t="s">
        <v>24</v>
      </c>
      <c r="P600" s="51">
        <v>0.0</v>
      </c>
      <c r="Q600" s="65"/>
      <c r="R600" s="106"/>
      <c r="S600" s="62" t="s">
        <v>2019</v>
      </c>
      <c r="T600" s="24" t="s">
        <v>89</v>
      </c>
      <c r="U600" s="25" t="s">
        <v>2020</v>
      </c>
      <c r="V600" s="9" t="s">
        <v>180</v>
      </c>
      <c r="W600" s="53" t="str">
        <f t="shared" si="3"/>
        <v>Ativo</v>
      </c>
      <c r="X600" s="24"/>
      <c r="Y600" s="54" t="s">
        <v>91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36758.0</v>
      </c>
      <c r="AM600" s="56">
        <v>30221.63</v>
      </c>
      <c r="AN600" s="56">
        <v>30342.95</v>
      </c>
      <c r="AO600" s="56">
        <v>30573.89</v>
      </c>
      <c r="AP600" s="56">
        <v>30875.75</v>
      </c>
      <c r="AQ600" s="55">
        <v>31157.0</v>
      </c>
      <c r="AR600" s="55">
        <v>31477.15</v>
      </c>
      <c r="AS600" s="55">
        <v>31753.35</v>
      </c>
      <c r="AT600" s="55">
        <f t="array" ref="AT600">XLOOKUP(C600,'PL TOTAL D0'!A:A,'PL TOTAL D0'!C:C,"")</f>
        <v>776.38</v>
      </c>
    </row>
    <row r="601" ht="15.75" customHeight="1">
      <c r="A601" s="44" t="s">
        <v>36</v>
      </c>
      <c r="B601" s="63" t="s">
        <v>2017</v>
      </c>
      <c r="C601" s="46" t="s">
        <v>2021</v>
      </c>
      <c r="D601" s="47" t="s">
        <v>18</v>
      </c>
      <c r="E601" s="24" t="s">
        <v>145</v>
      </c>
      <c r="F601" s="47" t="s">
        <v>171</v>
      </c>
      <c r="G601" s="47" t="str">
        <f t="shared" si="1"/>
        <v>Augusto</v>
      </c>
      <c r="H601" s="53" t="s">
        <v>116</v>
      </c>
      <c r="I601" s="53" t="s">
        <v>427</v>
      </c>
      <c r="J601" s="47" t="str">
        <f t="shared" si="5"/>
        <v>Não</v>
      </c>
      <c r="K601" s="49">
        <v>45163.0</v>
      </c>
      <c r="L601" s="64"/>
      <c r="M601" s="24" t="s">
        <v>111</v>
      </c>
      <c r="N601" s="50">
        <v>0.015</v>
      </c>
      <c r="O601" s="47" t="s">
        <v>46</v>
      </c>
      <c r="P601" s="51">
        <v>0.1</v>
      </c>
      <c r="Q601" s="44"/>
      <c r="R601" s="106"/>
      <c r="S601" s="62" t="s">
        <v>2022</v>
      </c>
      <c r="T601" s="24" t="s">
        <v>89</v>
      </c>
      <c r="U601" s="25" t="s">
        <v>2020</v>
      </c>
      <c r="V601" s="9" t="s">
        <v>180</v>
      </c>
      <c r="W601" s="53" t="str">
        <f t="shared" si="3"/>
        <v>Ativo</v>
      </c>
      <c r="X601" s="24"/>
      <c r="Y601" s="54" t="s">
        <v>91</v>
      </c>
      <c r="Z601" s="56"/>
      <c r="AA601" s="56"/>
      <c r="AB601" s="56"/>
      <c r="AC601" s="56"/>
      <c r="AD601" s="56"/>
      <c r="AE601" s="56"/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0.0</v>
      </c>
      <c r="AL601" s="56">
        <v>178971.88</v>
      </c>
      <c r="AM601" s="56">
        <v>164836.78</v>
      </c>
      <c r="AN601" s="56">
        <v>168729.46</v>
      </c>
      <c r="AO601" s="56">
        <v>171907.46</v>
      </c>
      <c r="AP601" s="56">
        <v>169526.39</v>
      </c>
      <c r="AQ601" s="55">
        <v>170394.9</v>
      </c>
      <c r="AR601" s="55">
        <v>172384.33</v>
      </c>
      <c r="AS601" s="55">
        <v>171338.35</v>
      </c>
      <c r="AT601" s="55">
        <f t="array" ref="AT601">XLOOKUP(C601,'PL TOTAL D0'!A:A,'PL TOTAL D0'!C:C,"")</f>
        <v>224251</v>
      </c>
    </row>
    <row r="602" ht="15.75" customHeight="1">
      <c r="A602" s="6" t="s">
        <v>36</v>
      </c>
      <c r="B602" s="66" t="s">
        <v>2023</v>
      </c>
      <c r="C602" s="67" t="s">
        <v>2024</v>
      </c>
      <c r="D602" s="9" t="s">
        <v>18</v>
      </c>
      <c r="E602" s="25" t="s">
        <v>29</v>
      </c>
      <c r="F602" s="9" t="s">
        <v>87</v>
      </c>
      <c r="G602" s="47" t="str">
        <f t="shared" si="1"/>
        <v>Augusto</v>
      </c>
      <c r="H602" s="53" t="s">
        <v>88</v>
      </c>
      <c r="I602" s="53" t="s">
        <v>24</v>
      </c>
      <c r="J602" s="47" t="str">
        <f t="shared" si="5"/>
        <v>Sim</v>
      </c>
      <c r="K602" s="59">
        <v>45386.0</v>
      </c>
      <c r="L602" s="64"/>
      <c r="M602" s="25" t="s">
        <v>60</v>
      </c>
      <c r="N602" s="60">
        <v>0.012</v>
      </c>
      <c r="O602" s="9" t="s">
        <v>24</v>
      </c>
      <c r="P602" s="61">
        <v>0.0</v>
      </c>
      <c r="Q602" s="15" t="s">
        <v>2025</v>
      </c>
      <c r="R602" s="106"/>
      <c r="S602" s="62"/>
      <c r="T602" s="25" t="s">
        <v>89</v>
      </c>
      <c r="U602" s="23" t="s">
        <v>2026</v>
      </c>
      <c r="V602" s="9" t="s">
        <v>29</v>
      </c>
      <c r="W602" s="53" t="str">
        <f t="shared" si="3"/>
        <v>Ativo</v>
      </c>
      <c r="X602" s="24"/>
      <c r="Y602" s="54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5"/>
      <c r="AR602" s="55"/>
      <c r="AS602" s="55">
        <v>228292.15</v>
      </c>
      <c r="AT602" s="55">
        <f t="array" ref="AT602">XLOOKUP(C602,'PL TOTAL D0'!A:A,'PL TOTAL D0'!C:C,"")</f>
        <v>219295.5</v>
      </c>
    </row>
    <row r="603" ht="15.75" customHeight="1">
      <c r="A603" s="44" t="s">
        <v>36</v>
      </c>
      <c r="B603" s="63" t="s">
        <v>2027</v>
      </c>
      <c r="C603" s="46" t="s">
        <v>2028</v>
      </c>
      <c r="D603" s="47" t="s">
        <v>18</v>
      </c>
      <c r="E603" s="24" t="s">
        <v>19</v>
      </c>
      <c r="F603" s="47" t="s">
        <v>52</v>
      </c>
      <c r="G603" s="47" t="str">
        <f t="shared" si="1"/>
        <v>#N/A</v>
      </c>
      <c r="H603" s="48" t="s">
        <v>116</v>
      </c>
      <c r="I603" s="48" t="s">
        <v>130</v>
      </c>
      <c r="J603" s="47" t="str">
        <f t="shared" si="5"/>
        <v>Não</v>
      </c>
      <c r="K603" s="49">
        <v>45063.0</v>
      </c>
      <c r="L603" s="24"/>
      <c r="M603" s="24" t="s">
        <v>60</v>
      </c>
      <c r="N603" s="50">
        <v>0.012</v>
      </c>
      <c r="O603" s="47" t="s">
        <v>24</v>
      </c>
      <c r="P603" s="51">
        <v>0.0</v>
      </c>
      <c r="Q603" s="106"/>
      <c r="R603" s="106"/>
      <c r="S603" s="106"/>
      <c r="T603" s="24" t="s">
        <v>89</v>
      </c>
      <c r="U603" s="25" t="s">
        <v>2029</v>
      </c>
      <c r="V603" s="9" t="s">
        <v>19</v>
      </c>
      <c r="W603" s="53" t="str">
        <f t="shared" si="3"/>
        <v>Ativo</v>
      </c>
      <c r="X603" s="24"/>
      <c r="Y603" s="54" t="s">
        <v>95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44467.04</v>
      </c>
      <c r="AI603" s="56">
        <v>8.45</v>
      </c>
      <c r="AJ603" s="56">
        <v>0.0</v>
      </c>
      <c r="AK603" s="56">
        <v>0.0</v>
      </c>
      <c r="AL603" s="56">
        <v>0.0</v>
      </c>
      <c r="AM603" s="56">
        <v>0.0</v>
      </c>
      <c r="AN603" s="56">
        <v>0.0</v>
      </c>
      <c r="AO603" s="56">
        <v>0.0</v>
      </c>
      <c r="AP603" s="56">
        <v>0.0</v>
      </c>
      <c r="AQ603" s="55">
        <v>0.0</v>
      </c>
      <c r="AR603" s="55">
        <v>0.0</v>
      </c>
      <c r="AS603" s="55">
        <v>0.0</v>
      </c>
      <c r="AT603" s="55" t="str">
        <f t="array" ref="AT603">XLOOKUP(C603,'PL TOTAL D0'!A:A,'PL TOTAL D0'!C:C,"")</f>
        <v/>
      </c>
    </row>
    <row r="604" ht="15.75" customHeight="1">
      <c r="A604" s="44" t="s">
        <v>36</v>
      </c>
      <c r="B604" s="68" t="s">
        <v>2030</v>
      </c>
      <c r="C604" s="69" t="s">
        <v>2031</v>
      </c>
      <c r="D604" s="47" t="s">
        <v>18</v>
      </c>
      <c r="E604" s="24" t="s">
        <v>145</v>
      </c>
      <c r="F604" s="47" t="s">
        <v>146</v>
      </c>
      <c r="G604" s="47" t="str">
        <f t="shared" si="1"/>
        <v>Augusto</v>
      </c>
      <c r="H604" s="48" t="s">
        <v>88</v>
      </c>
      <c r="I604" s="53" t="s">
        <v>24</v>
      </c>
      <c r="J604" s="47" t="str">
        <f t="shared" si="5"/>
        <v>Não</v>
      </c>
      <c r="K604" s="49">
        <v>45271.0</v>
      </c>
      <c r="L604" s="24"/>
      <c r="M604" s="92" t="s">
        <v>45</v>
      </c>
      <c r="N604" s="116">
        <v>0.012</v>
      </c>
      <c r="O604" s="94" t="s">
        <v>46</v>
      </c>
      <c r="P604" s="117">
        <v>0.1</v>
      </c>
      <c r="Q604" s="106"/>
      <c r="R604" s="106"/>
      <c r="S604" s="106"/>
      <c r="T604" s="24" t="s">
        <v>89</v>
      </c>
      <c r="U604" s="25" t="s">
        <v>2032</v>
      </c>
      <c r="V604" s="9" t="s">
        <v>149</v>
      </c>
      <c r="W604" s="53" t="str">
        <f t="shared" si="3"/>
        <v>Ativo</v>
      </c>
      <c r="X604" s="24"/>
      <c r="Y604" s="54" t="s">
        <v>91</v>
      </c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>
        <v>241127.73</v>
      </c>
      <c r="AP604" s="56">
        <v>240868.5</v>
      </c>
      <c r="AQ604" s="55">
        <v>242741.27</v>
      </c>
      <c r="AR604" s="55">
        <v>194411.18</v>
      </c>
      <c r="AS604" s="55">
        <v>194120.7</v>
      </c>
      <c r="AT604" s="55">
        <f t="array" ref="AT604">XLOOKUP(C604,'PL TOTAL D0'!A:A,'PL TOTAL D0'!C:C,"")</f>
        <v>133953</v>
      </c>
    </row>
    <row r="605" ht="15.75" customHeight="1">
      <c r="A605" s="44" t="s">
        <v>36</v>
      </c>
      <c r="B605" s="45" t="s">
        <v>2033</v>
      </c>
      <c r="C605" s="46" t="s">
        <v>2034</v>
      </c>
      <c r="D605" s="47" t="s">
        <v>18</v>
      </c>
      <c r="E605" s="24" t="s">
        <v>29</v>
      </c>
      <c r="F605" s="47" t="s">
        <v>58</v>
      </c>
      <c r="G605" s="47" t="str">
        <f t="shared" si="1"/>
        <v>#N/A</v>
      </c>
      <c r="H605" s="53" t="s">
        <v>116</v>
      </c>
      <c r="I605" s="48" t="s">
        <v>161</v>
      </c>
      <c r="J605" s="47" t="str">
        <f t="shared" si="5"/>
        <v>Não</v>
      </c>
      <c r="K605" s="49">
        <v>45163.0</v>
      </c>
      <c r="L605" s="64"/>
      <c r="M605" s="24" t="s">
        <v>60</v>
      </c>
      <c r="N605" s="50">
        <v>0.012</v>
      </c>
      <c r="O605" s="47" t="s">
        <v>24</v>
      </c>
      <c r="P605" s="51">
        <v>0.0</v>
      </c>
      <c r="Q605" s="76"/>
      <c r="R605" s="75"/>
      <c r="S605" s="75"/>
      <c r="T605" s="24" t="s">
        <v>89</v>
      </c>
      <c r="U605" s="25" t="s">
        <v>2035</v>
      </c>
      <c r="V605" s="9" t="s">
        <v>29</v>
      </c>
      <c r="W605" s="53" t="str">
        <f t="shared" si="3"/>
        <v>Ativo</v>
      </c>
      <c r="X605" s="24"/>
      <c r="Y605" s="54" t="s">
        <v>95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36</v>
      </c>
      <c r="B606" s="45" t="s">
        <v>2033</v>
      </c>
      <c r="C606" s="46" t="s">
        <v>2036</v>
      </c>
      <c r="D606" s="47" t="s">
        <v>18</v>
      </c>
      <c r="E606" s="24" t="s">
        <v>29</v>
      </c>
      <c r="F606" s="47" t="s">
        <v>58</v>
      </c>
      <c r="G606" s="47" t="str">
        <f t="shared" si="1"/>
        <v>#N/A</v>
      </c>
      <c r="H606" s="53" t="s">
        <v>116</v>
      </c>
      <c r="I606" s="53" t="s">
        <v>130</v>
      </c>
      <c r="J606" s="47" t="str">
        <f t="shared" si="5"/>
        <v>Não</v>
      </c>
      <c r="K606" s="49">
        <v>45163.0</v>
      </c>
      <c r="L606" s="64"/>
      <c r="M606" s="24" t="s">
        <v>99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4" t="s">
        <v>89</v>
      </c>
      <c r="U606" s="25" t="s">
        <v>2035</v>
      </c>
      <c r="V606" s="9" t="s">
        <v>29</v>
      </c>
      <c r="W606" s="53" t="str">
        <f t="shared" si="3"/>
        <v>Ativo</v>
      </c>
      <c r="X606" s="24"/>
      <c r="Y606" s="54" t="s">
        <v>95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45" t="s">
        <v>2033</v>
      </c>
      <c r="C607" s="46" t="s">
        <v>2037</v>
      </c>
      <c r="D607" s="47" t="s">
        <v>18</v>
      </c>
      <c r="E607" s="24" t="s">
        <v>29</v>
      </c>
      <c r="F607" s="47" t="s">
        <v>58</v>
      </c>
      <c r="G607" s="47" t="str">
        <f t="shared" si="1"/>
        <v>#N/A</v>
      </c>
      <c r="H607" s="53" t="s">
        <v>116</v>
      </c>
      <c r="I607" s="53" t="s">
        <v>130</v>
      </c>
      <c r="J607" s="47" t="str">
        <f t="shared" si="5"/>
        <v>Não</v>
      </c>
      <c r="K607" s="49">
        <v>45163.0</v>
      </c>
      <c r="L607" s="64"/>
      <c r="M607" s="24" t="s">
        <v>99</v>
      </c>
      <c r="N607" s="50">
        <v>0.0</v>
      </c>
      <c r="O607" s="47" t="s">
        <v>24</v>
      </c>
      <c r="P607" s="51">
        <v>0.0</v>
      </c>
      <c r="Q607" s="75"/>
      <c r="R607" s="75"/>
      <c r="S607" s="75"/>
      <c r="T607" s="24" t="s">
        <v>89</v>
      </c>
      <c r="U607" s="25" t="s">
        <v>2035</v>
      </c>
      <c r="V607" s="9" t="s">
        <v>29</v>
      </c>
      <c r="W607" s="53" t="str">
        <f t="shared" si="3"/>
        <v>Ativo</v>
      </c>
      <c r="X607" s="24"/>
      <c r="Y607" s="54" t="s">
        <v>95</v>
      </c>
      <c r="Z607" s="56"/>
      <c r="AA607" s="56"/>
      <c r="AB607" s="56"/>
      <c r="AC607" s="56"/>
      <c r="AD607" s="56"/>
      <c r="AE607" s="56"/>
      <c r="AF607" s="56"/>
      <c r="AG607" s="56">
        <v>0.0</v>
      </c>
      <c r="AH607" s="56">
        <v>0.0</v>
      </c>
      <c r="AI607" s="56">
        <v>0.0</v>
      </c>
      <c r="AJ607" s="56">
        <v>0.0</v>
      </c>
      <c r="AK607" s="56">
        <v>0.0</v>
      </c>
      <c r="AL607" s="56">
        <v>0.0</v>
      </c>
      <c r="AM607" s="56">
        <v>0.0</v>
      </c>
      <c r="AN607" s="56">
        <v>0.0</v>
      </c>
      <c r="AO607" s="56">
        <v>0.0</v>
      </c>
      <c r="AP607" s="56">
        <v>0.0</v>
      </c>
      <c r="AQ607" s="55">
        <v>0.0</v>
      </c>
      <c r="AR607" s="55">
        <v>0.0</v>
      </c>
      <c r="AS607" s="55">
        <v>0.0</v>
      </c>
      <c r="AT607" s="55" t="str">
        <f t="array" ref="AT607">XLOOKUP(C607,'PL TOTAL D0'!A:A,'PL TOTAL D0'!C:C,"")</f>
        <v/>
      </c>
    </row>
    <row r="608" ht="15.75" customHeight="1">
      <c r="A608" s="44" t="s">
        <v>36</v>
      </c>
      <c r="B608" s="45" t="s">
        <v>2038</v>
      </c>
      <c r="C608" s="46" t="s">
        <v>2039</v>
      </c>
      <c r="D608" s="47" t="s">
        <v>18</v>
      </c>
      <c r="E608" s="24" t="s">
        <v>29</v>
      </c>
      <c r="F608" s="47" t="s">
        <v>58</v>
      </c>
      <c r="G608" s="47" t="str">
        <f t="shared" si="1"/>
        <v>Augusto</v>
      </c>
      <c r="H608" s="53" t="s">
        <v>88</v>
      </c>
      <c r="I608" s="53" t="s">
        <v>24</v>
      </c>
      <c r="J608" s="47" t="str">
        <f t="shared" si="5"/>
        <v>Não</v>
      </c>
      <c r="K608" s="49">
        <v>44973.0</v>
      </c>
      <c r="L608" s="24"/>
      <c r="M608" s="25" t="s">
        <v>99</v>
      </c>
      <c r="N608" s="60">
        <v>0.0</v>
      </c>
      <c r="O608" s="9" t="s">
        <v>24</v>
      </c>
      <c r="P608" s="61">
        <v>0.0</v>
      </c>
      <c r="Q608" s="106"/>
      <c r="R608" s="106"/>
      <c r="S608" s="62" t="s">
        <v>560</v>
      </c>
      <c r="T608" s="24" t="s">
        <v>89</v>
      </c>
      <c r="U608" s="25" t="s">
        <v>2040</v>
      </c>
      <c r="V608" s="9" t="s">
        <v>29</v>
      </c>
      <c r="W608" s="53" t="str">
        <f t="shared" si="3"/>
        <v>Ativo</v>
      </c>
      <c r="X608" s="24"/>
      <c r="Y608" s="54" t="s">
        <v>95</v>
      </c>
      <c r="Z608" s="56"/>
      <c r="AA608" s="56"/>
      <c r="AB608" s="56"/>
      <c r="AC608" s="56"/>
      <c r="AD608" s="56">
        <v>0.0</v>
      </c>
      <c r="AE608" s="56">
        <v>42071.82</v>
      </c>
      <c r="AF608" s="56">
        <v>48573.21</v>
      </c>
      <c r="AG608" s="56">
        <v>48813.34</v>
      </c>
      <c r="AH608" s="56">
        <v>49815.46</v>
      </c>
      <c r="AI608" s="56">
        <v>50614.22</v>
      </c>
      <c r="AJ608" s="56">
        <v>50918.73</v>
      </c>
      <c r="AK608" s="56">
        <v>50738.19</v>
      </c>
      <c r="AL608" s="56">
        <v>50628.89</v>
      </c>
      <c r="AM608" s="56">
        <v>50584.61</v>
      </c>
      <c r="AN608" s="56">
        <v>51127.98</v>
      </c>
      <c r="AO608" s="56">
        <v>65685.15</v>
      </c>
      <c r="AP608" s="56">
        <v>65122.87</v>
      </c>
      <c r="AQ608" s="55">
        <v>65731.06</v>
      </c>
      <c r="AR608" s="55">
        <v>66405.76</v>
      </c>
      <c r="AS608" s="55">
        <v>65968.55</v>
      </c>
      <c r="AT608" s="55">
        <f t="array" ref="AT608">XLOOKUP(C608,'PL TOTAL D0'!A:A,'PL TOTAL D0'!C:C,"")</f>
        <v>66304.82</v>
      </c>
    </row>
    <row r="609" ht="15.75" customHeight="1">
      <c r="A609" s="44" t="s">
        <v>36</v>
      </c>
      <c r="B609" s="66" t="s">
        <v>2041</v>
      </c>
      <c r="C609" s="67" t="s">
        <v>2042</v>
      </c>
      <c r="D609" s="9" t="s">
        <v>18</v>
      </c>
      <c r="E609" s="25" t="s">
        <v>29</v>
      </c>
      <c r="F609" s="9" t="s">
        <v>152</v>
      </c>
      <c r="G609" s="47" t="str">
        <f t="shared" si="1"/>
        <v>Augusto</v>
      </c>
      <c r="H609" s="53" t="s">
        <v>88</v>
      </c>
      <c r="I609" s="53" t="s">
        <v>24</v>
      </c>
      <c r="J609" s="47" t="str">
        <f t="shared" si="5"/>
        <v>Não</v>
      </c>
      <c r="K609" s="59">
        <v>45419.0</v>
      </c>
      <c r="L609" s="24"/>
      <c r="M609" s="25" t="s">
        <v>45</v>
      </c>
      <c r="N609" s="60">
        <v>0.012</v>
      </c>
      <c r="O609" s="9" t="s">
        <v>46</v>
      </c>
      <c r="P609" s="61">
        <v>0.1</v>
      </c>
      <c r="Q609" s="106"/>
      <c r="R609" s="106"/>
      <c r="S609" s="62"/>
      <c r="T609" s="25" t="s">
        <v>89</v>
      </c>
      <c r="U609" s="23" t="s">
        <v>2043</v>
      </c>
      <c r="V609" s="9" t="s">
        <v>29</v>
      </c>
      <c r="W609" s="53" t="str">
        <f t="shared" si="3"/>
        <v>Ativo</v>
      </c>
      <c r="X609" s="25" t="s">
        <v>48</v>
      </c>
      <c r="Y609" s="54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5"/>
      <c r="AR609" s="55"/>
      <c r="AS609" s="55"/>
      <c r="AT609" s="55">
        <f t="array" ref="AT609">XLOOKUP(C609,'PL TOTAL D0'!A:A,'PL TOTAL D0'!C:C,"")</f>
        <v>56508.27</v>
      </c>
    </row>
    <row r="610" ht="15.75" customHeight="1">
      <c r="A610" s="44" t="s">
        <v>36</v>
      </c>
      <c r="B610" s="63" t="s">
        <v>2044</v>
      </c>
      <c r="C610" s="46" t="s">
        <v>2045</v>
      </c>
      <c r="D610" s="47" t="s">
        <v>18</v>
      </c>
      <c r="E610" s="24" t="s">
        <v>19</v>
      </c>
      <c r="F610" s="47" t="s">
        <v>230</v>
      </c>
      <c r="G610" s="47" t="str">
        <f t="shared" si="1"/>
        <v>Augusto</v>
      </c>
      <c r="H610" s="48" t="s">
        <v>88</v>
      </c>
      <c r="I610" s="48" t="s">
        <v>24</v>
      </c>
      <c r="J610" s="47" t="str">
        <f t="shared" si="5"/>
        <v>Não</v>
      </c>
      <c r="K610" s="49">
        <v>45015.0</v>
      </c>
      <c r="L610" s="24"/>
      <c r="M610" s="24" t="s">
        <v>60</v>
      </c>
      <c r="N610" s="50">
        <v>0.012</v>
      </c>
      <c r="O610" s="47" t="s">
        <v>24</v>
      </c>
      <c r="P610" s="51">
        <v>0.0</v>
      </c>
      <c r="Q610" s="106"/>
      <c r="R610" s="106"/>
      <c r="S610" s="106"/>
      <c r="T610" s="24" t="s">
        <v>89</v>
      </c>
      <c r="U610" s="25" t="s">
        <v>2046</v>
      </c>
      <c r="V610" s="9" t="s">
        <v>29</v>
      </c>
      <c r="W610" s="53" t="str">
        <f t="shared" si="3"/>
        <v>Ativo</v>
      </c>
      <c r="X610" s="24"/>
      <c r="Y610" s="54" t="s">
        <v>95</v>
      </c>
      <c r="Z610" s="56"/>
      <c r="AA610" s="56"/>
      <c r="AB610" s="56"/>
      <c r="AC610" s="56"/>
      <c r="AD610" s="56"/>
      <c r="AE610" s="56"/>
      <c r="AF610" s="56">
        <v>160000.0</v>
      </c>
      <c r="AG610" s="56">
        <v>272043.36</v>
      </c>
      <c r="AH610" s="56">
        <v>274010.13</v>
      </c>
      <c r="AI610" s="56">
        <v>276251.33</v>
      </c>
      <c r="AJ610" s="56">
        <v>136932.44</v>
      </c>
      <c r="AK610" s="56">
        <v>122936.31</v>
      </c>
      <c r="AL610" s="56">
        <v>100114.2</v>
      </c>
      <c r="AM610" s="56">
        <v>94902.41</v>
      </c>
      <c r="AN610" s="56">
        <v>71309.04</v>
      </c>
      <c r="AO610" s="56">
        <v>61725.21</v>
      </c>
      <c r="AP610" s="56">
        <v>36465.34</v>
      </c>
      <c r="AQ610" s="55">
        <v>36133.91</v>
      </c>
      <c r="AR610" s="55">
        <v>30358.37</v>
      </c>
      <c r="AS610" s="55">
        <v>10091.78</v>
      </c>
      <c r="AT610" s="55">
        <f t="array" ref="AT610">XLOOKUP(C610,'PL TOTAL D0'!A:A,'PL TOTAL D0'!C:C,"")</f>
        <v>10127.77</v>
      </c>
    </row>
    <row r="611" ht="15.75" customHeight="1">
      <c r="A611" s="6" t="s">
        <v>36</v>
      </c>
      <c r="B611" s="45" t="s">
        <v>2047</v>
      </c>
      <c r="C611" s="46" t="s">
        <v>2048</v>
      </c>
      <c r="D611" s="9" t="s">
        <v>86</v>
      </c>
      <c r="E611" s="25" t="s">
        <v>29</v>
      </c>
      <c r="F611" s="24" t="s">
        <v>115</v>
      </c>
      <c r="G611" s="47" t="str">
        <f t="shared" si="1"/>
        <v>Augusto</v>
      </c>
      <c r="H611" s="53" t="s">
        <v>116</v>
      </c>
      <c r="I611" s="53" t="s">
        <v>117</v>
      </c>
      <c r="J611" s="47" t="str">
        <f t="shared" si="5"/>
        <v>Sim</v>
      </c>
      <c r="K611" s="59">
        <v>45279.0</v>
      </c>
      <c r="L611" s="24"/>
      <c r="M611" s="25" t="s">
        <v>118</v>
      </c>
      <c r="N611" s="60">
        <v>0.003</v>
      </c>
      <c r="O611" s="9" t="s">
        <v>24</v>
      </c>
      <c r="P611" s="61">
        <v>0.0</v>
      </c>
      <c r="Q611" s="15" t="s">
        <v>119</v>
      </c>
      <c r="R611" s="106"/>
      <c r="S611" s="106"/>
      <c r="T611" s="25" t="s">
        <v>89</v>
      </c>
      <c r="U611" s="25" t="s">
        <v>2049</v>
      </c>
      <c r="V611" s="9" t="s">
        <v>121</v>
      </c>
      <c r="W611" s="53" t="str">
        <f t="shared" si="3"/>
        <v>Ativo</v>
      </c>
      <c r="X611" s="24"/>
      <c r="Y611" s="54" t="s">
        <v>95</v>
      </c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>
        <v>155014.6</v>
      </c>
      <c r="AP611" s="56">
        <v>209411.61</v>
      </c>
      <c r="AQ611" s="55">
        <v>2482.92</v>
      </c>
      <c r="AR611" s="55">
        <v>2503.58</v>
      </c>
      <c r="AS611" s="55">
        <v>2525.51</v>
      </c>
      <c r="AT611" s="55">
        <f t="array" ref="AT611">XLOOKUP(C611,'PL TOTAL D0'!A:A,'PL TOTAL D0'!C:C,"")</f>
        <v>2538.41</v>
      </c>
    </row>
    <row r="612" ht="15.75" customHeight="1">
      <c r="A612" s="44" t="s">
        <v>36</v>
      </c>
      <c r="B612" s="57" t="s">
        <v>2050</v>
      </c>
      <c r="C612" s="46" t="s">
        <v>2051</v>
      </c>
      <c r="D612" s="47" t="s">
        <v>18</v>
      </c>
      <c r="E612" s="24" t="s">
        <v>29</v>
      </c>
      <c r="F612" s="47" t="s">
        <v>2052</v>
      </c>
      <c r="G612" s="47" t="str">
        <f t="shared" si="1"/>
        <v>Augusto</v>
      </c>
      <c r="H612" s="53" t="s">
        <v>116</v>
      </c>
      <c r="I612" s="53" t="s">
        <v>130</v>
      </c>
      <c r="J612" s="47" t="str">
        <f t="shared" si="5"/>
        <v>Não</v>
      </c>
      <c r="K612" s="49">
        <v>44998.0</v>
      </c>
      <c r="L612" s="24"/>
      <c r="M612" s="24" t="s">
        <v>243</v>
      </c>
      <c r="N612" s="50">
        <v>0.019</v>
      </c>
      <c r="O612" s="47" t="s">
        <v>46</v>
      </c>
      <c r="P612" s="51">
        <v>0.2</v>
      </c>
      <c r="Q612" s="106"/>
      <c r="R612" s="106"/>
      <c r="S612" s="106"/>
      <c r="T612" s="24" t="s">
        <v>89</v>
      </c>
      <c r="U612" s="25" t="s">
        <v>2053</v>
      </c>
      <c r="V612" s="9" t="s">
        <v>29</v>
      </c>
      <c r="W612" s="53" t="str">
        <f t="shared" si="3"/>
        <v>Ativo</v>
      </c>
      <c r="X612" s="24"/>
      <c r="Y612" s="54" t="s">
        <v>95</v>
      </c>
      <c r="Z612" s="56"/>
      <c r="AA612" s="56"/>
      <c r="AB612" s="56"/>
      <c r="AC612" s="56"/>
      <c r="AD612" s="56"/>
      <c r="AE612" s="56">
        <v>0.0</v>
      </c>
      <c r="AF612" s="56">
        <v>49617.77</v>
      </c>
      <c r="AG612" s="56">
        <v>49918.83</v>
      </c>
      <c r="AH612" s="56">
        <v>26661.75</v>
      </c>
      <c r="AI612" s="56">
        <v>50.26</v>
      </c>
      <c r="AJ612" s="56">
        <v>50.26</v>
      </c>
      <c r="AK612" s="56">
        <v>50.26</v>
      </c>
      <c r="AL612" s="56">
        <v>50.26</v>
      </c>
      <c r="AM612" s="56">
        <v>50.26</v>
      </c>
      <c r="AN612" s="56">
        <v>50.26</v>
      </c>
      <c r="AO612" s="56">
        <v>50.26</v>
      </c>
      <c r="AP612" s="56">
        <v>50.26</v>
      </c>
      <c r="AQ612" s="55">
        <v>50.26</v>
      </c>
      <c r="AR612" s="55">
        <v>50.26</v>
      </c>
      <c r="AS612" s="55">
        <v>902.31</v>
      </c>
      <c r="AT612" s="55">
        <f t="array" ref="AT612">XLOOKUP(C612,'PL TOTAL D0'!A:A,'PL TOTAL D0'!C:C,"")</f>
        <v>902.31</v>
      </c>
    </row>
    <row r="613" ht="15.75" customHeight="1">
      <c r="A613" s="44" t="s">
        <v>36</v>
      </c>
      <c r="B613" s="45" t="s">
        <v>2054</v>
      </c>
      <c r="C613" s="46" t="s">
        <v>2055</v>
      </c>
      <c r="D613" s="47" t="s">
        <v>18</v>
      </c>
      <c r="E613" s="24" t="s">
        <v>19</v>
      </c>
      <c r="F613" s="47" t="s">
        <v>230</v>
      </c>
      <c r="G613" s="47" t="str">
        <f t="shared" si="1"/>
        <v>#N/A</v>
      </c>
      <c r="H613" s="53" t="s">
        <v>116</v>
      </c>
      <c r="I613" s="48" t="s">
        <v>161</v>
      </c>
      <c r="J613" s="47" t="str">
        <f t="shared" si="5"/>
        <v>Não</v>
      </c>
      <c r="K613" s="49">
        <v>45163.0</v>
      </c>
      <c r="L613" s="64"/>
      <c r="M613" s="24" t="s">
        <v>60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89</v>
      </c>
      <c r="U613" s="25" t="s">
        <v>2056</v>
      </c>
      <c r="V613" s="9" t="s">
        <v>19</v>
      </c>
      <c r="W613" s="53" t="str">
        <f t="shared" si="3"/>
        <v>Ativo</v>
      </c>
      <c r="X613" s="24"/>
      <c r="Y613" s="54" t="s">
        <v>95</v>
      </c>
      <c r="Z613" s="56"/>
      <c r="AA613" s="56"/>
      <c r="AB613" s="56"/>
      <c r="AC613" s="56"/>
      <c r="AD613" s="56"/>
      <c r="AE613" s="56"/>
      <c r="AF613" s="56"/>
      <c r="AG613" s="56"/>
      <c r="AH613" s="56"/>
      <c r="AI613" s="56">
        <v>0.0</v>
      </c>
      <c r="AJ613" s="56">
        <v>0.0</v>
      </c>
      <c r="AK613" s="56">
        <v>0.0</v>
      </c>
      <c r="AL613" s="56">
        <v>0.0</v>
      </c>
      <c r="AM613" s="56">
        <v>0.0</v>
      </c>
      <c r="AN613" s="56">
        <v>0.0</v>
      </c>
      <c r="AO613" s="56">
        <v>0.0</v>
      </c>
      <c r="AP613" s="56">
        <v>0.0</v>
      </c>
      <c r="AQ613" s="55">
        <v>0.0</v>
      </c>
      <c r="AR613" s="55">
        <v>0.0</v>
      </c>
      <c r="AS613" s="55">
        <v>0.0</v>
      </c>
      <c r="AT613" s="55" t="str">
        <f t="array" ref="AT613">XLOOKUP(C613,'PL TOTAL D0'!A:A,'PL TOTAL D0'!C:C,"")</f>
        <v/>
      </c>
    </row>
    <row r="614" ht="15.75" customHeight="1">
      <c r="A614" s="44" t="s">
        <v>36</v>
      </c>
      <c r="B614" s="45" t="s">
        <v>2057</v>
      </c>
      <c r="C614" s="46" t="s">
        <v>2058</v>
      </c>
      <c r="D614" s="47" t="s">
        <v>18</v>
      </c>
      <c r="E614" s="24" t="s">
        <v>29</v>
      </c>
      <c r="F614" s="47" t="s">
        <v>137</v>
      </c>
      <c r="G614" s="47" t="str">
        <f t="shared" si="1"/>
        <v>Breno</v>
      </c>
      <c r="H614" s="48" t="s">
        <v>88</v>
      </c>
      <c r="I614" s="48" t="s">
        <v>24</v>
      </c>
      <c r="J614" s="47" t="str">
        <f t="shared" si="5"/>
        <v>Não</v>
      </c>
      <c r="K614" s="49">
        <v>45048.0</v>
      </c>
      <c r="L614" s="24"/>
      <c r="M614" s="24" t="s">
        <v>60</v>
      </c>
      <c r="N614" s="50">
        <v>0.012</v>
      </c>
      <c r="O614" s="47" t="s">
        <v>24</v>
      </c>
      <c r="P614" s="51">
        <v>0.0</v>
      </c>
      <c r="Q614" s="106"/>
      <c r="R614" s="106"/>
      <c r="S614" s="106"/>
      <c r="T614" s="24" t="s">
        <v>89</v>
      </c>
      <c r="U614" s="25" t="s">
        <v>2059</v>
      </c>
      <c r="V614" s="9" t="s">
        <v>29</v>
      </c>
      <c r="W614" s="53" t="str">
        <f t="shared" si="3"/>
        <v>Ativo</v>
      </c>
      <c r="X614" s="24"/>
      <c r="Y614" s="54" t="s">
        <v>95</v>
      </c>
      <c r="Z614" s="56"/>
      <c r="AA614" s="56"/>
      <c r="AB614" s="56"/>
      <c r="AC614" s="56"/>
      <c r="AD614" s="56"/>
      <c r="AE614" s="56"/>
      <c r="AF614" s="56">
        <v>0.0</v>
      </c>
      <c r="AG614" s="56">
        <v>508810.75</v>
      </c>
      <c r="AH614" s="56">
        <v>775970.71</v>
      </c>
      <c r="AI614" s="56">
        <v>784615.31</v>
      </c>
      <c r="AJ614" s="56">
        <v>790313.84</v>
      </c>
      <c r="AK614" s="56">
        <v>796962.58</v>
      </c>
      <c r="AL614" s="56">
        <v>799686.48</v>
      </c>
      <c r="AM614" s="56">
        <v>802618.33</v>
      </c>
      <c r="AN614" s="56">
        <v>809988.99</v>
      </c>
      <c r="AO614" s="56">
        <v>817678.62</v>
      </c>
      <c r="AP614" s="56">
        <v>823387.03</v>
      </c>
      <c r="AQ614" s="55">
        <v>829725.01</v>
      </c>
      <c r="AR614" s="55">
        <v>836610.72</v>
      </c>
      <c r="AS614" s="55">
        <v>840050.8</v>
      </c>
      <c r="AT614" s="55">
        <f t="array" ref="AT614">XLOOKUP(C614,'PL TOTAL D0'!A:A,'PL TOTAL D0'!C:C,"")</f>
        <v>840829.1</v>
      </c>
    </row>
    <row r="615" ht="15.75" customHeight="1">
      <c r="A615" s="44" t="s">
        <v>36</v>
      </c>
      <c r="B615" s="45" t="s">
        <v>2060</v>
      </c>
      <c r="C615" s="46" t="s">
        <v>2061</v>
      </c>
      <c r="D615" s="47" t="s">
        <v>18</v>
      </c>
      <c r="E615" s="24" t="s">
        <v>19</v>
      </c>
      <c r="F615" s="47" t="s">
        <v>230</v>
      </c>
      <c r="G615" s="47" t="str">
        <f t="shared" si="1"/>
        <v>#N/A</v>
      </c>
      <c r="H615" s="48" t="s">
        <v>116</v>
      </c>
      <c r="I615" s="48" t="s">
        <v>161</v>
      </c>
      <c r="J615" s="47" t="str">
        <f t="shared" si="5"/>
        <v>Não</v>
      </c>
      <c r="K615" s="49">
        <v>45163.0</v>
      </c>
      <c r="L615" s="64"/>
      <c r="M615" s="24" t="s">
        <v>60</v>
      </c>
      <c r="N615" s="50">
        <v>0.012</v>
      </c>
      <c r="O615" s="47" t="s">
        <v>24</v>
      </c>
      <c r="P615" s="51">
        <v>0.0</v>
      </c>
      <c r="Q615" s="106"/>
      <c r="R615" s="106"/>
      <c r="S615" s="62" t="s">
        <v>2062</v>
      </c>
      <c r="T615" s="24" t="s">
        <v>89</v>
      </c>
      <c r="U615" s="25" t="s">
        <v>2063</v>
      </c>
      <c r="V615" s="9" t="s">
        <v>19</v>
      </c>
      <c r="W615" s="53" t="str">
        <f t="shared" si="3"/>
        <v>Ativo</v>
      </c>
      <c r="X615" s="24"/>
      <c r="Y615" s="54" t="s">
        <v>95</v>
      </c>
      <c r="Z615" s="56"/>
      <c r="AA615" s="56"/>
      <c r="AB615" s="56"/>
      <c r="AC615" s="56"/>
      <c r="AD615" s="56"/>
      <c r="AE615" s="56"/>
      <c r="AF615" s="56">
        <v>0.0</v>
      </c>
      <c r="AG615" s="56">
        <v>0.0</v>
      </c>
      <c r="AH615" s="56">
        <v>0.0</v>
      </c>
      <c r="AI615" s="56">
        <v>0.0</v>
      </c>
      <c r="AJ615" s="56">
        <v>0.0</v>
      </c>
      <c r="AK615" s="56">
        <v>0.0</v>
      </c>
      <c r="AL615" s="56">
        <v>0.0</v>
      </c>
      <c r="AM615" s="56">
        <v>0.0</v>
      </c>
      <c r="AN615" s="56">
        <v>0.0</v>
      </c>
      <c r="AO615" s="56">
        <v>0.0</v>
      </c>
      <c r="AP615" s="56">
        <v>0.0</v>
      </c>
      <c r="AQ615" s="55">
        <v>0.0</v>
      </c>
      <c r="AR615" s="55">
        <v>0.0</v>
      </c>
      <c r="AS615" s="55">
        <v>0.0</v>
      </c>
      <c r="AT615" s="55" t="str">
        <f t="array" ref="AT615">XLOOKUP(C615,'PL TOTAL D0'!A:A,'PL TOTAL D0'!C:C,"")</f>
        <v/>
      </c>
    </row>
    <row r="616" ht="15.75" customHeight="1">
      <c r="A616" s="6" t="s">
        <v>36</v>
      </c>
      <c r="B616" s="57" t="s">
        <v>2064</v>
      </c>
      <c r="C616" s="58" t="s">
        <v>2065</v>
      </c>
      <c r="D616" s="9" t="s">
        <v>18</v>
      </c>
      <c r="E616" s="25" t="s">
        <v>19</v>
      </c>
      <c r="F616" s="9" t="s">
        <v>52</v>
      </c>
      <c r="G616" s="47" t="str">
        <f t="shared" si="1"/>
        <v>Augusto</v>
      </c>
      <c r="H616" s="53" t="s">
        <v>88</v>
      </c>
      <c r="I616" s="53" t="s">
        <v>24</v>
      </c>
      <c r="J616" s="47" t="str">
        <f t="shared" si="5"/>
        <v>Não</v>
      </c>
      <c r="K616" s="59">
        <v>45321.0</v>
      </c>
      <c r="L616" s="64"/>
      <c r="M616" s="24" t="s">
        <v>60</v>
      </c>
      <c r="N616" s="50">
        <v>0.012</v>
      </c>
      <c r="O616" s="47" t="s">
        <v>24</v>
      </c>
      <c r="P616" s="51">
        <v>0.0</v>
      </c>
      <c r="Q616" s="106"/>
      <c r="R616" s="169" t="s">
        <v>2066</v>
      </c>
      <c r="S616" s="62"/>
      <c r="T616" s="25" t="s">
        <v>89</v>
      </c>
      <c r="U616" s="25" t="s">
        <v>2067</v>
      </c>
      <c r="V616" s="9" t="s">
        <v>19</v>
      </c>
      <c r="W616" s="53" t="str">
        <f t="shared" si="3"/>
        <v>Ativo</v>
      </c>
      <c r="X616" s="24"/>
      <c r="Y616" s="54" t="s">
        <v>95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>
        <v>0.0</v>
      </c>
      <c r="AQ616" s="55">
        <v>100304.51</v>
      </c>
      <c r="AR616" s="55">
        <v>101205.41</v>
      </c>
      <c r="AS616" s="55">
        <v>101972.82</v>
      </c>
      <c r="AT616" s="55">
        <f t="array" ref="AT616">XLOOKUP(C616,'PL TOTAL D0'!A:A,'PL TOTAL D0'!C:C,"")</f>
        <v>2038.92</v>
      </c>
    </row>
    <row r="617" ht="15.75" customHeight="1">
      <c r="A617" s="44" t="s">
        <v>36</v>
      </c>
      <c r="B617" s="45" t="s">
        <v>2068</v>
      </c>
      <c r="C617" s="46" t="s">
        <v>2069</v>
      </c>
      <c r="D617" s="47" t="s">
        <v>18</v>
      </c>
      <c r="E617" s="24" t="s">
        <v>19</v>
      </c>
      <c r="F617" s="47" t="s">
        <v>20</v>
      </c>
      <c r="G617" s="47" t="str">
        <f t="shared" si="1"/>
        <v>Augusto</v>
      </c>
      <c r="H617" s="48" t="s">
        <v>88</v>
      </c>
      <c r="I617" s="48" t="s">
        <v>24</v>
      </c>
      <c r="J617" s="47" t="str">
        <f t="shared" si="5"/>
        <v>Sim</v>
      </c>
      <c r="K617" s="49">
        <v>45105.0</v>
      </c>
      <c r="L617" s="64"/>
      <c r="M617" s="24" t="s">
        <v>60</v>
      </c>
      <c r="N617" s="50">
        <v>0.012</v>
      </c>
      <c r="O617" s="47" t="s">
        <v>24</v>
      </c>
      <c r="P617" s="51">
        <v>0.0</v>
      </c>
      <c r="Q617" s="62" t="s">
        <v>1814</v>
      </c>
      <c r="R617" s="52"/>
      <c r="S617" s="52"/>
      <c r="T617" s="24" t="s">
        <v>89</v>
      </c>
      <c r="U617" s="25" t="s">
        <v>2070</v>
      </c>
      <c r="V617" s="9" t="s">
        <v>19</v>
      </c>
      <c r="W617" s="53" t="str">
        <f t="shared" si="3"/>
        <v>Ativo</v>
      </c>
      <c r="X617" s="24"/>
      <c r="Y617" s="54" t="s">
        <v>95</v>
      </c>
      <c r="Z617" s="56"/>
      <c r="AA617" s="56"/>
      <c r="AB617" s="56"/>
      <c r="AC617" s="56"/>
      <c r="AD617" s="56"/>
      <c r="AE617" s="56"/>
      <c r="AF617" s="56"/>
      <c r="AG617" s="56"/>
      <c r="AH617" s="56"/>
      <c r="AI617" s="56">
        <v>41342.64</v>
      </c>
      <c r="AJ617" s="56">
        <v>353197.08</v>
      </c>
      <c r="AK617" s="56">
        <v>356698.92</v>
      </c>
      <c r="AL617" s="56">
        <v>359344.38</v>
      </c>
      <c r="AM617" s="56">
        <v>362677.22</v>
      </c>
      <c r="AN617" s="56">
        <v>365512.31</v>
      </c>
      <c r="AO617" s="56">
        <v>368420.65</v>
      </c>
      <c r="AP617" s="56">
        <v>367439.83</v>
      </c>
      <c r="AQ617" s="55">
        <v>362079.85</v>
      </c>
      <c r="AR617" s="55">
        <v>279463.95</v>
      </c>
      <c r="AS617" s="55">
        <v>281538.18</v>
      </c>
      <c r="AT617" s="55">
        <f t="array" ref="AT617">XLOOKUP(C617,'PL TOTAL D0'!A:A,'PL TOTAL D0'!C:C,"")</f>
        <v>282677.3</v>
      </c>
    </row>
    <row r="618" ht="15.75" customHeight="1">
      <c r="A618" s="44" t="s">
        <v>36</v>
      </c>
      <c r="B618" s="45" t="s">
        <v>2071</v>
      </c>
      <c r="C618" s="46" t="s">
        <v>2072</v>
      </c>
      <c r="D618" s="47" t="s">
        <v>18</v>
      </c>
      <c r="E618" s="24" t="s">
        <v>29</v>
      </c>
      <c r="F618" s="47" t="s">
        <v>58</v>
      </c>
      <c r="G618" s="47" t="str">
        <f t="shared" si="1"/>
        <v>#N/A</v>
      </c>
      <c r="H618" s="48" t="s">
        <v>116</v>
      </c>
      <c r="I618" s="48" t="s">
        <v>161</v>
      </c>
      <c r="J618" s="47" t="str">
        <f t="shared" si="5"/>
        <v>Não</v>
      </c>
      <c r="K618" s="49">
        <v>45166.0</v>
      </c>
      <c r="L618" s="64"/>
      <c r="M618" s="24" t="s">
        <v>60</v>
      </c>
      <c r="N618" s="50">
        <v>0.012</v>
      </c>
      <c r="O618" s="47" t="s">
        <v>24</v>
      </c>
      <c r="P618" s="51">
        <v>0.0</v>
      </c>
      <c r="Q618" s="106"/>
      <c r="R618" s="106"/>
      <c r="S618" s="106"/>
      <c r="T618" s="24" t="s">
        <v>89</v>
      </c>
      <c r="U618" s="58" t="s">
        <v>2073</v>
      </c>
      <c r="V618" s="9" t="s">
        <v>29</v>
      </c>
      <c r="W618" s="53" t="str">
        <f t="shared" si="3"/>
        <v>Inativo</v>
      </c>
      <c r="X618" s="24"/>
      <c r="Y618" s="54" t="s">
        <v>95</v>
      </c>
      <c r="Z618" s="56"/>
      <c r="AA618" s="56"/>
      <c r="AB618" s="56"/>
      <c r="AC618" s="56"/>
      <c r="AD618" s="56"/>
      <c r="AE618" s="56">
        <v>0.0</v>
      </c>
      <c r="AF618" s="56">
        <v>0.0</v>
      </c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 t="str">
        <f t="array" ref="AT618">XLOOKUP(C618,'PL TOTAL D0'!A:A,'PL TOTAL D0'!C:C,"")</f>
        <v/>
      </c>
    </row>
    <row r="619" ht="15.75" customHeight="1">
      <c r="A619" s="44" t="s">
        <v>36</v>
      </c>
      <c r="B619" s="63" t="s">
        <v>2074</v>
      </c>
      <c r="C619" s="46" t="s">
        <v>2075</v>
      </c>
      <c r="D619" s="47" t="s">
        <v>18</v>
      </c>
      <c r="E619" s="24" t="s">
        <v>145</v>
      </c>
      <c r="F619" s="47" t="s">
        <v>171</v>
      </c>
      <c r="G619" s="47" t="str">
        <f t="shared" si="1"/>
        <v>Augusto</v>
      </c>
      <c r="H619" s="48" t="s">
        <v>88</v>
      </c>
      <c r="I619" s="48" t="s">
        <v>24</v>
      </c>
      <c r="J619" s="47" t="str">
        <f t="shared" si="5"/>
        <v>Não</v>
      </c>
      <c r="K619" s="49">
        <v>45163.0</v>
      </c>
      <c r="L619" s="64"/>
      <c r="M619" s="24" t="s">
        <v>60</v>
      </c>
      <c r="N619" s="50">
        <v>0.012</v>
      </c>
      <c r="O619" s="47" t="s">
        <v>24</v>
      </c>
      <c r="P619" s="51">
        <v>0.0</v>
      </c>
      <c r="Q619" s="75"/>
      <c r="R619" s="75"/>
      <c r="S619" s="52"/>
      <c r="T619" s="24" t="s">
        <v>89</v>
      </c>
      <c r="U619" s="25" t="s">
        <v>2076</v>
      </c>
      <c r="V619" s="9" t="s">
        <v>149</v>
      </c>
      <c r="W619" s="53" t="str">
        <f t="shared" si="3"/>
        <v>Ativo</v>
      </c>
      <c r="X619" s="24"/>
      <c r="Y619" s="54" t="s">
        <v>91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>
        <v>212285.51</v>
      </c>
      <c r="AL619" s="56">
        <v>213887.99</v>
      </c>
      <c r="AM619" s="56">
        <v>215498.84</v>
      </c>
      <c r="AN619" s="56">
        <v>217365.1</v>
      </c>
      <c r="AO619" s="56">
        <v>219164.85</v>
      </c>
      <c r="AP619" s="56">
        <v>218353.98</v>
      </c>
      <c r="AQ619" s="55">
        <v>219918.23</v>
      </c>
      <c r="AR619" s="55">
        <v>220877.83</v>
      </c>
      <c r="AS619" s="55">
        <v>222419.64</v>
      </c>
      <c r="AT619" s="55">
        <f t="array" ref="AT619">XLOOKUP(C619,'PL TOTAL D0'!A:A,'PL TOTAL D0'!C:C,"")</f>
        <v>223360.5</v>
      </c>
    </row>
    <row r="620" ht="15.75" customHeight="1">
      <c r="A620" s="44" t="s">
        <v>36</v>
      </c>
      <c r="B620" s="45" t="s">
        <v>2077</v>
      </c>
      <c r="C620" s="46" t="s">
        <v>2078</v>
      </c>
      <c r="D620" s="47" t="s">
        <v>86</v>
      </c>
      <c r="E620" s="24" t="s">
        <v>29</v>
      </c>
      <c r="F620" s="47" t="s">
        <v>626</v>
      </c>
      <c r="G620" s="47" t="str">
        <f t="shared" si="1"/>
        <v>Augusto</v>
      </c>
      <c r="H620" s="48" t="s">
        <v>88</v>
      </c>
      <c r="I620" s="48" t="s">
        <v>24</v>
      </c>
      <c r="J620" s="47" t="str">
        <f t="shared" si="5"/>
        <v>Não</v>
      </c>
      <c r="K620" s="49">
        <v>44995.0</v>
      </c>
      <c r="L620" s="24"/>
      <c r="M620" s="24" t="s">
        <v>111</v>
      </c>
      <c r="N620" s="50">
        <v>0.015</v>
      </c>
      <c r="O620" s="47" t="s">
        <v>46</v>
      </c>
      <c r="P620" s="51">
        <v>0.1</v>
      </c>
      <c r="Q620" s="106"/>
      <c r="R620" s="106"/>
      <c r="S620" s="106"/>
      <c r="T620" s="24" t="s">
        <v>89</v>
      </c>
      <c r="U620" s="25" t="s">
        <v>2079</v>
      </c>
      <c r="V620" s="9" t="s">
        <v>29</v>
      </c>
      <c r="W620" s="53" t="str">
        <f t="shared" si="3"/>
        <v>Ativo</v>
      </c>
      <c r="X620" s="24"/>
      <c r="Y620" s="54" t="s">
        <v>91</v>
      </c>
      <c r="Z620" s="56"/>
      <c r="AA620" s="56"/>
      <c r="AB620" s="56"/>
      <c r="AC620" s="56"/>
      <c r="AD620" s="56"/>
      <c r="AE620" s="56"/>
      <c r="AF620" s="56">
        <v>60571.25</v>
      </c>
      <c r="AG620" s="56">
        <v>94101.27</v>
      </c>
      <c r="AH620" s="56">
        <v>95641.04</v>
      </c>
      <c r="AI620" s="56">
        <v>97219.44</v>
      </c>
      <c r="AJ620" s="56">
        <v>98019.24</v>
      </c>
      <c r="AK620" s="56">
        <v>98214.51</v>
      </c>
      <c r="AL620" s="56">
        <v>98658.0</v>
      </c>
      <c r="AM620" s="56">
        <v>98603.27</v>
      </c>
      <c r="AN620" s="56">
        <v>101156.98</v>
      </c>
      <c r="AO620" s="56">
        <v>103107.47</v>
      </c>
      <c r="AP620" s="56">
        <v>101601.19</v>
      </c>
      <c r="AQ620" s="55">
        <v>102512.46</v>
      </c>
      <c r="AR620" s="55">
        <v>103054.56</v>
      </c>
      <c r="AS620" s="55">
        <v>102308.48</v>
      </c>
      <c r="AT620" s="55">
        <f t="array" ref="AT620">XLOOKUP(C620,'PL TOTAL D0'!A:A,'PL TOTAL D0'!C:C,"")</f>
        <v>103220.1</v>
      </c>
    </row>
    <row r="621" ht="15.75" customHeight="1">
      <c r="A621" s="44" t="s">
        <v>36</v>
      </c>
      <c r="B621" s="68" t="s">
        <v>2080</v>
      </c>
      <c r="C621" s="73" t="s">
        <v>2081</v>
      </c>
      <c r="D621" s="47" t="s">
        <v>18</v>
      </c>
      <c r="E621" s="24" t="s">
        <v>145</v>
      </c>
      <c r="F621" s="47" t="s">
        <v>146</v>
      </c>
      <c r="G621" s="47" t="str">
        <f t="shared" si="1"/>
        <v>Breno</v>
      </c>
      <c r="H621" s="48" t="s">
        <v>88</v>
      </c>
      <c r="I621" s="48" t="s">
        <v>24</v>
      </c>
      <c r="J621" s="47" t="str">
        <f t="shared" si="5"/>
        <v>Não</v>
      </c>
      <c r="K621" s="49">
        <v>45188.0</v>
      </c>
      <c r="L621" s="24"/>
      <c r="M621" s="24" t="s">
        <v>45</v>
      </c>
      <c r="N621" s="50">
        <v>0.012</v>
      </c>
      <c r="O621" s="47" t="s">
        <v>46</v>
      </c>
      <c r="P621" s="51">
        <v>0.1</v>
      </c>
      <c r="Q621" s="44"/>
      <c r="R621" s="106"/>
      <c r="S621" s="62" t="s">
        <v>2082</v>
      </c>
      <c r="T621" s="24" t="s">
        <v>89</v>
      </c>
      <c r="U621" s="25" t="s">
        <v>2083</v>
      </c>
      <c r="V621" s="9" t="s">
        <v>149</v>
      </c>
      <c r="W621" s="53" t="str">
        <f t="shared" si="3"/>
        <v>Ativo</v>
      </c>
      <c r="X621" s="24"/>
      <c r="Y621" s="54" t="s">
        <v>91</v>
      </c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>
        <v>0.0</v>
      </c>
      <c r="AM621" s="56">
        <v>559522.29</v>
      </c>
      <c r="AN621" s="56">
        <v>569804.08</v>
      </c>
      <c r="AO621" s="56">
        <v>578461.05</v>
      </c>
      <c r="AP621" s="56">
        <v>573913.17</v>
      </c>
      <c r="AQ621" s="55">
        <v>577550.97</v>
      </c>
      <c r="AR621" s="55">
        <v>577230.7</v>
      </c>
      <c r="AS621" s="55">
        <v>575149.39</v>
      </c>
      <c r="AT621" s="55">
        <f t="array" ref="AT621">XLOOKUP(C621,'PL TOTAL D0'!A:A,'PL TOTAL D0'!C:C,"")</f>
        <v>578861.2</v>
      </c>
    </row>
    <row r="622" ht="15.75" customHeight="1">
      <c r="A622" s="44" t="s">
        <v>36</v>
      </c>
      <c r="B622" s="66" t="s">
        <v>2084</v>
      </c>
      <c r="C622" s="67" t="s">
        <v>2085</v>
      </c>
      <c r="D622" s="9" t="s">
        <v>822</v>
      </c>
      <c r="E622" s="25" t="s">
        <v>19</v>
      </c>
      <c r="F622" s="9" t="s">
        <v>823</v>
      </c>
      <c r="G622" s="47" t="str">
        <f t="shared" si="1"/>
        <v>Augusto</v>
      </c>
      <c r="H622" s="53" t="s">
        <v>88</v>
      </c>
      <c r="I622" s="53" t="s">
        <v>24</v>
      </c>
      <c r="J622" s="47" t="str">
        <f t="shared" si="5"/>
        <v>Não</v>
      </c>
      <c r="K622" s="59">
        <v>45390.0</v>
      </c>
      <c r="L622" s="24"/>
      <c r="M622" s="25" t="s">
        <v>60</v>
      </c>
      <c r="N622" s="60">
        <v>0.012</v>
      </c>
      <c r="O622" s="9" t="s">
        <v>24</v>
      </c>
      <c r="P622" s="61">
        <v>0.0</v>
      </c>
      <c r="Q622" s="44"/>
      <c r="R622" s="106"/>
      <c r="S622" s="62"/>
      <c r="T622" s="25" t="s">
        <v>89</v>
      </c>
      <c r="U622" s="5" t="s">
        <v>2086</v>
      </c>
      <c r="V622" s="9" t="s">
        <v>19</v>
      </c>
      <c r="W622" s="53" t="str">
        <f t="shared" si="3"/>
        <v>Ativo</v>
      </c>
      <c r="X622" s="25" t="s">
        <v>48</v>
      </c>
      <c r="Y622" s="54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5"/>
      <c r="AR622" s="55"/>
      <c r="AS622" s="55">
        <v>301810.12</v>
      </c>
      <c r="AT622" s="55">
        <f t="array" ref="AT622">XLOOKUP(C622,'PL TOTAL D0'!A:A,'PL TOTAL D0'!C:C,"")</f>
        <v>366690.3</v>
      </c>
    </row>
    <row r="623" ht="15.75" customHeight="1">
      <c r="A623" s="44" t="s">
        <v>36</v>
      </c>
      <c r="B623" s="63" t="s">
        <v>2087</v>
      </c>
      <c r="C623" s="46" t="s">
        <v>2088</v>
      </c>
      <c r="D623" s="47" t="s">
        <v>18</v>
      </c>
      <c r="E623" s="24" t="s">
        <v>19</v>
      </c>
      <c r="F623" s="47" t="s">
        <v>20</v>
      </c>
      <c r="G623" s="47" t="str">
        <f t="shared" si="1"/>
        <v>Augusto</v>
      </c>
      <c r="H623" s="53" t="s">
        <v>116</v>
      </c>
      <c r="I623" s="53" t="s">
        <v>161</v>
      </c>
      <c r="J623" s="47" t="str">
        <f t="shared" si="5"/>
        <v>Não</v>
      </c>
      <c r="K623" s="49">
        <v>45051.0</v>
      </c>
      <c r="L623" s="24"/>
      <c r="M623" s="24" t="s">
        <v>60</v>
      </c>
      <c r="N623" s="50">
        <v>0.012</v>
      </c>
      <c r="O623" s="47" t="s">
        <v>24</v>
      </c>
      <c r="P623" s="51">
        <v>0.0</v>
      </c>
      <c r="Q623" s="62"/>
      <c r="R623" s="106"/>
      <c r="S623" s="62" t="s">
        <v>2089</v>
      </c>
      <c r="T623" s="24" t="s">
        <v>89</v>
      </c>
      <c r="U623" s="25" t="s">
        <v>2090</v>
      </c>
      <c r="V623" s="9" t="s">
        <v>180</v>
      </c>
      <c r="W623" s="53" t="str">
        <f t="shared" si="3"/>
        <v>Ativo</v>
      </c>
      <c r="X623" s="24"/>
      <c r="Y623" s="54" t="s">
        <v>95</v>
      </c>
      <c r="Z623" s="56"/>
      <c r="AA623" s="56"/>
      <c r="AB623" s="56"/>
      <c r="AC623" s="56"/>
      <c r="AD623" s="56"/>
      <c r="AE623" s="56"/>
      <c r="AF623" s="56"/>
      <c r="AG623" s="56">
        <v>0.0</v>
      </c>
      <c r="AH623" s="56">
        <v>407252.56</v>
      </c>
      <c r="AI623" s="56">
        <v>409394.24</v>
      </c>
      <c r="AJ623" s="56">
        <v>411428.94</v>
      </c>
      <c r="AK623" s="56">
        <v>413918.55</v>
      </c>
      <c r="AL623" s="56">
        <v>416019.16</v>
      </c>
      <c r="AM623" s="56">
        <v>418518.76</v>
      </c>
      <c r="AN623" s="56">
        <v>420990.81</v>
      </c>
      <c r="AO623" s="56">
        <v>423670.52</v>
      </c>
      <c r="AP623" s="56">
        <v>424872.69</v>
      </c>
      <c r="AQ623" s="55">
        <v>139.48</v>
      </c>
      <c r="AR623" s="55">
        <v>140.59</v>
      </c>
      <c r="AS623" s="55">
        <v>141.76</v>
      </c>
      <c r="AT623" s="55">
        <f t="array" ref="AT623">XLOOKUP(C623,'PL TOTAL D0'!A:A,'PL TOTAL D0'!C:C,"")</f>
        <v>142.45</v>
      </c>
    </row>
    <row r="624" ht="15.75" customHeight="1">
      <c r="A624" s="44" t="s">
        <v>36</v>
      </c>
      <c r="B624" s="63" t="s">
        <v>2091</v>
      </c>
      <c r="C624" s="46" t="s">
        <v>2092</v>
      </c>
      <c r="D624" s="47" t="s">
        <v>18</v>
      </c>
      <c r="E624" s="24" t="s">
        <v>29</v>
      </c>
      <c r="F624" s="47" t="s">
        <v>137</v>
      </c>
      <c r="G624" s="47" t="str">
        <f t="shared" si="1"/>
        <v>Augusto</v>
      </c>
      <c r="H624" s="53" t="s">
        <v>116</v>
      </c>
      <c r="I624" s="53" t="s">
        <v>161</v>
      </c>
      <c r="J624" s="47" t="str">
        <f t="shared" si="5"/>
        <v>Não</v>
      </c>
      <c r="K624" s="49">
        <v>45029.0</v>
      </c>
      <c r="L624" s="24"/>
      <c r="M624" s="24" t="s">
        <v>111</v>
      </c>
      <c r="N624" s="50">
        <v>0.015</v>
      </c>
      <c r="O624" s="47" t="s">
        <v>46</v>
      </c>
      <c r="P624" s="51">
        <v>0.1</v>
      </c>
      <c r="Q624" s="106"/>
      <c r="R624" s="106"/>
      <c r="S624" s="106"/>
      <c r="T624" s="24" t="s">
        <v>89</v>
      </c>
      <c r="U624" s="25" t="s">
        <v>2093</v>
      </c>
      <c r="V624" s="9" t="s">
        <v>29</v>
      </c>
      <c r="W624" s="53" t="str">
        <f t="shared" si="3"/>
        <v>Ativo</v>
      </c>
      <c r="X624" s="24"/>
      <c r="Y624" s="54" t="s">
        <v>95</v>
      </c>
      <c r="Z624" s="56"/>
      <c r="AA624" s="56"/>
      <c r="AB624" s="56"/>
      <c r="AC624" s="56"/>
      <c r="AD624" s="56"/>
      <c r="AE624" s="56"/>
      <c r="AF624" s="56">
        <v>0.0</v>
      </c>
      <c r="AG624" s="56">
        <v>240346.35</v>
      </c>
      <c r="AH624" s="56">
        <v>244022.86</v>
      </c>
      <c r="AI624" s="56">
        <v>251230.62</v>
      </c>
      <c r="AJ624" s="56">
        <v>257944.56</v>
      </c>
      <c r="AK624" s="56">
        <v>254460.35</v>
      </c>
      <c r="AL624" s="56">
        <v>254995.54</v>
      </c>
      <c r="AM624" s="56">
        <v>254915.89</v>
      </c>
      <c r="AN624" s="56">
        <v>260097.34</v>
      </c>
      <c r="AO624" s="56">
        <v>265236.72</v>
      </c>
      <c r="AP624" s="56">
        <v>261031.09</v>
      </c>
      <c r="AQ624" s="55">
        <v>261909.58</v>
      </c>
      <c r="AR624" s="55">
        <v>225.57</v>
      </c>
      <c r="AS624" s="55">
        <v>225.57</v>
      </c>
      <c r="AT624" s="55">
        <f t="array" ref="AT624">XLOOKUP(C624,'PL TOTAL D0'!A:A,'PL TOTAL D0'!C:C,"")</f>
        <v>225.57</v>
      </c>
    </row>
    <row r="625" ht="15.75" customHeight="1">
      <c r="A625" s="6" t="s">
        <v>36</v>
      </c>
      <c r="B625" s="45" t="s">
        <v>2094</v>
      </c>
      <c r="C625" s="46" t="s">
        <v>2095</v>
      </c>
      <c r="D625" s="9" t="s">
        <v>86</v>
      </c>
      <c r="E625" s="25" t="s">
        <v>29</v>
      </c>
      <c r="F625" s="24" t="s">
        <v>115</v>
      </c>
      <c r="G625" s="47" t="str">
        <f t="shared" si="1"/>
        <v>Augusto</v>
      </c>
      <c r="H625" s="53" t="s">
        <v>116</v>
      </c>
      <c r="I625" s="53" t="s">
        <v>117</v>
      </c>
      <c r="J625" s="47" t="str">
        <f t="shared" si="5"/>
        <v>Sim</v>
      </c>
      <c r="K625" s="59">
        <v>45279.0</v>
      </c>
      <c r="L625" s="24"/>
      <c r="M625" s="25" t="s">
        <v>118</v>
      </c>
      <c r="N625" s="60">
        <v>0.003</v>
      </c>
      <c r="O625" s="9" t="s">
        <v>24</v>
      </c>
      <c r="P625" s="61">
        <v>0.0</v>
      </c>
      <c r="Q625" s="15" t="s">
        <v>119</v>
      </c>
      <c r="R625" s="106"/>
      <c r="S625" s="106"/>
      <c r="T625" s="25" t="s">
        <v>89</v>
      </c>
      <c r="U625" s="25" t="s">
        <v>2096</v>
      </c>
      <c r="V625" s="9" t="s">
        <v>121</v>
      </c>
      <c r="W625" s="53" t="str">
        <f t="shared" si="3"/>
        <v>Ativo</v>
      </c>
      <c r="X625" s="24"/>
      <c r="Y625" s="54" t="s">
        <v>95</v>
      </c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>
        <v>157507.55</v>
      </c>
      <c r="AP625" s="56">
        <v>158567.98</v>
      </c>
      <c r="AQ625" s="55">
        <v>575.24</v>
      </c>
      <c r="AR625" s="55">
        <v>580.01</v>
      </c>
      <c r="AS625" s="55">
        <v>585.07</v>
      </c>
      <c r="AT625" s="55">
        <f t="array" ref="AT625">XLOOKUP(C625,'PL TOTAL D0'!A:A,'PL TOTAL D0'!C:C,"")</f>
        <v>588.04</v>
      </c>
    </row>
    <row r="626" ht="15.75" customHeight="1">
      <c r="A626" s="44" t="s">
        <v>36</v>
      </c>
      <c r="B626" s="57" t="s">
        <v>2097</v>
      </c>
      <c r="C626" s="46" t="s">
        <v>2098</v>
      </c>
      <c r="D626" s="47" t="s">
        <v>18</v>
      </c>
      <c r="E626" s="24" t="s">
        <v>19</v>
      </c>
      <c r="F626" s="47" t="s">
        <v>52</v>
      </c>
      <c r="G626" s="47" t="str">
        <f t="shared" si="1"/>
        <v>#N/A</v>
      </c>
      <c r="H626" s="53" t="s">
        <v>116</v>
      </c>
      <c r="I626" s="48" t="s">
        <v>161</v>
      </c>
      <c r="J626" s="47" t="str">
        <f t="shared" si="5"/>
        <v>Não</v>
      </c>
      <c r="K626" s="49">
        <v>45163.0</v>
      </c>
      <c r="L626" s="64"/>
      <c r="M626" s="24" t="s">
        <v>60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4" t="s">
        <v>89</v>
      </c>
      <c r="U626" s="25" t="s">
        <v>2099</v>
      </c>
      <c r="V626" s="9" t="s">
        <v>19</v>
      </c>
      <c r="W626" s="53" t="str">
        <f t="shared" si="3"/>
        <v>Ativo</v>
      </c>
      <c r="X626" s="24"/>
      <c r="Y626" s="54" t="s">
        <v>95</v>
      </c>
      <c r="Z626" s="56"/>
      <c r="AA626" s="56"/>
      <c r="AB626" s="56"/>
      <c r="AC626" s="56"/>
      <c r="AD626" s="56"/>
      <c r="AE626" s="56"/>
      <c r="AF626" s="56"/>
      <c r="AG626" s="56">
        <v>0.0</v>
      </c>
      <c r="AH626" s="56">
        <v>0.0</v>
      </c>
      <c r="AI626" s="56">
        <v>0.0</v>
      </c>
      <c r="AJ626" s="56">
        <v>0.0</v>
      </c>
      <c r="AK626" s="56">
        <v>0.0</v>
      </c>
      <c r="AL626" s="56">
        <v>0.0</v>
      </c>
      <c r="AM626" s="56">
        <v>0.0</v>
      </c>
      <c r="AN626" s="56">
        <v>0.0</v>
      </c>
      <c r="AO626" s="56">
        <v>0.0</v>
      </c>
      <c r="AP626" s="56">
        <v>0.0</v>
      </c>
      <c r="AQ626" s="55">
        <v>0.0</v>
      </c>
      <c r="AR626" s="55">
        <v>0.0</v>
      </c>
      <c r="AS626" s="55">
        <v>0.0</v>
      </c>
      <c r="AT626" s="55" t="str">
        <f t="array" ref="AT626">XLOOKUP(C626,'PL TOTAL D0'!A:A,'PL TOTAL D0'!C:C,"")</f>
        <v/>
      </c>
    </row>
    <row r="627" ht="15.75" customHeight="1">
      <c r="A627" s="44" t="s">
        <v>36</v>
      </c>
      <c r="B627" s="45" t="s">
        <v>2100</v>
      </c>
      <c r="C627" s="46" t="s">
        <v>2101</v>
      </c>
      <c r="D627" s="47" t="s">
        <v>18</v>
      </c>
      <c r="E627" s="24" t="s">
        <v>29</v>
      </c>
      <c r="F627" s="47" t="s">
        <v>58</v>
      </c>
      <c r="G627" s="47" t="str">
        <f t="shared" si="1"/>
        <v>Augusto</v>
      </c>
      <c r="H627" s="48" t="s">
        <v>88</v>
      </c>
      <c r="I627" s="48" t="s">
        <v>24</v>
      </c>
      <c r="J627" s="47" t="str">
        <f t="shared" si="5"/>
        <v>Não</v>
      </c>
      <c r="K627" s="49">
        <v>45014.0</v>
      </c>
      <c r="L627" s="24"/>
      <c r="M627" s="24" t="s">
        <v>60</v>
      </c>
      <c r="N627" s="50">
        <v>0.012</v>
      </c>
      <c r="O627" s="47" t="s">
        <v>24</v>
      </c>
      <c r="P627" s="51">
        <v>0.0</v>
      </c>
      <c r="Q627" s="106"/>
      <c r="R627" s="106"/>
      <c r="S627" s="106"/>
      <c r="T627" s="24" t="s">
        <v>89</v>
      </c>
      <c r="U627" s="25" t="s">
        <v>2102</v>
      </c>
      <c r="V627" s="9" t="s">
        <v>29</v>
      </c>
      <c r="W627" s="53" t="str">
        <f t="shared" si="3"/>
        <v>Ativo</v>
      </c>
      <c r="X627" s="24"/>
      <c r="Y627" s="54" t="s">
        <v>91</v>
      </c>
      <c r="Z627" s="56"/>
      <c r="AA627" s="56"/>
      <c r="AB627" s="56"/>
      <c r="AC627" s="56"/>
      <c r="AD627" s="56"/>
      <c r="AE627" s="56"/>
      <c r="AF627" s="56">
        <v>58093.97</v>
      </c>
      <c r="AG627" s="56">
        <v>58552.2</v>
      </c>
      <c r="AH627" s="56">
        <v>58477.42</v>
      </c>
      <c r="AI627" s="56">
        <v>58966.85</v>
      </c>
      <c r="AJ627" s="56">
        <v>59456.92</v>
      </c>
      <c r="AK627" s="56">
        <v>59914.65</v>
      </c>
      <c r="AL627" s="56">
        <v>60378.23</v>
      </c>
      <c r="AM627" s="56">
        <v>60918.44</v>
      </c>
      <c r="AN627" s="56">
        <v>61371.9</v>
      </c>
      <c r="AO627" s="56">
        <v>61866.12</v>
      </c>
      <c r="AP627" s="56">
        <v>62449.71</v>
      </c>
      <c r="AQ627" s="55">
        <v>62665.42</v>
      </c>
      <c r="AR627" s="55">
        <v>42685.5</v>
      </c>
      <c r="AS627" s="55">
        <v>42835.01</v>
      </c>
      <c r="AT627" s="55">
        <f t="array" ref="AT627">XLOOKUP(C627,'PL TOTAL D0'!A:A,'PL TOTAL D0'!C:C,"")</f>
        <v>43025.44</v>
      </c>
    </row>
    <row r="628" ht="15.75" customHeight="1">
      <c r="A628" s="6" t="s">
        <v>36</v>
      </c>
      <c r="B628" s="57" t="s">
        <v>2103</v>
      </c>
      <c r="C628" s="7" t="s">
        <v>2104</v>
      </c>
      <c r="D628" s="9" t="s">
        <v>18</v>
      </c>
      <c r="E628" s="25" t="s">
        <v>29</v>
      </c>
      <c r="F628" s="9" t="s">
        <v>761</v>
      </c>
      <c r="G628" s="47" t="str">
        <f t="shared" si="1"/>
        <v>Augusto</v>
      </c>
      <c r="H628" s="53" t="s">
        <v>88</v>
      </c>
      <c r="I628" s="53" t="s">
        <v>24</v>
      </c>
      <c r="J628" s="47" t="str">
        <f t="shared" si="5"/>
        <v>Não</v>
      </c>
      <c r="K628" s="59">
        <v>45328.0</v>
      </c>
      <c r="L628" s="24"/>
      <c r="M628" s="25" t="s">
        <v>60</v>
      </c>
      <c r="N628" s="227">
        <v>0.012</v>
      </c>
      <c r="O628" s="228" t="s">
        <v>24</v>
      </c>
      <c r="P628" s="229">
        <v>0.0</v>
      </c>
      <c r="Q628" s="106"/>
      <c r="R628" s="106"/>
      <c r="S628" s="106"/>
      <c r="T628" s="25" t="s">
        <v>89</v>
      </c>
      <c r="U628" s="25" t="s">
        <v>2105</v>
      </c>
      <c r="V628" s="9" t="s">
        <v>29</v>
      </c>
      <c r="W628" s="53" t="str">
        <f t="shared" si="3"/>
        <v>Ativo</v>
      </c>
      <c r="X628" s="24"/>
      <c r="Y628" s="54" t="s">
        <v>95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5">
        <v>7530.61</v>
      </c>
      <c r="AR628" s="55">
        <v>7600.49</v>
      </c>
      <c r="AS628" s="55">
        <v>7670.3</v>
      </c>
      <c r="AT628" s="55">
        <f t="array" ref="AT628">XLOOKUP(C628,'PL TOTAL D0'!A:A,'PL TOTAL D0'!C:C,"")</f>
        <v>7708.85</v>
      </c>
    </row>
    <row r="629" ht="15.75" customHeight="1">
      <c r="A629" s="44" t="s">
        <v>36</v>
      </c>
      <c r="B629" s="129" t="s">
        <v>2106</v>
      </c>
      <c r="C629" s="230" t="s">
        <v>2107</v>
      </c>
      <c r="D629" s="47" t="s">
        <v>18</v>
      </c>
      <c r="E629" s="24" t="s">
        <v>29</v>
      </c>
      <c r="F629" s="47" t="s">
        <v>44</v>
      </c>
      <c r="G629" s="47" t="str">
        <f t="shared" si="1"/>
        <v>Augusto</v>
      </c>
      <c r="H629" s="53" t="s">
        <v>88</v>
      </c>
      <c r="I629" s="53" t="s">
        <v>24</v>
      </c>
      <c r="J629" s="47" t="str">
        <f t="shared" si="5"/>
        <v>Não</v>
      </c>
      <c r="K629" s="49">
        <v>45268.0</v>
      </c>
      <c r="L629" s="24"/>
      <c r="M629" s="24" t="s">
        <v>60</v>
      </c>
      <c r="N629" s="231">
        <v>0.012</v>
      </c>
      <c r="O629" s="232" t="s">
        <v>24</v>
      </c>
      <c r="P629" s="233">
        <v>0.0</v>
      </c>
      <c r="Q629" s="106"/>
      <c r="R629" s="106"/>
      <c r="S629" s="106"/>
      <c r="T629" s="24" t="s">
        <v>89</v>
      </c>
      <c r="U629" s="25" t="s">
        <v>2108</v>
      </c>
      <c r="V629" s="9" t="s">
        <v>715</v>
      </c>
      <c r="W629" s="53" t="str">
        <f t="shared" si="3"/>
        <v>Ativo</v>
      </c>
      <c r="X629" s="24"/>
      <c r="Y629" s="54" t="s">
        <v>95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>
        <v>250198.79</v>
      </c>
      <c r="AP629" s="56">
        <v>252594.2</v>
      </c>
      <c r="AQ629" s="55">
        <v>305157.82</v>
      </c>
      <c r="AR629" s="55">
        <v>352782.73</v>
      </c>
      <c r="AS629" s="55">
        <v>354381.46</v>
      </c>
      <c r="AT629" s="55">
        <f t="array" ref="AT629">XLOOKUP(C629,'PL TOTAL D0'!A:A,'PL TOTAL D0'!C:C,"")</f>
        <v>355879.1</v>
      </c>
    </row>
    <row r="630" ht="15.75" customHeight="1">
      <c r="A630" s="44" t="s">
        <v>36</v>
      </c>
      <c r="B630" s="63" t="s">
        <v>2109</v>
      </c>
      <c r="C630" s="46" t="s">
        <v>2110</v>
      </c>
      <c r="D630" s="47" t="s">
        <v>18</v>
      </c>
      <c r="E630" s="24" t="s">
        <v>145</v>
      </c>
      <c r="F630" s="47" t="s">
        <v>146</v>
      </c>
      <c r="G630" s="47" t="str">
        <f t="shared" si="1"/>
        <v>Augusto</v>
      </c>
      <c r="H630" s="48" t="s">
        <v>88</v>
      </c>
      <c r="I630" s="48" t="s">
        <v>24</v>
      </c>
      <c r="J630" s="47" t="str">
        <f t="shared" si="5"/>
        <v>Não</v>
      </c>
      <c r="K630" s="49">
        <v>45106.0</v>
      </c>
      <c r="L630" s="64"/>
      <c r="M630" s="24" t="s">
        <v>162</v>
      </c>
      <c r="N630" s="50">
        <v>0.025</v>
      </c>
      <c r="O630" s="47" t="s">
        <v>163</v>
      </c>
      <c r="P630" s="51">
        <v>0.2</v>
      </c>
      <c r="Q630" s="106"/>
      <c r="R630" s="106"/>
      <c r="S630" s="106"/>
      <c r="T630" s="24" t="s">
        <v>89</v>
      </c>
      <c r="U630" s="25" t="s">
        <v>2111</v>
      </c>
      <c r="V630" s="9" t="s">
        <v>149</v>
      </c>
      <c r="W630" s="53" t="str">
        <f t="shared" si="3"/>
        <v>Ativo</v>
      </c>
      <c r="X630" s="24"/>
      <c r="Y630" s="54" t="s">
        <v>91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33459.87</v>
      </c>
      <c r="AJ630" s="56">
        <v>35253.69</v>
      </c>
      <c r="AK630" s="56">
        <v>34553.64</v>
      </c>
      <c r="AL630" s="56">
        <v>49122.52</v>
      </c>
      <c r="AM630" s="56">
        <v>47478.27</v>
      </c>
      <c r="AN630" s="56">
        <v>51021.43</v>
      </c>
      <c r="AO630" s="56">
        <v>53462.13</v>
      </c>
      <c r="AP630" s="56">
        <v>49747.29</v>
      </c>
      <c r="AQ630" s="55">
        <v>50435.54</v>
      </c>
      <c r="AR630" s="55">
        <v>174526.13</v>
      </c>
      <c r="AS630" s="55">
        <v>168444.16</v>
      </c>
      <c r="AT630" s="55">
        <f t="array" ref="AT630">XLOOKUP(C630,'PL TOTAL D0'!A:A,'PL TOTAL D0'!C:C,"")</f>
        <v>171761.2</v>
      </c>
    </row>
    <row r="631" ht="15.75" customHeight="1">
      <c r="A631" s="44" t="s">
        <v>36</v>
      </c>
      <c r="B631" s="63" t="s">
        <v>2109</v>
      </c>
      <c r="C631" s="46" t="s">
        <v>2112</v>
      </c>
      <c r="D631" s="47" t="s">
        <v>18</v>
      </c>
      <c r="E631" s="24" t="s">
        <v>145</v>
      </c>
      <c r="F631" s="47" t="s">
        <v>146</v>
      </c>
      <c r="G631" s="47" t="str">
        <f t="shared" si="1"/>
        <v>Augusto</v>
      </c>
      <c r="H631" s="48" t="s">
        <v>88</v>
      </c>
      <c r="I631" s="48" t="s">
        <v>24</v>
      </c>
      <c r="J631" s="47" t="str">
        <f t="shared" si="5"/>
        <v>Não</v>
      </c>
      <c r="K631" s="49">
        <v>45096.0</v>
      </c>
      <c r="L631" s="24"/>
      <c r="M631" s="24" t="s">
        <v>60</v>
      </c>
      <c r="N631" s="50">
        <v>0.012</v>
      </c>
      <c r="O631" s="47" t="s">
        <v>24</v>
      </c>
      <c r="P631" s="51">
        <v>0.0</v>
      </c>
      <c r="Q631" s="106"/>
      <c r="R631" s="106"/>
      <c r="S631" s="106"/>
      <c r="T631" s="24" t="s">
        <v>89</v>
      </c>
      <c r="U631" s="25" t="s">
        <v>2111</v>
      </c>
      <c r="V631" s="9" t="s">
        <v>149</v>
      </c>
      <c r="W631" s="53" t="str">
        <f t="shared" si="3"/>
        <v>Ativo</v>
      </c>
      <c r="X631" s="24"/>
      <c r="Y631" s="54" t="s">
        <v>91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>
        <v>77435.25</v>
      </c>
      <c r="AJ631" s="56">
        <v>78226.19</v>
      </c>
      <c r="AK631" s="56">
        <v>79118.79</v>
      </c>
      <c r="AL631" s="56">
        <v>79569.85</v>
      </c>
      <c r="AM631" s="56">
        <v>80332.19</v>
      </c>
      <c r="AN631" s="56">
        <v>80968.48</v>
      </c>
      <c r="AO631" s="56">
        <v>81640.1</v>
      </c>
      <c r="AP631" s="56">
        <v>82402.63</v>
      </c>
      <c r="AQ631" s="55">
        <v>83058.92</v>
      </c>
      <c r="AR631" s="55">
        <v>133503.57</v>
      </c>
      <c r="AS631" s="55">
        <v>134645.23</v>
      </c>
      <c r="AT631" s="55">
        <f t="array" ref="AT631">XLOOKUP(C631,'PL TOTAL D0'!A:A,'PL TOTAL D0'!C:C,"")</f>
        <v>135260.3</v>
      </c>
    </row>
    <row r="632" ht="15.75" customHeight="1">
      <c r="A632" s="44" t="s">
        <v>36</v>
      </c>
      <c r="B632" s="68" t="s">
        <v>2109</v>
      </c>
      <c r="C632" s="71" t="s">
        <v>2113</v>
      </c>
      <c r="D632" s="47" t="s">
        <v>18</v>
      </c>
      <c r="E632" s="24" t="s">
        <v>145</v>
      </c>
      <c r="F632" s="47" t="s">
        <v>146</v>
      </c>
      <c r="G632" s="47" t="str">
        <f t="shared" si="1"/>
        <v>Augusto</v>
      </c>
      <c r="H632" s="48" t="s">
        <v>88</v>
      </c>
      <c r="I632" s="48" t="s">
        <v>24</v>
      </c>
      <c r="J632" s="47" t="str">
        <f t="shared" si="5"/>
        <v>Sim</v>
      </c>
      <c r="K632" s="49">
        <v>45173.0</v>
      </c>
      <c r="L632" s="64"/>
      <c r="M632" s="24" t="s">
        <v>166</v>
      </c>
      <c r="N632" s="50">
        <v>0.008</v>
      </c>
      <c r="O632" s="47" t="s">
        <v>167</v>
      </c>
      <c r="P632" s="51">
        <v>0.1</v>
      </c>
      <c r="Q632" s="62" t="s">
        <v>2114</v>
      </c>
      <c r="R632" s="106"/>
      <c r="S632" s="106"/>
      <c r="T632" s="24" t="s">
        <v>89</v>
      </c>
      <c r="U632" s="25" t="s">
        <v>2111</v>
      </c>
      <c r="V632" s="9" t="s">
        <v>149</v>
      </c>
      <c r="W632" s="53" t="str">
        <f t="shared" si="3"/>
        <v>Ativo</v>
      </c>
      <c r="X632" s="24"/>
      <c r="Y632" s="54" t="s">
        <v>91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>
        <v>0.0</v>
      </c>
      <c r="AL632" s="56">
        <v>125546.41</v>
      </c>
      <c r="AM632" s="56">
        <v>122333.01</v>
      </c>
      <c r="AN632" s="56">
        <v>123365.82</v>
      </c>
      <c r="AO632" s="56">
        <v>125412.83</v>
      </c>
      <c r="AP632" s="56">
        <v>124891.86</v>
      </c>
      <c r="AQ632" s="55">
        <v>126278.15</v>
      </c>
      <c r="AR632" s="55">
        <v>126220.89</v>
      </c>
      <c r="AS632" s="55">
        <v>123539.41</v>
      </c>
      <c r="AT632" s="55">
        <f t="array" ref="AT632">XLOOKUP(C632,'PL TOTAL D0'!A:A,'PL TOTAL D0'!C:C,"")</f>
        <v>122343.6</v>
      </c>
    </row>
    <row r="633" ht="15.75" customHeight="1">
      <c r="A633" s="44" t="s">
        <v>36</v>
      </c>
      <c r="B633" s="111" t="s">
        <v>2115</v>
      </c>
      <c r="C633" s="112" t="s">
        <v>2116</v>
      </c>
      <c r="D633" s="9" t="s">
        <v>18</v>
      </c>
      <c r="E633" s="25" t="s">
        <v>19</v>
      </c>
      <c r="F633" s="9" t="s">
        <v>2117</v>
      </c>
      <c r="G633" s="47" t="str">
        <f t="shared" si="1"/>
        <v>Augusto</v>
      </c>
      <c r="H633" s="53" t="s">
        <v>88</v>
      </c>
      <c r="I633" s="53" t="s">
        <v>24</v>
      </c>
      <c r="J633" s="47" t="str">
        <f t="shared" si="5"/>
        <v>Não</v>
      </c>
      <c r="K633" s="59">
        <v>45359.0</v>
      </c>
      <c r="L633" s="24"/>
      <c r="M633" s="234" t="s">
        <v>111</v>
      </c>
      <c r="N633" s="235">
        <v>0.015</v>
      </c>
      <c r="O633" s="236" t="s">
        <v>46</v>
      </c>
      <c r="P633" s="237">
        <v>0.1</v>
      </c>
      <c r="Q633" s="106"/>
      <c r="R633" s="106"/>
      <c r="S633" s="106"/>
      <c r="T633" s="25" t="s">
        <v>89</v>
      </c>
      <c r="U633" s="5" t="s">
        <v>2118</v>
      </c>
      <c r="V633" s="9" t="s">
        <v>19</v>
      </c>
      <c r="W633" s="53" t="str">
        <f t="shared" si="3"/>
        <v>Ativo</v>
      </c>
      <c r="X633" s="24"/>
      <c r="Y633" s="54" t="s">
        <v>95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/>
      <c r="AR633" s="55">
        <v>30257.6</v>
      </c>
      <c r="AS633" s="55">
        <v>30140.2</v>
      </c>
      <c r="AT633" s="55">
        <f t="array" ref="AT633">XLOOKUP(C633,'PL TOTAL D0'!A:A,'PL TOTAL D0'!C:C,"")</f>
        <v>30409.88</v>
      </c>
    </row>
    <row r="634" ht="15.75" customHeight="1">
      <c r="A634" s="6" t="s">
        <v>36</v>
      </c>
      <c r="B634" s="57" t="s">
        <v>2119</v>
      </c>
      <c r="C634" s="58" t="s">
        <v>2120</v>
      </c>
      <c r="D634" s="9" t="s">
        <v>18</v>
      </c>
      <c r="E634" s="25" t="s">
        <v>19</v>
      </c>
      <c r="F634" s="9" t="s">
        <v>201</v>
      </c>
      <c r="G634" s="47" t="str">
        <f t="shared" si="1"/>
        <v>#N/A</v>
      </c>
      <c r="H634" s="53" t="s">
        <v>116</v>
      </c>
      <c r="I634" s="53" t="s">
        <v>130</v>
      </c>
      <c r="J634" s="47" t="str">
        <f t="shared" si="5"/>
        <v>Não</v>
      </c>
      <c r="K634" s="59">
        <v>45343.0</v>
      </c>
      <c r="L634" s="24"/>
      <c r="M634" s="25" t="s">
        <v>111</v>
      </c>
      <c r="N634" s="60">
        <v>0.015</v>
      </c>
      <c r="O634" s="9" t="s">
        <v>46</v>
      </c>
      <c r="P634" s="61">
        <v>0.1</v>
      </c>
      <c r="Q634" s="106"/>
      <c r="R634" s="106"/>
      <c r="S634" s="106"/>
      <c r="T634" s="25" t="s">
        <v>89</v>
      </c>
      <c r="U634" s="25" t="s">
        <v>2121</v>
      </c>
      <c r="V634" s="9" t="s">
        <v>19</v>
      </c>
      <c r="W634" s="53" t="str">
        <f t="shared" si="3"/>
        <v>Ativo</v>
      </c>
      <c r="X634" s="24"/>
      <c r="Y634" s="54" t="s">
        <v>95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5">
        <v>0.0</v>
      </c>
      <c r="AR634" s="55">
        <v>0.0</v>
      </c>
      <c r="AS634" s="55">
        <v>0.0</v>
      </c>
      <c r="AT634" s="55" t="str">
        <f t="array" ref="AT634">XLOOKUP(C634,'PL TOTAL D0'!A:A,'PL TOTAL D0'!C:C,"")</f>
        <v/>
      </c>
    </row>
    <row r="635" ht="15.75" customHeight="1">
      <c r="A635" s="44" t="s">
        <v>36</v>
      </c>
      <c r="B635" s="45" t="s">
        <v>2122</v>
      </c>
      <c r="C635" s="46" t="s">
        <v>2123</v>
      </c>
      <c r="D635" s="47" t="s">
        <v>18</v>
      </c>
      <c r="E635" s="24" t="s">
        <v>19</v>
      </c>
      <c r="F635" s="47" t="s">
        <v>201</v>
      </c>
      <c r="G635" s="47" t="str">
        <f t="shared" si="1"/>
        <v>Breno</v>
      </c>
      <c r="H635" s="48" t="s">
        <v>88</v>
      </c>
      <c r="I635" s="48" t="s">
        <v>24</v>
      </c>
      <c r="J635" s="47" t="str">
        <f t="shared" si="5"/>
        <v>Sim</v>
      </c>
      <c r="K635" s="49">
        <v>45128.0</v>
      </c>
      <c r="L635" s="24"/>
      <c r="M635" s="24" t="s">
        <v>45</v>
      </c>
      <c r="N635" s="50">
        <v>0.012</v>
      </c>
      <c r="O635" s="47" t="s">
        <v>24</v>
      </c>
      <c r="P635" s="51">
        <v>0.0</v>
      </c>
      <c r="Q635" s="62" t="s">
        <v>2124</v>
      </c>
      <c r="R635" s="106"/>
      <c r="S635" s="106"/>
      <c r="T635" s="24" t="s">
        <v>89</v>
      </c>
      <c r="U635" s="25" t="s">
        <v>2121</v>
      </c>
      <c r="V635" s="9" t="s">
        <v>19</v>
      </c>
      <c r="W635" s="53" t="str">
        <f t="shared" si="3"/>
        <v>Ativo</v>
      </c>
      <c r="X635" s="24"/>
      <c r="Y635" s="54" t="s">
        <v>95</v>
      </c>
      <c r="Z635" s="56"/>
      <c r="AA635" s="56"/>
      <c r="AB635" s="56"/>
      <c r="AC635" s="56"/>
      <c r="AD635" s="56">
        <v>149471.69</v>
      </c>
      <c r="AE635" s="56">
        <v>68438.77</v>
      </c>
      <c r="AF635" s="56">
        <v>77064.11</v>
      </c>
      <c r="AG635" s="56">
        <v>77712.62</v>
      </c>
      <c r="AH635" s="56">
        <v>47800.97</v>
      </c>
      <c r="AI635" s="56">
        <v>18.0</v>
      </c>
      <c r="AJ635" s="56">
        <v>601397.66</v>
      </c>
      <c r="AK635" s="56">
        <v>607906.65</v>
      </c>
      <c r="AL635" s="56">
        <v>612646.64</v>
      </c>
      <c r="AM635" s="56">
        <v>618147.01</v>
      </c>
      <c r="AN635" s="56">
        <v>622766.58</v>
      </c>
      <c r="AO635" s="56">
        <v>627726.75</v>
      </c>
      <c r="AP635" s="56">
        <v>633330.8</v>
      </c>
      <c r="AQ635" s="55">
        <v>638173.66</v>
      </c>
      <c r="AR635" s="55">
        <v>541516.93</v>
      </c>
      <c r="AS635" s="55">
        <v>512863.07</v>
      </c>
      <c r="AT635" s="55">
        <f t="array" ref="AT635">XLOOKUP(C635,'PL TOTAL D0'!A:A,'PL TOTAL D0'!C:C,"")</f>
        <v>501405.7</v>
      </c>
    </row>
    <row r="636" ht="15.75" customHeight="1">
      <c r="A636" s="44" t="s">
        <v>36</v>
      </c>
      <c r="B636" s="66" t="s">
        <v>2125</v>
      </c>
      <c r="C636" s="67" t="s">
        <v>2126</v>
      </c>
      <c r="D636" s="9" t="s">
        <v>18</v>
      </c>
      <c r="E636" s="25" t="s">
        <v>29</v>
      </c>
      <c r="F636" s="9" t="s">
        <v>110</v>
      </c>
      <c r="G636" s="47" t="str">
        <f t="shared" si="1"/>
        <v>Breno</v>
      </c>
      <c r="H636" s="53" t="s">
        <v>88</v>
      </c>
      <c r="I636" s="53" t="s">
        <v>24</v>
      </c>
      <c r="J636" s="47" t="str">
        <f t="shared" si="5"/>
        <v>Não</v>
      </c>
      <c r="K636" s="59">
        <v>45407.0</v>
      </c>
      <c r="L636" s="24"/>
      <c r="M636" s="25" t="s">
        <v>60</v>
      </c>
      <c r="N636" s="60">
        <v>0.012</v>
      </c>
      <c r="O636" s="9" t="s">
        <v>24</v>
      </c>
      <c r="P636" s="61">
        <v>0.0</v>
      </c>
      <c r="Q636" s="62"/>
      <c r="R636" s="106"/>
      <c r="S636" s="106"/>
      <c r="T636" s="25" t="s">
        <v>89</v>
      </c>
      <c r="U636" s="25" t="s">
        <v>2127</v>
      </c>
      <c r="V636" s="9" t="s">
        <v>29</v>
      </c>
      <c r="W636" s="53" t="str">
        <f t="shared" si="3"/>
        <v>Ativo</v>
      </c>
      <c r="X636" s="25" t="s">
        <v>48</v>
      </c>
      <c r="Y636" s="54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/>
      <c r="AS636" s="55">
        <v>130185.26</v>
      </c>
      <c r="AT636" s="55">
        <f t="array" ref="AT636">XLOOKUP(C636,'PL TOTAL D0'!A:A,'PL TOTAL D0'!C:C,"")</f>
        <v>578220.8</v>
      </c>
    </row>
    <row r="637" ht="15.75" customHeight="1">
      <c r="A637" s="44" t="s">
        <v>36</v>
      </c>
      <c r="B637" s="63" t="s">
        <v>2128</v>
      </c>
      <c r="C637" s="46" t="s">
        <v>2129</v>
      </c>
      <c r="D637" s="47" t="s">
        <v>18</v>
      </c>
      <c r="E637" s="24" t="s">
        <v>145</v>
      </c>
      <c r="F637" s="47" t="s">
        <v>171</v>
      </c>
      <c r="G637" s="47" t="str">
        <f t="shared" si="1"/>
        <v>Bruno</v>
      </c>
      <c r="H637" s="48" t="s">
        <v>88</v>
      </c>
      <c r="I637" s="48" t="s">
        <v>24</v>
      </c>
      <c r="J637" s="47" t="str">
        <f t="shared" si="5"/>
        <v>Não</v>
      </c>
      <c r="K637" s="49">
        <v>45028.0</v>
      </c>
      <c r="L637" s="24"/>
      <c r="M637" s="24" t="s">
        <v>243</v>
      </c>
      <c r="N637" s="50">
        <v>0.02</v>
      </c>
      <c r="O637" s="47" t="s">
        <v>46</v>
      </c>
      <c r="P637" s="51">
        <v>0.2</v>
      </c>
      <c r="Q637" s="106"/>
      <c r="R637" s="106"/>
      <c r="S637" s="106"/>
      <c r="T637" s="24" t="s">
        <v>89</v>
      </c>
      <c r="U637" s="25" t="s">
        <v>2130</v>
      </c>
      <c r="V637" s="9" t="s">
        <v>149</v>
      </c>
      <c r="W637" s="53" t="str">
        <f t="shared" si="3"/>
        <v>Ativo</v>
      </c>
      <c r="X637" s="24"/>
      <c r="Y637" s="54" t="s">
        <v>95</v>
      </c>
      <c r="Z637" s="56"/>
      <c r="AA637" s="56"/>
      <c r="AB637" s="56"/>
      <c r="AC637" s="56"/>
      <c r="AD637" s="56"/>
      <c r="AE637" s="56"/>
      <c r="AF637" s="56">
        <v>0.0</v>
      </c>
      <c r="AG637" s="56">
        <v>1051542.11</v>
      </c>
      <c r="AH637" s="56">
        <v>1072991.87</v>
      </c>
      <c r="AI637" s="56">
        <v>1108291.77</v>
      </c>
      <c r="AJ637" s="56">
        <v>1131931.21</v>
      </c>
      <c r="AK637" s="56">
        <v>1264482.79</v>
      </c>
      <c r="AL637" s="56">
        <v>1318461.24</v>
      </c>
      <c r="AM637" s="56">
        <v>1302805.8</v>
      </c>
      <c r="AN637" s="56">
        <v>1345901.43</v>
      </c>
      <c r="AO637" s="56">
        <v>1377518.79</v>
      </c>
      <c r="AP637" s="56">
        <v>1336013.41</v>
      </c>
      <c r="AQ637" s="55">
        <v>1346585.46</v>
      </c>
      <c r="AR637" s="55">
        <v>1365082.92</v>
      </c>
      <c r="AS637" s="55">
        <v>1342663.48</v>
      </c>
      <c r="AT637" s="55">
        <f t="array" ref="AT637">XLOOKUP(C637,'PL TOTAL D0'!A:A,'PL TOTAL D0'!C:C,"")</f>
        <v>1354869</v>
      </c>
    </row>
    <row r="638" ht="15.75" customHeight="1">
      <c r="A638" s="44" t="s">
        <v>36</v>
      </c>
      <c r="B638" s="45" t="s">
        <v>2131</v>
      </c>
      <c r="C638" s="46" t="s">
        <v>2132</v>
      </c>
      <c r="D638" s="47" t="s">
        <v>86</v>
      </c>
      <c r="E638" s="24" t="s">
        <v>29</v>
      </c>
      <c r="F638" s="47" t="s">
        <v>183</v>
      </c>
      <c r="G638" s="47" t="str">
        <f t="shared" si="1"/>
        <v>Bruno</v>
      </c>
      <c r="H638" s="48" t="s">
        <v>88</v>
      </c>
      <c r="I638" s="48" t="s">
        <v>24</v>
      </c>
      <c r="J638" s="47" t="str">
        <f t="shared" si="5"/>
        <v>Sim</v>
      </c>
      <c r="K638" s="49">
        <v>44946.0</v>
      </c>
      <c r="L638" s="24"/>
      <c r="M638" s="24" t="s">
        <v>60</v>
      </c>
      <c r="N638" s="50">
        <v>0.01</v>
      </c>
      <c r="O638" s="47" t="s">
        <v>24</v>
      </c>
      <c r="P638" s="51">
        <v>0.0</v>
      </c>
      <c r="Q638" s="205" t="s">
        <v>2133</v>
      </c>
      <c r="R638" s="106"/>
      <c r="S638" s="106"/>
      <c r="T638" s="24" t="s">
        <v>89</v>
      </c>
      <c r="U638" s="25" t="s">
        <v>2134</v>
      </c>
      <c r="V638" s="9" t="s">
        <v>29</v>
      </c>
      <c r="W638" s="53" t="str">
        <f t="shared" si="3"/>
        <v>Ativo</v>
      </c>
      <c r="X638" s="24"/>
      <c r="Y638" s="54" t="s">
        <v>95</v>
      </c>
      <c r="Z638" s="56"/>
      <c r="AA638" s="56"/>
      <c r="AB638" s="56"/>
      <c r="AC638" s="56"/>
      <c r="AD638" s="56">
        <v>591230.5</v>
      </c>
      <c r="AE638" s="56">
        <v>596444.02</v>
      </c>
      <c r="AF638" s="56">
        <v>638672.4</v>
      </c>
      <c r="AG638" s="56">
        <v>654204.69</v>
      </c>
      <c r="AH638" s="56">
        <v>686212.09</v>
      </c>
      <c r="AI638" s="56">
        <v>731399.04</v>
      </c>
      <c r="AJ638" s="56">
        <v>737658.93</v>
      </c>
      <c r="AK638" s="56">
        <v>763934.31</v>
      </c>
      <c r="AL638" s="56">
        <v>787241.26</v>
      </c>
      <c r="AM638" s="56">
        <v>792816.03</v>
      </c>
      <c r="AN638" s="56">
        <v>890006.33</v>
      </c>
      <c r="AO638" s="56">
        <v>922848.65</v>
      </c>
      <c r="AP638" s="56">
        <v>938170.02</v>
      </c>
      <c r="AQ638" s="55">
        <v>1094891.09</v>
      </c>
      <c r="AR638" s="55">
        <v>1698417.81</v>
      </c>
      <c r="AS638" s="55">
        <v>1794172.48</v>
      </c>
      <c r="AT638" s="55">
        <f t="array" ref="AT638">XLOOKUP(C638,'PL TOTAL D0'!A:A,'PL TOTAL D0'!C:C,"")</f>
        <v>1803183</v>
      </c>
    </row>
    <row r="639" ht="15.75" customHeight="1">
      <c r="A639" s="44" t="s">
        <v>36</v>
      </c>
      <c r="B639" s="45" t="s">
        <v>2135</v>
      </c>
      <c r="C639" s="46" t="s">
        <v>2136</v>
      </c>
      <c r="D639" s="47" t="s">
        <v>18</v>
      </c>
      <c r="E639" s="24" t="s">
        <v>19</v>
      </c>
      <c r="F639" s="47" t="s">
        <v>20</v>
      </c>
      <c r="G639" s="47" t="str">
        <f t="shared" si="1"/>
        <v>Augusto</v>
      </c>
      <c r="H639" s="48" t="s">
        <v>88</v>
      </c>
      <c r="I639" s="48" t="s">
        <v>24</v>
      </c>
      <c r="J639" s="47" t="str">
        <f t="shared" si="5"/>
        <v>Não</v>
      </c>
      <c r="K639" s="49">
        <v>44994.0</v>
      </c>
      <c r="L639" s="24"/>
      <c r="M639" s="24" t="s">
        <v>111</v>
      </c>
      <c r="N639" s="50">
        <v>0.015</v>
      </c>
      <c r="O639" s="47" t="s">
        <v>46</v>
      </c>
      <c r="P639" s="51">
        <v>0.1</v>
      </c>
      <c r="Q639" s="106"/>
      <c r="R639" s="106"/>
      <c r="S639" s="106"/>
      <c r="T639" s="24" t="s">
        <v>89</v>
      </c>
      <c r="U639" s="25" t="s">
        <v>2137</v>
      </c>
      <c r="V639" s="9" t="s">
        <v>19</v>
      </c>
      <c r="W639" s="53" t="str">
        <f t="shared" si="3"/>
        <v>Ativo</v>
      </c>
      <c r="X639" s="24"/>
      <c r="Y639" s="54" t="s">
        <v>91</v>
      </c>
      <c r="Z639" s="56"/>
      <c r="AA639" s="56"/>
      <c r="AB639" s="56"/>
      <c r="AC639" s="56"/>
      <c r="AD639" s="56"/>
      <c r="AE639" s="56">
        <v>0.0</v>
      </c>
      <c r="AF639" s="56">
        <v>317061.28</v>
      </c>
      <c r="AG639" s="56">
        <v>318570.65</v>
      </c>
      <c r="AH639" s="56">
        <v>324898.9513</v>
      </c>
      <c r="AI639" s="56">
        <v>353373.86</v>
      </c>
      <c r="AJ639" s="56">
        <v>363060.22</v>
      </c>
      <c r="AK639" s="56">
        <v>325564.92</v>
      </c>
      <c r="AL639" s="56">
        <v>315676.05</v>
      </c>
      <c r="AM639" s="56">
        <v>263943.59</v>
      </c>
      <c r="AN639" s="56">
        <v>218096.86</v>
      </c>
      <c r="AO639" s="56">
        <v>221499.27</v>
      </c>
      <c r="AP639" s="56">
        <v>246251.74</v>
      </c>
      <c r="AQ639" s="55">
        <v>248711.33</v>
      </c>
      <c r="AR639" s="55">
        <v>241158.97</v>
      </c>
      <c r="AS639" s="55">
        <v>239523.79</v>
      </c>
      <c r="AT639" s="55">
        <f t="array" ref="AT639">XLOOKUP(C639,'PL TOTAL D0'!A:A,'PL TOTAL D0'!C:C,"")</f>
        <v>241627.6</v>
      </c>
    </row>
    <row r="640" ht="15.75" customHeight="1">
      <c r="A640" s="44" t="s">
        <v>36</v>
      </c>
      <c r="B640" s="63" t="s">
        <v>2138</v>
      </c>
      <c r="C640" s="46" t="s">
        <v>2139</v>
      </c>
      <c r="D640" s="47" t="s">
        <v>86</v>
      </c>
      <c r="E640" s="24" t="s">
        <v>29</v>
      </c>
      <c r="F640" s="47" t="s">
        <v>1897</v>
      </c>
      <c r="G640" s="47" t="str">
        <f t="shared" si="1"/>
        <v>#N/A</v>
      </c>
      <c r="H640" s="53" t="s">
        <v>116</v>
      </c>
      <c r="I640" s="48" t="s">
        <v>24</v>
      </c>
      <c r="J640" s="47" t="str">
        <f>IF(S640=0,"Não","Sim")</f>
        <v>Sim</v>
      </c>
      <c r="K640" s="49">
        <v>45013.0</v>
      </c>
      <c r="L640" s="24"/>
      <c r="M640" s="24" t="s">
        <v>243</v>
      </c>
      <c r="N640" s="50">
        <v>0.02</v>
      </c>
      <c r="O640" s="47" t="s">
        <v>46</v>
      </c>
      <c r="P640" s="51">
        <v>0.2</v>
      </c>
      <c r="Q640" s="238"/>
      <c r="R640" s="106"/>
      <c r="S640" s="169" t="s">
        <v>2140</v>
      </c>
      <c r="T640" s="24" t="s">
        <v>89</v>
      </c>
      <c r="U640" s="25" t="s">
        <v>2141</v>
      </c>
      <c r="V640" s="9" t="s">
        <v>29</v>
      </c>
      <c r="W640" s="53" t="str">
        <f t="shared" si="3"/>
        <v>Ativo</v>
      </c>
      <c r="X640" s="24"/>
      <c r="Y640" s="54" t="s">
        <v>91</v>
      </c>
      <c r="Z640" s="56"/>
      <c r="AA640" s="56"/>
      <c r="AB640" s="56"/>
      <c r="AC640" s="56"/>
      <c r="AD640" s="56"/>
      <c r="AE640" s="56"/>
      <c r="AF640" s="56">
        <v>0.0</v>
      </c>
      <c r="AG640" s="56">
        <v>499566.11</v>
      </c>
      <c r="AH640" s="56">
        <v>509775.18</v>
      </c>
      <c r="AI640" s="56">
        <v>481161.13</v>
      </c>
      <c r="AJ640" s="56">
        <v>447413.88</v>
      </c>
      <c r="AK640" s="56">
        <v>432606.19</v>
      </c>
      <c r="AL640" s="56">
        <v>430845.92</v>
      </c>
      <c r="AM640" s="56">
        <v>417626.06</v>
      </c>
      <c r="AN640" s="56">
        <v>435487.84</v>
      </c>
      <c r="AO640" s="56">
        <v>447652.59</v>
      </c>
      <c r="AP640" s="56">
        <v>434688.5</v>
      </c>
      <c r="AQ640" s="55">
        <v>437804.93</v>
      </c>
      <c r="AR640" s="55">
        <v>443417.86</v>
      </c>
      <c r="AS640" s="55">
        <v>432859.23</v>
      </c>
      <c r="AT640" s="55" t="str">
        <f t="array" ref="AT640">XLOOKUP(C640,'PL TOTAL D0'!A:A,'PL TOTAL D0'!C:C,"")</f>
        <v/>
      </c>
    </row>
    <row r="641" ht="15.75" customHeight="1">
      <c r="A641" s="44" t="s">
        <v>36</v>
      </c>
      <c r="B641" s="68" t="s">
        <v>2142</v>
      </c>
      <c r="C641" s="69" t="s">
        <v>2143</v>
      </c>
      <c r="D641" s="47" t="s">
        <v>18</v>
      </c>
      <c r="E641" s="24" t="s">
        <v>29</v>
      </c>
      <c r="F641" s="47" t="s">
        <v>761</v>
      </c>
      <c r="G641" s="47" t="str">
        <f t="shared" si="1"/>
        <v>Augusto</v>
      </c>
      <c r="H641" s="53" t="s">
        <v>88</v>
      </c>
      <c r="I641" s="48" t="s">
        <v>24</v>
      </c>
      <c r="J641" s="47" t="str">
        <f t="shared" ref="J641:J688" si="6">IF(Q641=0,"Não","Sim")</f>
        <v>Não</v>
      </c>
      <c r="K641" s="49">
        <v>45212.0</v>
      </c>
      <c r="L641" s="24"/>
      <c r="M641" s="25" t="s">
        <v>111</v>
      </c>
      <c r="N641" s="60">
        <v>0.015</v>
      </c>
      <c r="O641" s="9" t="s">
        <v>46</v>
      </c>
      <c r="P641" s="61">
        <v>0.1</v>
      </c>
      <c r="Q641" s="65"/>
      <c r="R641" s="106"/>
      <c r="S641" s="239" t="s">
        <v>226</v>
      </c>
      <c r="T641" s="24" t="s">
        <v>89</v>
      </c>
      <c r="U641" s="25" t="s">
        <v>2144</v>
      </c>
      <c r="V641" s="9" t="s">
        <v>29</v>
      </c>
      <c r="W641" s="53" t="str">
        <f t="shared" si="3"/>
        <v>Ativo</v>
      </c>
      <c r="X641" s="24"/>
      <c r="Y641" s="54" t="s">
        <v>95</v>
      </c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>
        <v>28009.08</v>
      </c>
      <c r="AN641" s="56">
        <v>28195.49</v>
      </c>
      <c r="AO641" s="56">
        <v>28455.38</v>
      </c>
      <c r="AP641" s="56">
        <v>136332.37</v>
      </c>
      <c r="AQ641" s="55">
        <v>137648.03</v>
      </c>
      <c r="AR641" s="55">
        <v>139093.47</v>
      </c>
      <c r="AS641" s="55">
        <v>139534.83</v>
      </c>
      <c r="AT641" s="55">
        <f t="array" ref="AT641">XLOOKUP(C641,'PL TOTAL D0'!A:A,'PL TOTAL D0'!C:C,"")</f>
        <v>140632.7</v>
      </c>
    </row>
    <row r="642" ht="15.75" customHeight="1">
      <c r="A642" s="44" t="s">
        <v>36</v>
      </c>
      <c r="B642" s="45" t="s">
        <v>2145</v>
      </c>
      <c r="C642" s="46" t="s">
        <v>2146</v>
      </c>
      <c r="D642" s="47" t="s">
        <v>18</v>
      </c>
      <c r="E642" s="24" t="s">
        <v>29</v>
      </c>
      <c r="F642" s="9" t="s">
        <v>569</v>
      </c>
      <c r="G642" s="47" t="str">
        <f t="shared" si="1"/>
        <v>Augusto</v>
      </c>
      <c r="H642" s="48" t="s">
        <v>88</v>
      </c>
      <c r="I642" s="48" t="s">
        <v>24</v>
      </c>
      <c r="J642" s="47" t="str">
        <f t="shared" si="6"/>
        <v>Não</v>
      </c>
      <c r="K642" s="49">
        <v>45070.0</v>
      </c>
      <c r="L642" s="24"/>
      <c r="M642" s="24" t="s">
        <v>111</v>
      </c>
      <c r="N642" s="50">
        <v>0.012</v>
      </c>
      <c r="O642" s="47" t="s">
        <v>46</v>
      </c>
      <c r="P642" s="51">
        <v>0.1</v>
      </c>
      <c r="Q642" s="106"/>
      <c r="R642" s="183"/>
      <c r="S642" s="240" t="s">
        <v>2147</v>
      </c>
      <c r="T642" s="24" t="s">
        <v>89</v>
      </c>
      <c r="U642" s="25" t="s">
        <v>2148</v>
      </c>
      <c r="V642" s="9" t="s">
        <v>29</v>
      </c>
      <c r="W642" s="53" t="str">
        <f t="shared" si="3"/>
        <v>Ativo</v>
      </c>
      <c r="X642" s="24"/>
      <c r="Y642" s="54" t="s">
        <v>95</v>
      </c>
      <c r="Z642" s="56"/>
      <c r="AA642" s="56"/>
      <c r="AB642" s="56"/>
      <c r="AC642" s="56"/>
      <c r="AD642" s="56"/>
      <c r="AE642" s="56"/>
      <c r="AF642" s="56">
        <v>0.0</v>
      </c>
      <c r="AG642" s="56">
        <v>0.0</v>
      </c>
      <c r="AH642" s="56">
        <v>227605.23</v>
      </c>
      <c r="AI642" s="56">
        <v>231139.98</v>
      </c>
      <c r="AJ642" s="56">
        <v>233533.56</v>
      </c>
      <c r="AK642" s="56">
        <v>232386.73</v>
      </c>
      <c r="AL642" s="56">
        <v>233018.77</v>
      </c>
      <c r="AM642" s="56">
        <v>232632.7</v>
      </c>
      <c r="AN642" s="56">
        <v>238062.37</v>
      </c>
      <c r="AO642" s="56">
        <v>243018.83</v>
      </c>
      <c r="AP642" s="56">
        <v>236737.14</v>
      </c>
      <c r="AQ642" s="55">
        <v>238924.29</v>
      </c>
      <c r="AR642" s="55">
        <v>240651.02</v>
      </c>
      <c r="AS642" s="55">
        <v>238913.61</v>
      </c>
      <c r="AT642" s="55">
        <f t="array" ref="AT642">XLOOKUP(C642,'PL TOTAL D0'!A:A,'PL TOTAL D0'!C:C,"")</f>
        <v>240920.8</v>
      </c>
    </row>
    <row r="643" ht="15.75" customHeight="1">
      <c r="A643" s="44" t="s">
        <v>36</v>
      </c>
      <c r="B643" s="45" t="s">
        <v>2149</v>
      </c>
      <c r="C643" s="46" t="s">
        <v>2150</v>
      </c>
      <c r="D643" s="47" t="s">
        <v>18</v>
      </c>
      <c r="E643" s="24" t="s">
        <v>145</v>
      </c>
      <c r="F643" s="47" t="s">
        <v>146</v>
      </c>
      <c r="G643" s="47" t="str">
        <f t="shared" si="1"/>
        <v>#N/A</v>
      </c>
      <c r="H643" s="53" t="s">
        <v>157</v>
      </c>
      <c r="I643" s="48" t="s">
        <v>24</v>
      </c>
      <c r="J643" s="47" t="str">
        <f t="shared" si="6"/>
        <v>Não</v>
      </c>
      <c r="K643" s="49">
        <v>45163.0</v>
      </c>
      <c r="L643" s="110">
        <v>45383.0</v>
      </c>
      <c r="M643" s="24" t="s">
        <v>162</v>
      </c>
      <c r="N643" s="50">
        <v>0.025</v>
      </c>
      <c r="O643" s="47" t="s">
        <v>163</v>
      </c>
      <c r="P643" s="51">
        <v>0.2</v>
      </c>
      <c r="Q643" s="52"/>
      <c r="R643" s="106"/>
      <c r="S643" s="62" t="s">
        <v>2151</v>
      </c>
      <c r="T643" s="24" t="s">
        <v>89</v>
      </c>
      <c r="U643" s="25" t="s">
        <v>2152</v>
      </c>
      <c r="V643" s="9" t="s">
        <v>149</v>
      </c>
      <c r="W643" s="53" t="str">
        <f t="shared" si="3"/>
        <v>Encerrado</v>
      </c>
      <c r="X643" s="24"/>
      <c r="Y643" s="54" t="s">
        <v>91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578158.38</v>
      </c>
      <c r="AL643" s="56">
        <v>333331.19</v>
      </c>
      <c r="AM643" s="56">
        <v>317180.27</v>
      </c>
      <c r="AN643" s="56">
        <v>327161.94</v>
      </c>
      <c r="AO643" s="56">
        <v>344757.0</v>
      </c>
      <c r="AP643" s="56">
        <v>315702.29</v>
      </c>
      <c r="AQ643" s="55">
        <v>321907.66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45" t="s">
        <v>2149</v>
      </c>
      <c r="C644" s="46" t="s">
        <v>2153</v>
      </c>
      <c r="D644" s="47" t="s">
        <v>18</v>
      </c>
      <c r="E644" s="24" t="s">
        <v>145</v>
      </c>
      <c r="F644" s="47" t="s">
        <v>146</v>
      </c>
      <c r="G644" s="47" t="str">
        <f t="shared" si="1"/>
        <v>#N/A</v>
      </c>
      <c r="H644" s="53" t="s">
        <v>157</v>
      </c>
      <c r="I644" s="53" t="s">
        <v>24</v>
      </c>
      <c r="J644" s="47" t="str">
        <f t="shared" si="6"/>
        <v>Não</v>
      </c>
      <c r="K644" s="49">
        <v>45163.0</v>
      </c>
      <c r="L644" s="110">
        <v>45383.0</v>
      </c>
      <c r="M644" s="24" t="s">
        <v>60</v>
      </c>
      <c r="N644" s="50">
        <v>0.012</v>
      </c>
      <c r="O644" s="47" t="s">
        <v>24</v>
      </c>
      <c r="P644" s="51">
        <v>0.0</v>
      </c>
      <c r="Q644" s="15"/>
      <c r="R644" s="106"/>
      <c r="S644" s="62" t="s">
        <v>2154</v>
      </c>
      <c r="T644" s="24" t="s">
        <v>89</v>
      </c>
      <c r="U644" s="25" t="s">
        <v>2152</v>
      </c>
      <c r="V644" s="9" t="s">
        <v>149</v>
      </c>
      <c r="W644" s="53" t="str">
        <f t="shared" si="3"/>
        <v>Encerrado</v>
      </c>
      <c r="X644" s="24"/>
      <c r="Y644" s="54" t="s">
        <v>91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>
        <v>342462.76</v>
      </c>
      <c r="AL644" s="56">
        <v>340811.61</v>
      </c>
      <c r="AM644" s="56">
        <v>344200.37</v>
      </c>
      <c r="AN644" s="56">
        <v>303898.86</v>
      </c>
      <c r="AO644" s="56">
        <v>306622.99</v>
      </c>
      <c r="AP644" s="56">
        <v>309060.87</v>
      </c>
      <c r="AQ644" s="55">
        <v>4351.46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36</v>
      </c>
      <c r="B645" s="68" t="s">
        <v>2149</v>
      </c>
      <c r="C645" s="69" t="s">
        <v>2155</v>
      </c>
      <c r="D645" s="47" t="s">
        <v>18</v>
      </c>
      <c r="E645" s="24" t="s">
        <v>145</v>
      </c>
      <c r="F645" s="47" t="s">
        <v>146</v>
      </c>
      <c r="G645" s="47" t="str">
        <f t="shared" si="1"/>
        <v>#N/A</v>
      </c>
      <c r="H645" s="53" t="s">
        <v>157</v>
      </c>
      <c r="I645" s="53" t="s">
        <v>117</v>
      </c>
      <c r="J645" s="47" t="str">
        <f t="shared" si="6"/>
        <v>Não</v>
      </c>
      <c r="K645" s="49">
        <v>45187.0</v>
      </c>
      <c r="L645" s="110">
        <v>45383.0</v>
      </c>
      <c r="M645" s="24" t="s">
        <v>118</v>
      </c>
      <c r="N645" s="50">
        <v>0.0</v>
      </c>
      <c r="O645" s="47" t="s">
        <v>24</v>
      </c>
      <c r="P645" s="51">
        <v>0.0</v>
      </c>
      <c r="Q645" s="52"/>
      <c r="R645" s="106"/>
      <c r="S645" s="52"/>
      <c r="T645" s="24" t="s">
        <v>89</v>
      </c>
      <c r="U645" s="25" t="s">
        <v>2152</v>
      </c>
      <c r="V645" s="9" t="s">
        <v>149</v>
      </c>
      <c r="W645" s="53" t="str">
        <f t="shared" si="3"/>
        <v>Encerrado</v>
      </c>
      <c r="X645" s="24"/>
      <c r="Y645" s="54" t="s">
        <v>91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271055.88</v>
      </c>
      <c r="AM645" s="56">
        <v>268541.05</v>
      </c>
      <c r="AN645" s="56">
        <v>286445.02</v>
      </c>
      <c r="AO645" s="56">
        <v>302609.96</v>
      </c>
      <c r="AP645" s="56">
        <v>295032.11</v>
      </c>
      <c r="AQ645" s="55">
        <v>294811.89</v>
      </c>
      <c r="AR645" s="55">
        <v>0.0</v>
      </c>
      <c r="AS645" s="55">
        <v>0.0</v>
      </c>
      <c r="AT645" s="55" t="str">
        <f t="array" ref="AT645">XLOOKUP(C645,'PL TOTAL D0'!A:A,'PL TOTAL D0'!C:C,"")</f>
        <v/>
      </c>
    </row>
    <row r="646" ht="15.75" customHeight="1">
      <c r="A646" s="44" t="s">
        <v>36</v>
      </c>
      <c r="B646" s="68" t="s">
        <v>2156</v>
      </c>
      <c r="C646" s="69" t="s">
        <v>2157</v>
      </c>
      <c r="D646" s="47" t="s">
        <v>18</v>
      </c>
      <c r="E646" s="24" t="s">
        <v>19</v>
      </c>
      <c r="F646" s="47" t="s">
        <v>52</v>
      </c>
      <c r="G646" s="47" t="str">
        <f t="shared" si="1"/>
        <v>Augusto</v>
      </c>
      <c r="H646" s="53" t="s">
        <v>88</v>
      </c>
      <c r="I646" s="53" t="s">
        <v>24</v>
      </c>
      <c r="J646" s="47" t="str">
        <f t="shared" si="6"/>
        <v>Não</v>
      </c>
      <c r="K646" s="49">
        <v>45189.0</v>
      </c>
      <c r="L646" s="24"/>
      <c r="M646" s="24" t="s">
        <v>60</v>
      </c>
      <c r="N646" s="50">
        <v>0.012</v>
      </c>
      <c r="O646" s="47" t="s">
        <v>24</v>
      </c>
      <c r="P646" s="51">
        <v>0.0</v>
      </c>
      <c r="Q646" s="44"/>
      <c r="R646" s="106"/>
      <c r="S646" s="109" t="s">
        <v>2158</v>
      </c>
      <c r="T646" s="24" t="s">
        <v>89</v>
      </c>
      <c r="U646" s="25" t="s">
        <v>2159</v>
      </c>
      <c r="V646" s="9" t="s">
        <v>19</v>
      </c>
      <c r="W646" s="53" t="str">
        <f t="shared" si="3"/>
        <v>Ativo</v>
      </c>
      <c r="X646" s="24"/>
      <c r="Y646" s="54" t="s">
        <v>95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>
        <v>0.0</v>
      </c>
      <c r="AM646" s="56">
        <v>0.0</v>
      </c>
      <c r="AN646" s="56">
        <v>0.0</v>
      </c>
      <c r="AO646" s="56">
        <v>51961.14</v>
      </c>
      <c r="AP646" s="56">
        <v>203719.11</v>
      </c>
      <c r="AQ646" s="55">
        <v>205270.52</v>
      </c>
      <c r="AR646" s="55">
        <v>207011.53</v>
      </c>
      <c r="AS646" s="55">
        <v>208476.23</v>
      </c>
      <c r="AT646" s="55">
        <f t="array" ref="AT646">XLOOKUP(C646,'PL TOTAL D0'!A:A,'PL TOTAL D0'!C:C,"")</f>
        <v>209238.8</v>
      </c>
    </row>
    <row r="647" ht="15.75" customHeight="1">
      <c r="A647" s="44" t="s">
        <v>36</v>
      </c>
      <c r="B647" s="68" t="s">
        <v>2160</v>
      </c>
      <c r="C647" s="69" t="s">
        <v>2161</v>
      </c>
      <c r="D647" s="47" t="s">
        <v>18</v>
      </c>
      <c r="E647" s="24" t="s">
        <v>19</v>
      </c>
      <c r="F647" s="47" t="s">
        <v>52</v>
      </c>
      <c r="G647" s="47" t="str">
        <f t="shared" si="1"/>
        <v>#N/A</v>
      </c>
      <c r="H647" s="53" t="s">
        <v>116</v>
      </c>
      <c r="I647" s="48" t="s">
        <v>130</v>
      </c>
      <c r="J647" s="47" t="str">
        <f t="shared" si="6"/>
        <v>Não</v>
      </c>
      <c r="K647" s="49">
        <v>45266.0</v>
      </c>
      <c r="L647" s="24"/>
      <c r="M647" s="24" t="s">
        <v>60</v>
      </c>
      <c r="N647" s="50">
        <v>0.012</v>
      </c>
      <c r="O647" s="47" t="s">
        <v>24</v>
      </c>
      <c r="P647" s="51">
        <v>0.0</v>
      </c>
      <c r="Q647" s="127"/>
      <c r="R647" s="106"/>
      <c r="S647" s="109"/>
      <c r="T647" s="24" t="s">
        <v>89</v>
      </c>
      <c r="U647" s="25" t="s">
        <v>2162</v>
      </c>
      <c r="V647" s="9" t="s">
        <v>19</v>
      </c>
      <c r="W647" s="53" t="str">
        <f t="shared" si="3"/>
        <v>Ativo</v>
      </c>
      <c r="X647" s="24"/>
      <c r="Y647" s="54" t="s">
        <v>95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>
        <v>0.0</v>
      </c>
      <c r="AP647" s="56">
        <v>0.0</v>
      </c>
      <c r="AQ647" s="55">
        <v>0.0</v>
      </c>
      <c r="AR647" s="55">
        <v>0.0</v>
      </c>
      <c r="AS647" s="55">
        <v>0.0</v>
      </c>
      <c r="AT647" s="55" t="str">
        <f t="array" ref="AT647">XLOOKUP(C647,'PL TOTAL D0'!A:A,'PL TOTAL D0'!C:C,"")</f>
        <v/>
      </c>
    </row>
    <row r="648" ht="15.75" customHeight="1">
      <c r="A648" s="44" t="s">
        <v>36</v>
      </c>
      <c r="B648" s="45" t="s">
        <v>2163</v>
      </c>
      <c r="C648" s="46" t="s">
        <v>2164</v>
      </c>
      <c r="D648" s="47" t="s">
        <v>18</v>
      </c>
      <c r="E648" s="24" t="s">
        <v>29</v>
      </c>
      <c r="F648" s="47" t="s">
        <v>44</v>
      </c>
      <c r="G648" s="47" t="str">
        <f t="shared" si="1"/>
        <v>Augusto</v>
      </c>
      <c r="H648" s="48" t="s">
        <v>88</v>
      </c>
      <c r="I648" s="48" t="s">
        <v>24</v>
      </c>
      <c r="J648" s="47" t="str">
        <f t="shared" si="6"/>
        <v>Não</v>
      </c>
      <c r="K648" s="49">
        <v>45036.0</v>
      </c>
      <c r="L648" s="24"/>
      <c r="M648" s="24" t="s">
        <v>60</v>
      </c>
      <c r="N648" s="50">
        <v>0.012</v>
      </c>
      <c r="O648" s="47" t="s">
        <v>24</v>
      </c>
      <c r="P648" s="51">
        <v>0.0</v>
      </c>
      <c r="Q648" s="106"/>
      <c r="R648" s="106"/>
      <c r="S648" s="106"/>
      <c r="T648" s="24" t="s">
        <v>89</v>
      </c>
      <c r="U648" s="25" t="s">
        <v>2165</v>
      </c>
      <c r="V648" s="9" t="s">
        <v>715</v>
      </c>
      <c r="W648" s="53" t="str">
        <f t="shared" si="3"/>
        <v>Ativo</v>
      </c>
      <c r="X648" s="24"/>
      <c r="Y648" s="54" t="s">
        <v>95</v>
      </c>
      <c r="Z648" s="56"/>
      <c r="AA648" s="56"/>
      <c r="AB648" s="56"/>
      <c r="AC648" s="56"/>
      <c r="AD648" s="56"/>
      <c r="AE648" s="56"/>
      <c r="AF648" s="56">
        <v>0.0</v>
      </c>
      <c r="AG648" s="56">
        <v>85514.69</v>
      </c>
      <c r="AH648" s="56">
        <v>86409.5</v>
      </c>
      <c r="AI648" s="56">
        <v>87159.14</v>
      </c>
      <c r="AJ648" s="56">
        <v>82858.01</v>
      </c>
      <c r="AK648" s="56">
        <v>62827.66</v>
      </c>
      <c r="AL648" s="56">
        <v>63325.05</v>
      </c>
      <c r="AM648" s="56">
        <v>63743.87</v>
      </c>
      <c r="AN648" s="56">
        <v>64221.09</v>
      </c>
      <c r="AO648" s="56">
        <v>64717.11</v>
      </c>
      <c r="AP648" s="56">
        <v>60179.48</v>
      </c>
      <c r="AQ648" s="55">
        <v>72562.69</v>
      </c>
      <c r="AR648" s="55">
        <v>73158.95</v>
      </c>
      <c r="AS648" s="55">
        <v>68289.39</v>
      </c>
      <c r="AT648" s="55">
        <f t="array" ref="AT648">XLOOKUP(C648,'PL TOTAL D0'!A:A,'PL TOTAL D0'!C:C,"")</f>
        <v>68588.07</v>
      </c>
    </row>
    <row r="649" ht="15.75" customHeight="1">
      <c r="A649" s="44" t="s">
        <v>36</v>
      </c>
      <c r="B649" s="45" t="s">
        <v>2166</v>
      </c>
      <c r="C649" s="46" t="s">
        <v>2167</v>
      </c>
      <c r="D649" s="9" t="s">
        <v>18</v>
      </c>
      <c r="E649" s="24" t="s">
        <v>29</v>
      </c>
      <c r="F649" s="9" t="s">
        <v>110</v>
      </c>
      <c r="G649" s="47" t="str">
        <f t="shared" si="1"/>
        <v>Bruno</v>
      </c>
      <c r="H649" s="48" t="s">
        <v>88</v>
      </c>
      <c r="I649" s="48" t="s">
        <v>24</v>
      </c>
      <c r="J649" s="47" t="str">
        <f t="shared" si="6"/>
        <v>Não</v>
      </c>
      <c r="K649" s="49">
        <v>45007.0</v>
      </c>
      <c r="L649" s="24"/>
      <c r="M649" s="24" t="s">
        <v>60</v>
      </c>
      <c r="N649" s="50">
        <v>0.008</v>
      </c>
      <c r="O649" s="47" t="s">
        <v>24</v>
      </c>
      <c r="P649" s="51">
        <v>0.0</v>
      </c>
      <c r="Q649" s="106"/>
      <c r="R649" s="106"/>
      <c r="S649" s="106"/>
      <c r="T649" s="24" t="s">
        <v>89</v>
      </c>
      <c r="U649" s="25" t="s">
        <v>2168</v>
      </c>
      <c r="V649" s="9" t="s">
        <v>29</v>
      </c>
      <c r="W649" s="53" t="str">
        <f t="shared" si="3"/>
        <v>Ativo</v>
      </c>
      <c r="X649" s="24"/>
      <c r="Y649" s="54" t="s">
        <v>95</v>
      </c>
      <c r="Z649" s="56"/>
      <c r="AA649" s="56"/>
      <c r="AB649" s="56"/>
      <c r="AC649" s="56"/>
      <c r="AD649" s="56"/>
      <c r="AE649" s="56">
        <v>0.0</v>
      </c>
      <c r="AF649" s="56">
        <v>1114382.73</v>
      </c>
      <c r="AG649" s="56">
        <v>1265154.49</v>
      </c>
      <c r="AH649" s="56">
        <v>1292029.39</v>
      </c>
      <c r="AI649" s="56">
        <v>1318217.79</v>
      </c>
      <c r="AJ649" s="56">
        <v>1335930.6</v>
      </c>
      <c r="AK649" s="56">
        <v>1353480.45</v>
      </c>
      <c r="AL649" s="56">
        <v>1357618.63</v>
      </c>
      <c r="AM649" s="56">
        <v>1363068.73</v>
      </c>
      <c r="AN649" s="56">
        <v>1374316.22</v>
      </c>
      <c r="AO649" s="56">
        <v>1396649.65</v>
      </c>
      <c r="AP649" s="56">
        <v>1404760.32</v>
      </c>
      <c r="AQ649" s="55">
        <v>1415066.32</v>
      </c>
      <c r="AR649" s="55">
        <v>1428887.09</v>
      </c>
      <c r="AS649" s="55">
        <v>1435742.86</v>
      </c>
      <c r="AT649" s="55">
        <f t="array" ref="AT649">XLOOKUP(C649,'PL TOTAL D0'!A:A,'PL TOTAL D0'!C:C,"")</f>
        <v>1445434</v>
      </c>
    </row>
    <row r="650" ht="15.75" customHeight="1">
      <c r="A650" s="44" t="s">
        <v>36</v>
      </c>
      <c r="B650" s="45" t="s">
        <v>2169</v>
      </c>
      <c r="C650" s="46" t="s">
        <v>2170</v>
      </c>
      <c r="D650" s="47" t="s">
        <v>18</v>
      </c>
      <c r="E650" s="24" t="s">
        <v>29</v>
      </c>
      <c r="F650" s="47" t="s">
        <v>137</v>
      </c>
      <c r="G650" s="47" t="str">
        <f t="shared" si="1"/>
        <v>Augusto</v>
      </c>
      <c r="H650" s="48" t="s">
        <v>88</v>
      </c>
      <c r="I650" s="48" t="s">
        <v>24</v>
      </c>
      <c r="J650" s="47" t="str">
        <f t="shared" si="6"/>
        <v>Não</v>
      </c>
      <c r="K650" s="49">
        <v>44973.0</v>
      </c>
      <c r="L650" s="24"/>
      <c r="M650" s="24" t="s">
        <v>60</v>
      </c>
      <c r="N650" s="50">
        <v>0.012</v>
      </c>
      <c r="O650" s="47" t="s">
        <v>24</v>
      </c>
      <c r="P650" s="51">
        <v>0.0</v>
      </c>
      <c r="Q650" s="106"/>
      <c r="R650" s="106"/>
      <c r="S650" s="106"/>
      <c r="T650" s="24" t="s">
        <v>89</v>
      </c>
      <c r="U650" s="25" t="s">
        <v>2171</v>
      </c>
      <c r="V650" s="9" t="s">
        <v>29</v>
      </c>
      <c r="W650" s="53" t="str">
        <f t="shared" si="3"/>
        <v>Ativo</v>
      </c>
      <c r="X650" s="24"/>
      <c r="Y650" s="54" t="s">
        <v>95</v>
      </c>
      <c r="Z650" s="56"/>
      <c r="AA650" s="56"/>
      <c r="AB650" s="56"/>
      <c r="AC650" s="56"/>
      <c r="AD650" s="56">
        <v>300030.53</v>
      </c>
      <c r="AE650" s="56">
        <v>594851.69</v>
      </c>
      <c r="AF650" s="56">
        <v>600854.27</v>
      </c>
      <c r="AG650" s="56">
        <v>605246.45</v>
      </c>
      <c r="AH650" s="56">
        <v>611790.0</v>
      </c>
      <c r="AI650" s="56">
        <v>622860.35</v>
      </c>
      <c r="AJ650" s="56">
        <v>628230.14</v>
      </c>
      <c r="AK650" s="56">
        <v>604525.29</v>
      </c>
      <c r="AL650" s="56">
        <v>609812.97</v>
      </c>
      <c r="AM650" s="56">
        <v>615699.79</v>
      </c>
      <c r="AN650" s="56">
        <v>620481.32</v>
      </c>
      <c r="AO650" s="56">
        <v>500838.24</v>
      </c>
      <c r="AP650" s="56">
        <v>504606.41</v>
      </c>
      <c r="AQ650" s="55">
        <v>198582.56</v>
      </c>
      <c r="AR650" s="55">
        <v>200155.63</v>
      </c>
      <c r="AS650" s="55">
        <v>201749.15</v>
      </c>
      <c r="AT650" s="55">
        <f t="array" ref="AT650">XLOOKUP(C650,'PL TOTAL D0'!A:A,'PL TOTAL D0'!C:C,"")</f>
        <v>202636.6</v>
      </c>
    </row>
    <row r="651" ht="15.75" customHeight="1">
      <c r="A651" s="44" t="s">
        <v>36</v>
      </c>
      <c r="B651" s="45" t="s">
        <v>2172</v>
      </c>
      <c r="C651" s="46" t="s">
        <v>2173</v>
      </c>
      <c r="D651" s="47" t="s">
        <v>86</v>
      </c>
      <c r="E651" s="24" t="s">
        <v>29</v>
      </c>
      <c r="F651" s="47" t="s">
        <v>741</v>
      </c>
      <c r="G651" s="47" t="str">
        <f t="shared" si="1"/>
        <v>#N/A</v>
      </c>
      <c r="H651" s="48" t="s">
        <v>157</v>
      </c>
      <c r="I651" s="48" t="s">
        <v>24</v>
      </c>
      <c r="J651" s="47" t="str">
        <f t="shared" si="6"/>
        <v>Não</v>
      </c>
      <c r="K651" s="49">
        <v>45068.0</v>
      </c>
      <c r="L651" s="74">
        <v>45126.0</v>
      </c>
      <c r="M651" s="24" t="s">
        <v>60</v>
      </c>
      <c r="N651" s="50">
        <v>0.012</v>
      </c>
      <c r="O651" s="47" t="s">
        <v>24</v>
      </c>
      <c r="P651" s="51">
        <v>0.0</v>
      </c>
      <c r="Q651" s="75"/>
      <c r="R651" s="75"/>
      <c r="S651" s="52"/>
      <c r="T651" s="24" t="s">
        <v>89</v>
      </c>
      <c r="U651" s="25" t="s">
        <v>2174</v>
      </c>
      <c r="V651" s="9" t="s">
        <v>29</v>
      </c>
      <c r="W651" s="53" t="str">
        <f t="shared" si="3"/>
        <v>Encerrado</v>
      </c>
      <c r="X651" s="24"/>
      <c r="Y651" s="54"/>
      <c r="Z651" s="56"/>
      <c r="AA651" s="56"/>
      <c r="AB651" s="56"/>
      <c r="AC651" s="56"/>
      <c r="AD651" s="56"/>
      <c r="AE651" s="56"/>
      <c r="AF651" s="56"/>
      <c r="AG651" s="56">
        <v>0.0</v>
      </c>
      <c r="AH651" s="56">
        <v>2455150.22</v>
      </c>
      <c r="AI651" s="56">
        <v>2474330.36</v>
      </c>
      <c r="AJ651" s="56">
        <v>0.0</v>
      </c>
      <c r="AK651" s="56">
        <v>0.0</v>
      </c>
      <c r="AL651" s="56">
        <v>0.0</v>
      </c>
      <c r="AM651" s="56">
        <v>0.0</v>
      </c>
      <c r="AN651" s="56">
        <v>0.0</v>
      </c>
      <c r="AO651" s="56">
        <v>0.0</v>
      </c>
      <c r="AP651" s="56">
        <v>0.0</v>
      </c>
      <c r="AQ651" s="55">
        <v>0.0</v>
      </c>
      <c r="AR651" s="55">
        <v>0.0</v>
      </c>
      <c r="AS651" s="55">
        <v>0.0</v>
      </c>
      <c r="AT651" s="55" t="str">
        <f t="array" ref="AT651">XLOOKUP(C651,'PL TOTAL D0'!A:A,'PL TOTAL D0'!C:C,"")</f>
        <v/>
      </c>
    </row>
    <row r="652" ht="15.75" customHeight="1">
      <c r="A652" s="6" t="s">
        <v>36</v>
      </c>
      <c r="B652" s="66" t="s">
        <v>2175</v>
      </c>
      <c r="C652" s="67" t="s">
        <v>2176</v>
      </c>
      <c r="D652" s="9" t="s">
        <v>18</v>
      </c>
      <c r="E652" s="25" t="s">
        <v>29</v>
      </c>
      <c r="F652" s="9" t="s">
        <v>569</v>
      </c>
      <c r="G652" s="47" t="str">
        <f t="shared" si="1"/>
        <v>Augusto</v>
      </c>
      <c r="H652" s="53" t="s">
        <v>88</v>
      </c>
      <c r="I652" s="53" t="s">
        <v>24</v>
      </c>
      <c r="J652" s="47" t="str">
        <f t="shared" si="6"/>
        <v>Não</v>
      </c>
      <c r="K652" s="59">
        <v>45386.0</v>
      </c>
      <c r="L652" s="74"/>
      <c r="M652" s="25" t="s">
        <v>60</v>
      </c>
      <c r="N652" s="60">
        <v>0.012</v>
      </c>
      <c r="O652" s="9" t="s">
        <v>24</v>
      </c>
      <c r="P652" s="61">
        <v>0.0</v>
      </c>
      <c r="Q652" s="75"/>
      <c r="R652" s="75"/>
      <c r="S652" s="52"/>
      <c r="T652" s="25" t="s">
        <v>89</v>
      </c>
      <c r="U652" s="25" t="s">
        <v>2177</v>
      </c>
      <c r="V652" s="9" t="s">
        <v>29</v>
      </c>
      <c r="W652" s="53" t="str">
        <f t="shared" si="3"/>
        <v>Ativo</v>
      </c>
      <c r="X652" s="24"/>
      <c r="Y652" s="54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5"/>
      <c r="AR652" s="55"/>
      <c r="AS652" s="55">
        <v>64232.48</v>
      </c>
      <c r="AT652" s="55">
        <f t="array" ref="AT652">XLOOKUP(C652,'PL TOTAL D0'!A:A,'PL TOTAL D0'!C:C,"")</f>
        <v>96087.74</v>
      </c>
    </row>
    <row r="653" ht="15.75" customHeight="1">
      <c r="A653" s="44" t="s">
        <v>36</v>
      </c>
      <c r="B653" s="45" t="s">
        <v>2178</v>
      </c>
      <c r="C653" s="46" t="s">
        <v>2179</v>
      </c>
      <c r="D653" s="47" t="s">
        <v>18</v>
      </c>
      <c r="E653" s="24" t="s">
        <v>145</v>
      </c>
      <c r="F653" s="47" t="s">
        <v>478</v>
      </c>
      <c r="G653" s="47" t="str">
        <f t="shared" si="1"/>
        <v>Augusto</v>
      </c>
      <c r="H653" s="48" t="s">
        <v>88</v>
      </c>
      <c r="I653" s="48" t="s">
        <v>24</v>
      </c>
      <c r="J653" s="47" t="str">
        <f t="shared" si="6"/>
        <v>Não</v>
      </c>
      <c r="K653" s="49">
        <v>45126.0</v>
      </c>
      <c r="L653" s="64"/>
      <c r="M653" s="24" t="s">
        <v>60</v>
      </c>
      <c r="N653" s="50">
        <v>0.007</v>
      </c>
      <c r="O653" s="47" t="s">
        <v>24</v>
      </c>
      <c r="P653" s="51">
        <v>0.0</v>
      </c>
      <c r="Q653" s="106"/>
      <c r="R653" s="106"/>
      <c r="S653" s="106"/>
      <c r="T653" s="24" t="s">
        <v>89</v>
      </c>
      <c r="U653" s="25" t="s">
        <v>2180</v>
      </c>
      <c r="V653" s="9" t="s">
        <v>149</v>
      </c>
      <c r="W653" s="53" t="str">
        <f t="shared" si="3"/>
        <v>Ativo</v>
      </c>
      <c r="X653" s="24"/>
      <c r="Y653" s="54" t="s">
        <v>91</v>
      </c>
      <c r="Z653" s="56"/>
      <c r="AA653" s="56"/>
      <c r="AB653" s="56"/>
      <c r="AC653" s="56"/>
      <c r="AD653" s="56"/>
      <c r="AE653" s="56"/>
      <c r="AF653" s="56"/>
      <c r="AG653" s="56">
        <v>0.0</v>
      </c>
      <c r="AH653" s="56">
        <v>0.0</v>
      </c>
      <c r="AI653" s="56">
        <v>0.0</v>
      </c>
      <c r="AJ653" s="56">
        <v>86267.59</v>
      </c>
      <c r="AK653" s="56">
        <v>87219.24</v>
      </c>
      <c r="AL653" s="56">
        <v>88005.57</v>
      </c>
      <c r="AM653" s="56">
        <v>88869.13</v>
      </c>
      <c r="AN653" s="56">
        <v>87191.79</v>
      </c>
      <c r="AO653" s="56">
        <v>87854.91</v>
      </c>
      <c r="AP653" s="56">
        <v>88648.81</v>
      </c>
      <c r="AQ653" s="55">
        <v>89326.77</v>
      </c>
      <c r="AR653" s="55">
        <v>89547.54</v>
      </c>
      <c r="AS653" s="55">
        <v>90219.4</v>
      </c>
      <c r="AT653" s="55">
        <f t="array" ref="AT653">XLOOKUP(C653,'PL TOTAL D0'!A:A,'PL TOTAL D0'!C:C,"")</f>
        <v>90648.03</v>
      </c>
    </row>
    <row r="654" ht="15.75" customHeight="1">
      <c r="A654" s="44" t="s">
        <v>36</v>
      </c>
      <c r="B654" s="45" t="s">
        <v>2181</v>
      </c>
      <c r="C654" s="46" t="s">
        <v>2182</v>
      </c>
      <c r="D654" s="47" t="s">
        <v>18</v>
      </c>
      <c r="E654" s="24" t="s">
        <v>29</v>
      </c>
      <c r="F654" s="47" t="s">
        <v>110</v>
      </c>
      <c r="G654" s="47" t="str">
        <f t="shared" si="1"/>
        <v>Augusto</v>
      </c>
      <c r="H654" s="48" t="s">
        <v>88</v>
      </c>
      <c r="I654" s="48" t="s">
        <v>24</v>
      </c>
      <c r="J654" s="47" t="str">
        <f t="shared" si="6"/>
        <v>Sim</v>
      </c>
      <c r="K654" s="49">
        <v>44956.0</v>
      </c>
      <c r="L654" s="24"/>
      <c r="M654" s="24" t="s">
        <v>60</v>
      </c>
      <c r="N654" s="50">
        <v>0.01</v>
      </c>
      <c r="O654" s="47" t="s">
        <v>24</v>
      </c>
      <c r="P654" s="51">
        <v>0.0</v>
      </c>
      <c r="Q654" s="62" t="s">
        <v>2183</v>
      </c>
      <c r="R654" s="106"/>
      <c r="S654" s="106"/>
      <c r="T654" s="24" t="s">
        <v>89</v>
      </c>
      <c r="U654" s="25" t="s">
        <v>2184</v>
      </c>
      <c r="V654" s="9" t="s">
        <v>29</v>
      </c>
      <c r="W654" s="53" t="str">
        <f t="shared" si="3"/>
        <v>Ativo</v>
      </c>
      <c r="X654" s="24"/>
      <c r="Y654" s="54" t="s">
        <v>91</v>
      </c>
      <c r="Z654" s="56"/>
      <c r="AA654" s="56"/>
      <c r="AB654" s="56"/>
      <c r="AC654" s="56"/>
      <c r="AD654" s="56">
        <v>13533.31</v>
      </c>
      <c r="AE654" s="56">
        <v>176868.64</v>
      </c>
      <c r="AF654" s="56">
        <v>178713.53</v>
      </c>
      <c r="AG654" s="56">
        <v>179798.22</v>
      </c>
      <c r="AH654" s="56">
        <v>181860.56</v>
      </c>
      <c r="AI654" s="56">
        <v>183302.19</v>
      </c>
      <c r="AJ654" s="56">
        <v>184796.44</v>
      </c>
      <c r="AK654" s="56">
        <v>186334.77</v>
      </c>
      <c r="AL654" s="56">
        <v>187400.52</v>
      </c>
      <c r="AM654" s="56">
        <v>189010.76</v>
      </c>
      <c r="AN654" s="56">
        <v>190356.42</v>
      </c>
      <c r="AO654" s="56">
        <v>191855.37</v>
      </c>
      <c r="AP654" s="56">
        <v>191282.94</v>
      </c>
      <c r="AQ654" s="55">
        <v>192558.17</v>
      </c>
      <c r="AR654" s="55">
        <v>193588.35</v>
      </c>
      <c r="AS654" s="55">
        <v>301647.38</v>
      </c>
      <c r="AT654" s="55">
        <f t="array" ref="AT654">XLOOKUP(C654,'PL TOTAL D0'!A:A,'PL TOTAL D0'!C:C,"")</f>
        <v>302965.4</v>
      </c>
    </row>
    <row r="655" ht="15.75" customHeight="1">
      <c r="A655" s="44" t="s">
        <v>36</v>
      </c>
      <c r="B655" s="6" t="s">
        <v>2185</v>
      </c>
      <c r="C655" s="21" t="s">
        <v>2186</v>
      </c>
      <c r="D655" s="9" t="s">
        <v>18</v>
      </c>
      <c r="E655" s="25" t="s">
        <v>29</v>
      </c>
      <c r="F655" s="47" t="s">
        <v>110</v>
      </c>
      <c r="G655" s="47" t="str">
        <f t="shared" si="1"/>
        <v>Augusto</v>
      </c>
      <c r="H655" s="53" t="s">
        <v>88</v>
      </c>
      <c r="I655" s="53" t="s">
        <v>24</v>
      </c>
      <c r="J655" s="47" t="str">
        <f t="shared" si="6"/>
        <v>Não</v>
      </c>
      <c r="K655" s="59">
        <v>45371.0</v>
      </c>
      <c r="L655" s="64"/>
      <c r="M655" s="25" t="s">
        <v>60</v>
      </c>
      <c r="N655" s="60">
        <v>0.012</v>
      </c>
      <c r="O655" s="9" t="s">
        <v>24</v>
      </c>
      <c r="P655" s="61">
        <v>0.0</v>
      </c>
      <c r="Q655" s="106"/>
      <c r="R655" s="106"/>
      <c r="S655" s="106"/>
      <c r="T655" s="25" t="s">
        <v>89</v>
      </c>
      <c r="U655" s="23" t="s">
        <v>2187</v>
      </c>
      <c r="V655" s="9" t="s">
        <v>29</v>
      </c>
      <c r="W655" s="53" t="str">
        <f t="shared" si="3"/>
        <v>Ativo</v>
      </c>
      <c r="X655" s="24"/>
      <c r="Y655" s="54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5"/>
      <c r="AR655" s="55">
        <v>0.0</v>
      </c>
      <c r="AS655" s="55">
        <v>0.0</v>
      </c>
      <c r="AT655" s="55">
        <f t="array" ref="AT655">XLOOKUP(C655,'PL TOTAL D0'!A:A,'PL TOTAL D0'!C:C,"")</f>
        <v>28544.08</v>
      </c>
    </row>
    <row r="656" ht="15.75" customHeight="1">
      <c r="A656" s="44" t="s">
        <v>36</v>
      </c>
      <c r="B656" s="221" t="s">
        <v>2188</v>
      </c>
      <c r="C656" s="46" t="s">
        <v>2189</v>
      </c>
      <c r="D656" s="47" t="s">
        <v>18</v>
      </c>
      <c r="E656" s="24" t="s">
        <v>29</v>
      </c>
      <c r="F656" s="47" t="s">
        <v>110</v>
      </c>
      <c r="G656" s="47" t="str">
        <f t="shared" si="1"/>
        <v>Augusto</v>
      </c>
      <c r="H656" s="48" t="s">
        <v>88</v>
      </c>
      <c r="I656" s="48" t="s">
        <v>24</v>
      </c>
      <c r="J656" s="47" t="str">
        <f t="shared" si="6"/>
        <v>Não</v>
      </c>
      <c r="K656" s="49">
        <v>45058.0</v>
      </c>
      <c r="L656" s="24"/>
      <c r="M656" s="24" t="s">
        <v>60</v>
      </c>
      <c r="N656" s="50">
        <v>0.012</v>
      </c>
      <c r="O656" s="47" t="s">
        <v>24</v>
      </c>
      <c r="P656" s="51">
        <v>0.0</v>
      </c>
      <c r="Q656" s="106"/>
      <c r="R656" s="106"/>
      <c r="S656" s="106"/>
      <c r="T656" s="24" t="s">
        <v>89</v>
      </c>
      <c r="U656" s="25" t="s">
        <v>2190</v>
      </c>
      <c r="V656" s="9" t="s">
        <v>29</v>
      </c>
      <c r="W656" s="53" t="str">
        <f t="shared" si="3"/>
        <v>Ativo</v>
      </c>
      <c r="X656" s="24"/>
      <c r="Y656" s="54" t="s">
        <v>95</v>
      </c>
      <c r="Z656" s="56"/>
      <c r="AA656" s="56"/>
      <c r="AB656" s="56"/>
      <c r="AC656" s="56"/>
      <c r="AD656" s="56"/>
      <c r="AE656" s="56"/>
      <c r="AF656" s="56"/>
      <c r="AG656" s="56">
        <v>0.0</v>
      </c>
      <c r="AH656" s="56">
        <v>6409.45</v>
      </c>
      <c r="AI656" s="56">
        <v>6480.83</v>
      </c>
      <c r="AJ656" s="56">
        <v>6541.24</v>
      </c>
      <c r="AK656" s="56">
        <v>6607.98</v>
      </c>
      <c r="AL656" s="56">
        <v>6628.61</v>
      </c>
      <c r="AM656" s="56">
        <v>6665.81</v>
      </c>
      <c r="AN656" s="56">
        <v>6712.71</v>
      </c>
      <c r="AO656" s="56">
        <v>6764.48</v>
      </c>
      <c r="AP656" s="56">
        <v>6759.52</v>
      </c>
      <c r="AQ656" s="55">
        <v>6808.05</v>
      </c>
      <c r="AR656" s="55">
        <v>6859.37</v>
      </c>
      <c r="AS656" s="55">
        <v>6911.44</v>
      </c>
      <c r="AT656" s="55">
        <f t="array" ref="AT656">XLOOKUP(C656,'PL TOTAL D0'!A:A,'PL TOTAL D0'!C:C,"")</f>
        <v>6937.98</v>
      </c>
    </row>
    <row r="657" ht="15.75" customHeight="1">
      <c r="A657" s="44" t="s">
        <v>36</v>
      </c>
      <c r="B657" s="66" t="s">
        <v>2191</v>
      </c>
      <c r="C657" s="67" t="s">
        <v>2192</v>
      </c>
      <c r="D657" s="9" t="s">
        <v>18</v>
      </c>
      <c r="E657" s="25" t="s">
        <v>29</v>
      </c>
      <c r="F657" s="9" t="s">
        <v>569</v>
      </c>
      <c r="G657" s="47" t="str">
        <f t="shared" si="1"/>
        <v>Breno</v>
      </c>
      <c r="H657" s="53" t="s">
        <v>88</v>
      </c>
      <c r="I657" s="53" t="s">
        <v>24</v>
      </c>
      <c r="J657" s="47" t="str">
        <f t="shared" si="6"/>
        <v>Não</v>
      </c>
      <c r="K657" s="59">
        <v>45401.0</v>
      </c>
      <c r="L657" s="24"/>
      <c r="M657" s="25" t="s">
        <v>60</v>
      </c>
      <c r="N657" s="60">
        <v>0.012</v>
      </c>
      <c r="O657" s="9" t="s">
        <v>24</v>
      </c>
      <c r="P657" s="61">
        <v>0.0</v>
      </c>
      <c r="Q657" s="106"/>
      <c r="R657" s="106"/>
      <c r="S657" s="106"/>
      <c r="T657" s="25" t="s">
        <v>89</v>
      </c>
      <c r="U657" s="23" t="s">
        <v>2193</v>
      </c>
      <c r="V657" s="9" t="s">
        <v>29</v>
      </c>
      <c r="W657" s="53" t="str">
        <f t="shared" si="3"/>
        <v>Ativo</v>
      </c>
      <c r="X657" s="25" t="s">
        <v>48</v>
      </c>
      <c r="Y657" s="54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5"/>
      <c r="AR657" s="55"/>
      <c r="AS657" s="55">
        <v>397692.95</v>
      </c>
      <c r="AT657" s="55">
        <f t="array" ref="AT657">XLOOKUP(C657,'PL TOTAL D0'!A:A,'PL TOTAL D0'!C:C,"")</f>
        <v>439584.4</v>
      </c>
    </row>
    <row r="658" ht="15.75" customHeight="1">
      <c r="A658" s="44" t="s">
        <v>36</v>
      </c>
      <c r="B658" s="45" t="s">
        <v>2194</v>
      </c>
      <c r="C658" s="46" t="s">
        <v>2195</v>
      </c>
      <c r="D658" s="47" t="s">
        <v>86</v>
      </c>
      <c r="E658" s="24" t="s">
        <v>29</v>
      </c>
      <c r="F658" s="47" t="s">
        <v>183</v>
      </c>
      <c r="G658" s="47" t="str">
        <f t="shared" si="1"/>
        <v>#N/A</v>
      </c>
      <c r="H658" s="48" t="s">
        <v>157</v>
      </c>
      <c r="I658" s="48" t="s">
        <v>24</v>
      </c>
      <c r="J658" s="47" t="str">
        <f t="shared" si="6"/>
        <v>Não</v>
      </c>
      <c r="K658" s="49">
        <v>44959.0</v>
      </c>
      <c r="L658" s="74">
        <v>45021.0</v>
      </c>
      <c r="M658" s="24" t="s">
        <v>60</v>
      </c>
      <c r="N658" s="50">
        <v>0.012</v>
      </c>
      <c r="O658" s="47" t="s">
        <v>24</v>
      </c>
      <c r="P658" s="51">
        <v>0.0</v>
      </c>
      <c r="Q658" s="75"/>
      <c r="R658" s="75"/>
      <c r="S658" s="52"/>
      <c r="T658" s="24" t="s">
        <v>89</v>
      </c>
      <c r="U658" s="25" t="s">
        <v>2196</v>
      </c>
      <c r="V658" s="9" t="s">
        <v>29</v>
      </c>
      <c r="W658" s="53" t="str">
        <f t="shared" si="3"/>
        <v>Encerrado</v>
      </c>
      <c r="X658" s="24"/>
      <c r="Y658" s="54"/>
      <c r="Z658" s="56"/>
      <c r="AA658" s="56"/>
      <c r="AB658" s="56"/>
      <c r="AC658" s="56"/>
      <c r="AD658" s="56">
        <v>50156.35</v>
      </c>
      <c r="AE658" s="56">
        <v>90779.2</v>
      </c>
      <c r="AF658" s="56">
        <v>91750.46</v>
      </c>
      <c r="AG658" s="56">
        <v>0.0</v>
      </c>
      <c r="AH658" s="56">
        <v>0.0</v>
      </c>
      <c r="AI658" s="56">
        <v>0.0</v>
      </c>
      <c r="AJ658" s="56">
        <v>0.0</v>
      </c>
      <c r="AK658" s="56">
        <v>0.0</v>
      </c>
      <c r="AL658" s="56">
        <v>0.0</v>
      </c>
      <c r="AM658" s="56">
        <v>0.0</v>
      </c>
      <c r="AN658" s="56">
        <v>0.0</v>
      </c>
      <c r="AO658" s="56">
        <v>0.0</v>
      </c>
      <c r="AP658" s="56">
        <v>0.0</v>
      </c>
      <c r="AQ658" s="55">
        <v>0.0</v>
      </c>
      <c r="AR658" s="55">
        <v>0.0</v>
      </c>
      <c r="AS658" s="55">
        <v>0.0</v>
      </c>
      <c r="AT658" s="55" t="str">
        <f t="array" ref="AT658">XLOOKUP(C658,'PL TOTAL D0'!A:A,'PL TOTAL D0'!C:C,"")</f>
        <v/>
      </c>
    </row>
    <row r="659" ht="15.75" customHeight="1">
      <c r="A659" s="44" t="s">
        <v>36</v>
      </c>
      <c r="B659" s="45" t="s">
        <v>2197</v>
      </c>
      <c r="C659" s="46" t="s">
        <v>2198</v>
      </c>
      <c r="D659" s="47" t="s">
        <v>18</v>
      </c>
      <c r="E659" s="24" t="s">
        <v>19</v>
      </c>
      <c r="F659" s="47" t="s">
        <v>201</v>
      </c>
      <c r="G659" s="47" t="str">
        <f t="shared" si="1"/>
        <v>Augusto</v>
      </c>
      <c r="H659" s="48" t="s">
        <v>88</v>
      </c>
      <c r="I659" s="48" t="s">
        <v>24</v>
      </c>
      <c r="J659" s="47" t="str">
        <f t="shared" si="6"/>
        <v>Não</v>
      </c>
      <c r="K659" s="49">
        <v>44895.0</v>
      </c>
      <c r="L659" s="24"/>
      <c r="M659" s="24" t="s">
        <v>60</v>
      </c>
      <c r="N659" s="50">
        <v>0.01</v>
      </c>
      <c r="O659" s="47" t="s">
        <v>24</v>
      </c>
      <c r="P659" s="51">
        <v>0.0</v>
      </c>
      <c r="Q659" s="106"/>
      <c r="R659" s="106"/>
      <c r="S659" s="106"/>
      <c r="T659" s="24" t="s">
        <v>89</v>
      </c>
      <c r="U659" s="25" t="s">
        <v>2199</v>
      </c>
      <c r="V659" s="9" t="s">
        <v>19</v>
      </c>
      <c r="W659" s="53" t="str">
        <f t="shared" si="3"/>
        <v>Ativo</v>
      </c>
      <c r="X659" s="24"/>
      <c r="Y659" s="54" t="s">
        <v>95</v>
      </c>
      <c r="Z659" s="56"/>
      <c r="AA659" s="56"/>
      <c r="AB659" s="56"/>
      <c r="AC659" s="56">
        <v>101023.51</v>
      </c>
      <c r="AD659" s="56">
        <v>117061.16</v>
      </c>
      <c r="AE659" s="56">
        <v>118025.41</v>
      </c>
      <c r="AF659" s="56">
        <v>119332.76</v>
      </c>
      <c r="AG659" s="56">
        <v>120271.08</v>
      </c>
      <c r="AH659" s="56">
        <v>121542.65</v>
      </c>
      <c r="AI659" s="56">
        <v>122676.85</v>
      </c>
      <c r="AJ659" s="56">
        <v>123793.05</v>
      </c>
      <c r="AK659" s="56">
        <v>125031.02</v>
      </c>
      <c r="AL659" s="56">
        <v>126098.17</v>
      </c>
      <c r="AM659" s="56">
        <v>127288.0</v>
      </c>
      <c r="AN659" s="56">
        <v>138228.18</v>
      </c>
      <c r="AO659" s="56">
        <v>139092.64</v>
      </c>
      <c r="AP659" s="56">
        <v>149727.91</v>
      </c>
      <c r="AQ659" s="55">
        <v>150850.99</v>
      </c>
      <c r="AR659" s="55">
        <v>152100.88</v>
      </c>
      <c r="AS659" s="55">
        <v>153294.17</v>
      </c>
      <c r="AT659" s="55">
        <f t="array" ref="AT659">XLOOKUP(C659,'PL TOTAL D0'!A:A,'PL TOTAL D0'!C:C,"")</f>
        <v>153961.1</v>
      </c>
    </row>
    <row r="660" ht="15.75" customHeight="1">
      <c r="A660" s="44" t="s">
        <v>36</v>
      </c>
      <c r="B660" s="177" t="s">
        <v>2200</v>
      </c>
      <c r="C660" s="178" t="s">
        <v>2201</v>
      </c>
      <c r="D660" s="47" t="s">
        <v>18</v>
      </c>
      <c r="E660" s="24" t="s">
        <v>19</v>
      </c>
      <c r="F660" s="47" t="s">
        <v>201</v>
      </c>
      <c r="G660" s="47" t="str">
        <f t="shared" si="1"/>
        <v>#N/A</v>
      </c>
      <c r="H660" s="48" t="s">
        <v>116</v>
      </c>
      <c r="I660" s="48" t="s">
        <v>130</v>
      </c>
      <c r="J660" s="47" t="str">
        <f t="shared" si="6"/>
        <v>Não</v>
      </c>
      <c r="K660" s="49">
        <v>45163.0</v>
      </c>
      <c r="L660" s="64"/>
      <c r="M660" s="24" t="s">
        <v>60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4" t="s">
        <v>89</v>
      </c>
      <c r="U660" s="25" t="s">
        <v>2202</v>
      </c>
      <c r="V660" s="9" t="s">
        <v>19</v>
      </c>
      <c r="W660" s="53" t="str">
        <f t="shared" si="3"/>
        <v>Ativo</v>
      </c>
      <c r="X660" s="24"/>
      <c r="Y660" s="54" t="s">
        <v>95</v>
      </c>
      <c r="Z660" s="56"/>
      <c r="AA660" s="56"/>
      <c r="AB660" s="56"/>
      <c r="AC660" s="56"/>
      <c r="AD660" s="56"/>
      <c r="AE660" s="56"/>
      <c r="AF660" s="56"/>
      <c r="AG660" s="56">
        <v>0.0</v>
      </c>
      <c r="AH660" s="56">
        <v>0.0</v>
      </c>
      <c r="AI660" s="56">
        <v>0.0</v>
      </c>
      <c r="AJ660" s="56">
        <v>0.0</v>
      </c>
      <c r="AK660" s="56">
        <v>0.0</v>
      </c>
      <c r="AL660" s="56">
        <v>0.0</v>
      </c>
      <c r="AM660" s="56">
        <v>0.0</v>
      </c>
      <c r="AN660" s="56">
        <v>0.0</v>
      </c>
      <c r="AO660" s="56">
        <v>0.0</v>
      </c>
      <c r="AP660" s="56">
        <v>0.0</v>
      </c>
      <c r="AQ660" s="55">
        <v>0.0</v>
      </c>
      <c r="AR660" s="55">
        <v>0.0</v>
      </c>
      <c r="AS660" s="55">
        <v>0.0</v>
      </c>
      <c r="AT660" s="55" t="str">
        <f t="array" ref="AT660">XLOOKUP(C660,'PL TOTAL D0'!A:A,'PL TOTAL D0'!C:C,"")</f>
        <v/>
      </c>
    </row>
    <row r="661" ht="15.75" customHeight="1">
      <c r="A661" s="44" t="s">
        <v>36</v>
      </c>
      <c r="B661" s="45" t="s">
        <v>2203</v>
      </c>
      <c r="C661" s="46" t="s">
        <v>2204</v>
      </c>
      <c r="D661" s="47" t="s">
        <v>18</v>
      </c>
      <c r="E661" s="24" t="s">
        <v>29</v>
      </c>
      <c r="F661" s="47" t="s">
        <v>137</v>
      </c>
      <c r="G661" s="47" t="str">
        <f t="shared" si="1"/>
        <v>Augusto</v>
      </c>
      <c r="H661" s="48" t="s">
        <v>88</v>
      </c>
      <c r="I661" s="48" t="s">
        <v>24</v>
      </c>
      <c r="J661" s="47" t="str">
        <f t="shared" si="6"/>
        <v>Não</v>
      </c>
      <c r="K661" s="49">
        <v>44986.0</v>
      </c>
      <c r="L661" s="24"/>
      <c r="M661" s="24" t="s">
        <v>60</v>
      </c>
      <c r="N661" s="50">
        <v>0.012</v>
      </c>
      <c r="O661" s="47" t="s">
        <v>24</v>
      </c>
      <c r="P661" s="51">
        <v>0.0</v>
      </c>
      <c r="Q661" s="106"/>
      <c r="R661" s="106"/>
      <c r="S661" s="106"/>
      <c r="T661" s="24" t="s">
        <v>89</v>
      </c>
      <c r="U661" s="25" t="s">
        <v>2205</v>
      </c>
      <c r="V661" s="9" t="s">
        <v>19</v>
      </c>
      <c r="W661" s="53" t="str">
        <f t="shared" si="3"/>
        <v>Ativo</v>
      </c>
      <c r="X661" s="24"/>
      <c r="Y661" s="54" t="s">
        <v>95</v>
      </c>
      <c r="Z661" s="56"/>
      <c r="AA661" s="56"/>
      <c r="AB661" s="56"/>
      <c r="AC661" s="56"/>
      <c r="AD661" s="56"/>
      <c r="AE661" s="56">
        <v>0.0</v>
      </c>
      <c r="AF661" s="56">
        <v>141660.3</v>
      </c>
      <c r="AG661" s="56">
        <v>149651.12</v>
      </c>
      <c r="AH661" s="56">
        <v>151242.98</v>
      </c>
      <c r="AI661" s="56">
        <v>152615.25</v>
      </c>
      <c r="AJ661" s="56">
        <v>154003.32</v>
      </c>
      <c r="AK661" s="56">
        <v>155535.53</v>
      </c>
      <c r="AL661" s="56">
        <v>156942.1</v>
      </c>
      <c r="AM661" s="56">
        <v>158432.58</v>
      </c>
      <c r="AN661" s="56">
        <v>159543.84</v>
      </c>
      <c r="AO661" s="56">
        <v>160836.33</v>
      </c>
      <c r="AP661" s="56">
        <v>162179.09</v>
      </c>
      <c r="AQ661" s="55">
        <v>163215.8</v>
      </c>
      <c r="AR661" s="55">
        <v>164501.49</v>
      </c>
      <c r="AS661" s="55">
        <v>165735.37</v>
      </c>
      <c r="AT661" s="55">
        <f t="array" ref="AT661">XLOOKUP(C661,'PL TOTAL D0'!A:A,'PL TOTAL D0'!C:C,"")</f>
        <v>166307.7</v>
      </c>
    </row>
    <row r="662" ht="15.75" customHeight="1">
      <c r="A662" s="44" t="s">
        <v>36</v>
      </c>
      <c r="B662" s="45" t="s">
        <v>87</v>
      </c>
      <c r="C662" s="46" t="s">
        <v>2206</v>
      </c>
      <c r="D662" s="47" t="s">
        <v>86</v>
      </c>
      <c r="E662" s="24" t="s">
        <v>29</v>
      </c>
      <c r="F662" s="47" t="s">
        <v>87</v>
      </c>
      <c r="G662" s="47" t="str">
        <f t="shared" si="1"/>
        <v>Augusto</v>
      </c>
      <c r="H662" s="48" t="s">
        <v>88</v>
      </c>
      <c r="I662" s="48" t="s">
        <v>24</v>
      </c>
      <c r="J662" s="47" t="str">
        <f t="shared" si="6"/>
        <v>Não</v>
      </c>
      <c r="K662" s="64">
        <v>45140.0</v>
      </c>
      <c r="L662" s="24"/>
      <c r="M662" s="47" t="s">
        <v>111</v>
      </c>
      <c r="N662" s="50">
        <v>0.007</v>
      </c>
      <c r="O662" s="47" t="s">
        <v>24</v>
      </c>
      <c r="P662" s="51">
        <v>0.0</v>
      </c>
      <c r="Q662" s="75"/>
      <c r="R662" s="75"/>
      <c r="S662" s="75"/>
      <c r="T662" s="24" t="s">
        <v>89</v>
      </c>
      <c r="U662" s="25" t="s">
        <v>2207</v>
      </c>
      <c r="V662" s="241" t="s">
        <v>29</v>
      </c>
      <c r="W662" s="53" t="str">
        <f t="shared" si="3"/>
        <v>Ativo</v>
      </c>
      <c r="X662" s="24"/>
      <c r="Y662" s="54" t="s">
        <v>95</v>
      </c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>
        <v>157315.27</v>
      </c>
      <c r="AL662" s="56">
        <v>151570.12</v>
      </c>
      <c r="AM662" s="56">
        <v>151948.12</v>
      </c>
      <c r="AN662" s="56">
        <v>195432.93</v>
      </c>
      <c r="AO662" s="56">
        <v>198872.24</v>
      </c>
      <c r="AP662" s="56">
        <v>261540.82</v>
      </c>
      <c r="AQ662" s="55">
        <v>264194.52</v>
      </c>
      <c r="AR662" s="55">
        <v>267336.43</v>
      </c>
      <c r="AS662" s="55">
        <v>265366.63</v>
      </c>
      <c r="AT662" s="55">
        <f t="array" ref="AT662">XLOOKUP(C662,'PL TOTAL D0'!A:A,'PL TOTAL D0'!C:C,"")</f>
        <v>267742.1</v>
      </c>
    </row>
    <row r="663" ht="15.75" customHeight="1">
      <c r="A663" s="44" t="s">
        <v>36</v>
      </c>
      <c r="B663" s="225" t="s">
        <v>2208</v>
      </c>
      <c r="C663" s="46" t="s">
        <v>2209</v>
      </c>
      <c r="D663" s="47" t="s">
        <v>86</v>
      </c>
      <c r="E663" s="24" t="s">
        <v>29</v>
      </c>
      <c r="F663" s="47" t="s">
        <v>190</v>
      </c>
      <c r="G663" s="47" t="str">
        <f t="shared" si="1"/>
        <v>Breno</v>
      </c>
      <c r="H663" s="48" t="s">
        <v>88</v>
      </c>
      <c r="I663" s="48" t="s">
        <v>24</v>
      </c>
      <c r="J663" s="47" t="str">
        <f t="shared" si="6"/>
        <v>Não</v>
      </c>
      <c r="K663" s="49">
        <v>45042.0</v>
      </c>
      <c r="L663" s="242"/>
      <c r="M663" s="47" t="s">
        <v>243</v>
      </c>
      <c r="N663" s="50">
        <v>0.02</v>
      </c>
      <c r="O663" s="47" t="s">
        <v>46</v>
      </c>
      <c r="P663" s="51">
        <v>0.2</v>
      </c>
      <c r="Q663" s="52"/>
      <c r="R663" s="52"/>
      <c r="S663" s="52"/>
      <c r="T663" s="24" t="s">
        <v>89</v>
      </c>
      <c r="U663" s="25" t="s">
        <v>2210</v>
      </c>
      <c r="V663" s="9" t="s">
        <v>29</v>
      </c>
      <c r="W663" s="53" t="str">
        <f t="shared" si="3"/>
        <v>Ativo</v>
      </c>
      <c r="X663" s="25" t="s">
        <v>48</v>
      </c>
      <c r="Y663" s="54" t="s">
        <v>91</v>
      </c>
      <c r="Z663" s="56"/>
      <c r="AA663" s="56"/>
      <c r="AB663" s="56"/>
      <c r="AC663" s="56"/>
      <c r="AD663" s="56"/>
      <c r="AE663" s="56"/>
      <c r="AF663" s="56">
        <v>0.0</v>
      </c>
      <c r="AG663" s="56">
        <v>616485.77</v>
      </c>
      <c r="AH663" s="56">
        <v>628636.38</v>
      </c>
      <c r="AI663" s="56">
        <v>645478.28</v>
      </c>
      <c r="AJ663" s="56">
        <v>661276.45</v>
      </c>
      <c r="AK663" s="56">
        <v>648264.32</v>
      </c>
      <c r="AL663" s="56">
        <v>648027.67</v>
      </c>
      <c r="AM663" s="56">
        <v>638633.82</v>
      </c>
      <c r="AN663" s="56">
        <v>660375.26</v>
      </c>
      <c r="AO663" s="56">
        <v>679276.41</v>
      </c>
      <c r="AP663" s="56">
        <v>657821.24</v>
      </c>
      <c r="AQ663" s="55">
        <v>663047.43</v>
      </c>
      <c r="AR663" s="55">
        <v>668407.4</v>
      </c>
      <c r="AS663" s="55">
        <v>651517.16</v>
      </c>
      <c r="AT663" s="55">
        <f t="array" ref="AT663">XLOOKUP(C663,'PL TOTAL D0'!A:A,'PL TOTAL D0'!C:C,"")</f>
        <v>658752.5</v>
      </c>
    </row>
    <row r="664" ht="15.75" customHeight="1">
      <c r="A664" s="44" t="s">
        <v>36</v>
      </c>
      <c r="B664" s="66" t="s">
        <v>2211</v>
      </c>
      <c r="C664" s="67" t="s">
        <v>2212</v>
      </c>
      <c r="D664" s="9" t="s">
        <v>86</v>
      </c>
      <c r="E664" s="25" t="s">
        <v>29</v>
      </c>
      <c r="F664" s="47" t="s">
        <v>190</v>
      </c>
      <c r="G664" s="47" t="str">
        <f t="shared" si="1"/>
        <v>Bruno</v>
      </c>
      <c r="H664" s="53" t="s">
        <v>88</v>
      </c>
      <c r="I664" s="53" t="s">
        <v>24</v>
      </c>
      <c r="J664" s="47" t="str">
        <f t="shared" si="6"/>
        <v>Sim</v>
      </c>
      <c r="K664" s="59">
        <v>45419.0</v>
      </c>
      <c r="L664" s="242"/>
      <c r="M664" s="9" t="s">
        <v>45</v>
      </c>
      <c r="N664" s="60">
        <v>0.014</v>
      </c>
      <c r="O664" s="9" t="s">
        <v>46</v>
      </c>
      <c r="P664" s="61">
        <v>0.1</v>
      </c>
      <c r="Q664" s="15" t="s">
        <v>2213</v>
      </c>
      <c r="R664" s="52"/>
      <c r="S664" s="52"/>
      <c r="T664" s="25" t="s">
        <v>89</v>
      </c>
      <c r="U664" s="25" t="s">
        <v>2210</v>
      </c>
      <c r="V664" s="9" t="s">
        <v>29</v>
      </c>
      <c r="W664" s="53" t="str">
        <f t="shared" si="3"/>
        <v>Ativo</v>
      </c>
      <c r="X664" s="25" t="s">
        <v>48</v>
      </c>
      <c r="Y664" s="54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5"/>
      <c r="AR664" s="55"/>
      <c r="AS664" s="55"/>
      <c r="AT664" s="55">
        <f t="array" ref="AT664">XLOOKUP(C664,'PL TOTAL D0'!A:A,'PL TOTAL D0'!C:C,"")</f>
        <v>3739187</v>
      </c>
    </row>
    <row r="665" ht="15.75" customHeight="1">
      <c r="A665" s="44" t="s">
        <v>36</v>
      </c>
      <c r="B665" s="45" t="s">
        <v>2214</v>
      </c>
      <c r="C665" s="46" t="s">
        <v>2215</v>
      </c>
      <c r="D665" s="47" t="s">
        <v>86</v>
      </c>
      <c r="E665" s="24" t="s">
        <v>29</v>
      </c>
      <c r="F665" s="47" t="s">
        <v>190</v>
      </c>
      <c r="G665" s="47" t="str">
        <f t="shared" si="1"/>
        <v>#N/A</v>
      </c>
      <c r="H665" s="48" t="s">
        <v>157</v>
      </c>
      <c r="I665" s="48" t="s">
        <v>24</v>
      </c>
      <c r="J665" s="47" t="str">
        <f t="shared" si="6"/>
        <v>Não</v>
      </c>
      <c r="K665" s="49">
        <v>44874.0</v>
      </c>
      <c r="L665" s="24"/>
      <c r="M665" s="24" t="s">
        <v>166</v>
      </c>
      <c r="N665" s="50">
        <v>0.008</v>
      </c>
      <c r="O665" s="47" t="s">
        <v>24</v>
      </c>
      <c r="P665" s="51">
        <v>0.0</v>
      </c>
      <c r="Q665" s="75"/>
      <c r="R665" s="75"/>
      <c r="S665" s="52" t="s">
        <v>2216</v>
      </c>
      <c r="T665" s="24" t="s">
        <v>89</v>
      </c>
      <c r="U665" s="25" t="s">
        <v>2217</v>
      </c>
      <c r="V665" s="9" t="s">
        <v>29</v>
      </c>
      <c r="W665" s="53" t="str">
        <f t="shared" si="3"/>
        <v>Encerrado</v>
      </c>
      <c r="X665" s="24"/>
      <c r="Y665" s="54"/>
      <c r="Z665" s="56"/>
      <c r="AA665" s="56"/>
      <c r="AB665" s="56"/>
      <c r="AC665" s="56">
        <v>673366.33</v>
      </c>
      <c r="AD665" s="56">
        <v>663854.43</v>
      </c>
      <c r="AE665" s="56">
        <v>648209.98</v>
      </c>
      <c r="AF665" s="56">
        <v>639901.8</v>
      </c>
      <c r="AG665" s="56">
        <v>640706.5</v>
      </c>
      <c r="AH665" s="56">
        <v>667808.17</v>
      </c>
      <c r="AI665" s="56">
        <v>0.0</v>
      </c>
      <c r="AJ665" s="56">
        <v>0.0</v>
      </c>
      <c r="AK665" s="56">
        <v>0.0</v>
      </c>
      <c r="AL665" s="56">
        <v>0.0</v>
      </c>
      <c r="AM665" s="56">
        <v>0.0</v>
      </c>
      <c r="AN665" s="56">
        <v>0.0</v>
      </c>
      <c r="AO665" s="56">
        <v>0.0</v>
      </c>
      <c r="AP665" s="56">
        <v>0.0</v>
      </c>
      <c r="AQ665" s="55">
        <v>0.0</v>
      </c>
      <c r="AR665" s="55">
        <v>0.0</v>
      </c>
      <c r="AS665" s="55">
        <v>0.0</v>
      </c>
      <c r="AT665" s="55" t="str">
        <f t="array" ref="AT665">XLOOKUP(C665,'PL TOTAL D0'!A:A,'PL TOTAL D0'!C:C,"")</f>
        <v/>
      </c>
    </row>
    <row r="666" ht="15.75" customHeight="1">
      <c r="A666" s="44" t="s">
        <v>36</v>
      </c>
      <c r="B666" s="225" t="s">
        <v>2218</v>
      </c>
      <c r="C666" s="46" t="s">
        <v>2219</v>
      </c>
      <c r="D666" s="47" t="s">
        <v>18</v>
      </c>
      <c r="E666" s="24" t="s">
        <v>29</v>
      </c>
      <c r="F666" s="47" t="s">
        <v>110</v>
      </c>
      <c r="G666" s="47" t="str">
        <f t="shared" si="1"/>
        <v>Augusto</v>
      </c>
      <c r="H666" s="53" t="s">
        <v>116</v>
      </c>
      <c r="I666" s="53" t="s">
        <v>161</v>
      </c>
      <c r="J666" s="47" t="str">
        <f t="shared" si="6"/>
        <v>Não</v>
      </c>
      <c r="K666" s="49">
        <v>44879.0</v>
      </c>
      <c r="L666" s="242"/>
      <c r="M666" s="47" t="s">
        <v>111</v>
      </c>
      <c r="N666" s="50">
        <v>0.0</v>
      </c>
      <c r="O666" s="47" t="s">
        <v>24</v>
      </c>
      <c r="P666" s="51">
        <v>0.0</v>
      </c>
      <c r="Q666" s="52"/>
      <c r="R666" s="52"/>
      <c r="S666" s="62" t="s">
        <v>2220</v>
      </c>
      <c r="T666" s="24" t="s">
        <v>89</v>
      </c>
      <c r="U666" s="25" t="s">
        <v>2221</v>
      </c>
      <c r="V666" s="9" t="s">
        <v>29</v>
      </c>
      <c r="W666" s="53" t="str">
        <f t="shared" si="3"/>
        <v>Ativo</v>
      </c>
      <c r="X666" s="24"/>
      <c r="Y666" s="54" t="s">
        <v>95</v>
      </c>
      <c r="Z666" s="56"/>
      <c r="AA666" s="56"/>
      <c r="AB666" s="56"/>
      <c r="AC666" s="56">
        <v>119680.47</v>
      </c>
      <c r="AD666" s="56">
        <v>102763.73</v>
      </c>
      <c r="AE666" s="56">
        <v>97885.87</v>
      </c>
      <c r="AF666" s="56">
        <v>98175.52</v>
      </c>
      <c r="AG666" s="56">
        <v>102305.34</v>
      </c>
      <c r="AH666" s="56">
        <v>87335.75</v>
      </c>
      <c r="AI666" s="56">
        <v>83184.68</v>
      </c>
      <c r="AJ666" s="56">
        <v>85646.08</v>
      </c>
      <c r="AK666" s="56">
        <v>85868.25</v>
      </c>
      <c r="AL666" s="56">
        <v>8182.97</v>
      </c>
      <c r="AM666" s="56">
        <v>8255.62</v>
      </c>
      <c r="AN666" s="56">
        <v>37.12</v>
      </c>
      <c r="AO666" s="56">
        <v>2750.49</v>
      </c>
      <c r="AP666" s="56">
        <v>18.32</v>
      </c>
      <c r="AQ666" s="55">
        <v>3294.62</v>
      </c>
      <c r="AR666" s="55">
        <v>3322.39</v>
      </c>
      <c r="AS666" s="55">
        <v>18.32</v>
      </c>
      <c r="AT666" s="55">
        <f t="array" ref="AT666">XLOOKUP(C666,'PL TOTAL D0'!A:A,'PL TOTAL D0'!C:C,"")</f>
        <v>1520.1</v>
      </c>
    </row>
    <row r="667" ht="15.75" customHeight="1">
      <c r="A667" s="44" t="s">
        <v>36</v>
      </c>
      <c r="B667" s="68" t="s">
        <v>2222</v>
      </c>
      <c r="C667" s="73" t="s">
        <v>2223</v>
      </c>
      <c r="D667" s="47" t="s">
        <v>86</v>
      </c>
      <c r="E667" s="24" t="s">
        <v>29</v>
      </c>
      <c r="F667" s="47" t="s">
        <v>87</v>
      </c>
      <c r="G667" s="47" t="str">
        <f t="shared" si="1"/>
        <v>Augusto</v>
      </c>
      <c r="H667" s="48" t="s">
        <v>88</v>
      </c>
      <c r="I667" s="48" t="s">
        <v>24</v>
      </c>
      <c r="J667" s="47" t="str">
        <f t="shared" si="6"/>
        <v>Não</v>
      </c>
      <c r="K667" s="49">
        <v>45230.0</v>
      </c>
      <c r="L667" s="242"/>
      <c r="M667" s="47" t="s">
        <v>45</v>
      </c>
      <c r="N667" s="50">
        <v>0.012</v>
      </c>
      <c r="O667" s="47" t="s">
        <v>46</v>
      </c>
      <c r="P667" s="51">
        <v>0.1</v>
      </c>
      <c r="Q667" s="52"/>
      <c r="R667" s="52"/>
      <c r="S667" s="52"/>
      <c r="T667" s="24" t="s">
        <v>89</v>
      </c>
      <c r="U667" s="25" t="s">
        <v>2224</v>
      </c>
      <c r="V667" s="9" t="s">
        <v>29</v>
      </c>
      <c r="W667" s="53" t="str">
        <f t="shared" si="3"/>
        <v>Ativo</v>
      </c>
      <c r="X667" s="24"/>
      <c r="Y667" s="54" t="s">
        <v>95</v>
      </c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>
        <v>0.0</v>
      </c>
      <c r="AN667" s="56">
        <v>17527.81</v>
      </c>
      <c r="AO667" s="56">
        <v>67908.85</v>
      </c>
      <c r="AP667" s="56">
        <v>67865.26</v>
      </c>
      <c r="AQ667" s="55">
        <v>68473.85</v>
      </c>
      <c r="AR667" s="55">
        <v>67105.66</v>
      </c>
      <c r="AS667" s="55">
        <v>100413.4</v>
      </c>
      <c r="AT667" s="55">
        <f t="array" ref="AT667">XLOOKUP(C667,'PL TOTAL D0'!A:A,'PL TOTAL D0'!C:C,"")</f>
        <v>101028.5</v>
      </c>
    </row>
    <row r="668" ht="15.75" customHeight="1">
      <c r="A668" s="44" t="s">
        <v>36</v>
      </c>
      <c r="B668" s="111" t="s">
        <v>2225</v>
      </c>
      <c r="C668" s="243" t="s">
        <v>2226</v>
      </c>
      <c r="D668" s="47" t="s">
        <v>18</v>
      </c>
      <c r="E668" s="24" t="s">
        <v>29</v>
      </c>
      <c r="F668" s="47" t="s">
        <v>58</v>
      </c>
      <c r="G668" s="47" t="str">
        <f t="shared" si="1"/>
        <v>Breno</v>
      </c>
      <c r="H668" s="48" t="s">
        <v>88</v>
      </c>
      <c r="I668" s="48" t="s">
        <v>24</v>
      </c>
      <c r="J668" s="47" t="str">
        <f t="shared" si="6"/>
        <v>Não</v>
      </c>
      <c r="K668" s="49">
        <v>44973.0</v>
      </c>
      <c r="L668" s="47"/>
      <c r="M668" s="24" t="s">
        <v>162</v>
      </c>
      <c r="N668" s="50">
        <v>0.025</v>
      </c>
      <c r="O668" s="47" t="s">
        <v>163</v>
      </c>
      <c r="P668" s="51">
        <v>0.2</v>
      </c>
      <c r="Q668" s="52"/>
      <c r="R668" s="52"/>
      <c r="S668" s="52"/>
      <c r="T668" s="24" t="s">
        <v>89</v>
      </c>
      <c r="U668" s="58" t="s">
        <v>2227</v>
      </c>
      <c r="V668" s="9" t="s">
        <v>29</v>
      </c>
      <c r="W668" s="53" t="str">
        <f t="shared" si="3"/>
        <v>Ativo</v>
      </c>
      <c r="X668" s="24"/>
      <c r="Y668" s="54" t="s">
        <v>95</v>
      </c>
      <c r="Z668" s="56"/>
      <c r="AA668" s="56"/>
      <c r="AB668" s="56"/>
      <c r="AC668" s="56"/>
      <c r="AD668" s="56">
        <v>0.0</v>
      </c>
      <c r="AE668" s="56">
        <v>0.0</v>
      </c>
      <c r="AF668" s="56">
        <v>452250.65</v>
      </c>
      <c r="AG668" s="56">
        <v>448793.99</v>
      </c>
      <c r="AH668" s="56">
        <v>468483.92</v>
      </c>
      <c r="AI668" s="56">
        <v>507653.15</v>
      </c>
      <c r="AJ668" s="56">
        <v>534109.97</v>
      </c>
      <c r="AK668" s="56">
        <v>510876.26</v>
      </c>
      <c r="AL668" s="56">
        <v>509020.56</v>
      </c>
      <c r="AM668" s="56">
        <v>455605.43</v>
      </c>
      <c r="AN668" s="56">
        <v>489699.46</v>
      </c>
      <c r="AO668" s="56">
        <v>513079.42</v>
      </c>
      <c r="AP668" s="56">
        <v>477677.57</v>
      </c>
      <c r="AQ668" s="55">
        <v>484364.28</v>
      </c>
      <c r="AR668" s="55">
        <v>493164.06</v>
      </c>
      <c r="AS668" s="55">
        <v>473624.31</v>
      </c>
      <c r="AT668" s="55">
        <f t="array" ref="AT668">XLOOKUP(C668,'PL TOTAL D0'!A:A,'PL TOTAL D0'!C:C,"")</f>
        <v>481998.8</v>
      </c>
    </row>
    <row r="669" ht="15.75" customHeight="1">
      <c r="A669" s="44" t="s">
        <v>36</v>
      </c>
      <c r="B669" s="225" t="s">
        <v>2228</v>
      </c>
      <c r="C669" s="243" t="s">
        <v>2229</v>
      </c>
      <c r="D669" s="47" t="s">
        <v>18</v>
      </c>
      <c r="E669" s="24" t="s">
        <v>19</v>
      </c>
      <c r="F669" s="47" t="s">
        <v>201</v>
      </c>
      <c r="G669" s="47" t="str">
        <f t="shared" si="1"/>
        <v>Augusto</v>
      </c>
      <c r="H669" s="48" t="s">
        <v>88</v>
      </c>
      <c r="I669" s="48" t="s">
        <v>24</v>
      </c>
      <c r="J669" s="47" t="str">
        <f t="shared" si="6"/>
        <v>Não</v>
      </c>
      <c r="K669" s="49">
        <v>44999.0</v>
      </c>
      <c r="L669" s="47"/>
      <c r="M669" s="24" t="s">
        <v>60</v>
      </c>
      <c r="N669" s="50">
        <v>0.01</v>
      </c>
      <c r="O669" s="47" t="s">
        <v>24</v>
      </c>
      <c r="P669" s="51">
        <v>0.0</v>
      </c>
      <c r="Q669" s="52"/>
      <c r="R669" s="52"/>
      <c r="S669" s="52"/>
      <c r="T669" s="24" t="s">
        <v>89</v>
      </c>
      <c r="U669" s="25" t="s">
        <v>2230</v>
      </c>
      <c r="V669" s="9" t="s">
        <v>121</v>
      </c>
      <c r="W669" s="53" t="str">
        <f t="shared" si="3"/>
        <v>Ativo</v>
      </c>
      <c r="X669" s="24"/>
      <c r="Y669" s="54" t="s">
        <v>95</v>
      </c>
      <c r="Z669" s="56"/>
      <c r="AA669" s="56"/>
      <c r="AB669" s="56"/>
      <c r="AC669" s="56"/>
      <c r="AD669" s="56">
        <v>0.0</v>
      </c>
      <c r="AE669" s="56">
        <v>0.0</v>
      </c>
      <c r="AF669" s="56">
        <v>62447.48</v>
      </c>
      <c r="AG669" s="56">
        <v>62942.91</v>
      </c>
      <c r="AH669" s="56">
        <v>63991.85</v>
      </c>
      <c r="AI669" s="56">
        <v>64634.52</v>
      </c>
      <c r="AJ669" s="56">
        <v>80567.8</v>
      </c>
      <c r="AK669" s="56">
        <v>105473.89</v>
      </c>
      <c r="AL669" s="56">
        <v>110320.0</v>
      </c>
      <c r="AM669" s="56">
        <v>111815.67</v>
      </c>
      <c r="AN669" s="56">
        <v>77587.7</v>
      </c>
      <c r="AO669" s="56">
        <v>116259.59</v>
      </c>
      <c r="AP669" s="56">
        <v>118070.07</v>
      </c>
      <c r="AQ669" s="55">
        <v>107765.73</v>
      </c>
      <c r="AR669" s="55">
        <v>103594.28</v>
      </c>
      <c r="AS669" s="55">
        <v>59743.94</v>
      </c>
      <c r="AT669" s="55">
        <f t="array" ref="AT669">XLOOKUP(C669,'PL TOTAL D0'!A:A,'PL TOTAL D0'!C:C,"")</f>
        <v>59844.33</v>
      </c>
    </row>
    <row r="670" ht="15.75" customHeight="1">
      <c r="A670" s="44" t="s">
        <v>36</v>
      </c>
      <c r="B670" s="225" t="s">
        <v>2231</v>
      </c>
      <c r="C670" s="243" t="s">
        <v>2232</v>
      </c>
      <c r="D670" s="47" t="s">
        <v>86</v>
      </c>
      <c r="E670" s="24" t="s">
        <v>29</v>
      </c>
      <c r="F670" s="47" t="s">
        <v>1503</v>
      </c>
      <c r="G670" s="47" t="str">
        <f t="shared" si="1"/>
        <v>Augusto</v>
      </c>
      <c r="H670" s="48" t="s">
        <v>88</v>
      </c>
      <c r="I670" s="48" t="s">
        <v>24</v>
      </c>
      <c r="J670" s="47" t="str">
        <f t="shared" si="6"/>
        <v>Não</v>
      </c>
      <c r="K670" s="49">
        <v>44973.0</v>
      </c>
      <c r="L670" s="47"/>
      <c r="M670" s="24" t="s">
        <v>166</v>
      </c>
      <c r="N670" s="116">
        <v>0.008</v>
      </c>
      <c r="O670" s="24" t="s">
        <v>167</v>
      </c>
      <c r="P670" s="117">
        <v>0.1</v>
      </c>
      <c r="Q670" s="52"/>
      <c r="R670" s="52"/>
      <c r="S670" s="52"/>
      <c r="T670" s="24" t="s">
        <v>89</v>
      </c>
      <c r="U670" s="25" t="s">
        <v>2233</v>
      </c>
      <c r="V670" s="9" t="s">
        <v>29</v>
      </c>
      <c r="W670" s="53" t="str">
        <f t="shared" si="3"/>
        <v>Ativo</v>
      </c>
      <c r="X670" s="24"/>
      <c r="Y670" s="54" t="s">
        <v>91</v>
      </c>
      <c r="Z670" s="56"/>
      <c r="AA670" s="56"/>
      <c r="AB670" s="56"/>
      <c r="AC670" s="56"/>
      <c r="AD670" s="56">
        <v>0.0</v>
      </c>
      <c r="AE670" s="56">
        <v>0.0</v>
      </c>
      <c r="AF670" s="56">
        <v>0.0</v>
      </c>
      <c r="AG670" s="56">
        <v>289978.59</v>
      </c>
      <c r="AH670" s="56">
        <v>306493.43</v>
      </c>
      <c r="AI670" s="56">
        <v>328944.06</v>
      </c>
      <c r="AJ670" s="56">
        <v>341722.93</v>
      </c>
      <c r="AK670" s="56">
        <v>348232.2</v>
      </c>
      <c r="AL670" s="56">
        <v>353899.78</v>
      </c>
      <c r="AM670" s="56">
        <v>350742.28</v>
      </c>
      <c r="AN670" s="56">
        <v>357997.75</v>
      </c>
      <c r="AO670" s="56">
        <v>366779.82</v>
      </c>
      <c r="AP670" s="56">
        <v>366822.72</v>
      </c>
      <c r="AQ670" s="55">
        <v>374204.45</v>
      </c>
      <c r="AR670" s="55">
        <v>377147.44</v>
      </c>
      <c r="AS670" s="55">
        <v>372068.96</v>
      </c>
      <c r="AT670" s="55">
        <f t="array" ref="AT670">XLOOKUP(C670,'PL TOTAL D0'!A:A,'PL TOTAL D0'!C:C,"")</f>
        <v>370886.2</v>
      </c>
    </row>
    <row r="671" ht="15.75" customHeight="1">
      <c r="A671" s="44" t="s">
        <v>36</v>
      </c>
      <c r="B671" s="45" t="s">
        <v>2234</v>
      </c>
      <c r="C671" s="46" t="s">
        <v>2235</v>
      </c>
      <c r="D671" s="47" t="s">
        <v>18</v>
      </c>
      <c r="E671" s="24" t="s">
        <v>145</v>
      </c>
      <c r="F671" s="47" t="s">
        <v>146</v>
      </c>
      <c r="G671" s="47" t="str">
        <f t="shared" si="1"/>
        <v>Augusto</v>
      </c>
      <c r="H671" s="48" t="s">
        <v>88</v>
      </c>
      <c r="I671" s="48" t="s">
        <v>24</v>
      </c>
      <c r="J671" s="47" t="str">
        <f t="shared" si="6"/>
        <v>Não</v>
      </c>
      <c r="K671" s="49">
        <v>45096.0</v>
      </c>
      <c r="L671" s="49"/>
      <c r="M671" s="24" t="s">
        <v>60</v>
      </c>
      <c r="N671" s="116">
        <v>0.012</v>
      </c>
      <c r="O671" s="47" t="s">
        <v>24</v>
      </c>
      <c r="P671" s="51">
        <v>0.0</v>
      </c>
      <c r="Q671" s="52"/>
      <c r="R671" s="52"/>
      <c r="S671" s="52"/>
      <c r="T671" s="24" t="s">
        <v>89</v>
      </c>
      <c r="U671" s="25" t="s">
        <v>2236</v>
      </c>
      <c r="V671" s="9" t="s">
        <v>149</v>
      </c>
      <c r="W671" s="53" t="str">
        <f t="shared" si="3"/>
        <v>Ativo</v>
      </c>
      <c r="X671" s="24"/>
      <c r="Y671" s="54" t="s">
        <v>95</v>
      </c>
      <c r="Z671" s="56"/>
      <c r="AA671" s="56"/>
      <c r="AB671" s="56"/>
      <c r="AC671" s="56"/>
      <c r="AD671" s="56"/>
      <c r="AE671" s="56"/>
      <c r="AF671" s="56"/>
      <c r="AG671" s="56">
        <v>0.0</v>
      </c>
      <c r="AH671" s="56">
        <v>98581.04</v>
      </c>
      <c r="AI671" s="56">
        <v>111588.77</v>
      </c>
      <c r="AJ671" s="56">
        <v>112674.22</v>
      </c>
      <c r="AK671" s="56">
        <v>113054.22</v>
      </c>
      <c r="AL671" s="56">
        <v>113905.94</v>
      </c>
      <c r="AM671" s="56">
        <v>114841.84</v>
      </c>
      <c r="AN671" s="56">
        <v>115658.22</v>
      </c>
      <c r="AO671" s="56">
        <v>116571.81</v>
      </c>
      <c r="AP671" s="56">
        <v>117482.91</v>
      </c>
      <c r="AQ671" s="55">
        <v>116711.03</v>
      </c>
      <c r="AR671" s="55">
        <v>115044.75</v>
      </c>
      <c r="AS671" s="55">
        <v>114847.27</v>
      </c>
      <c r="AT671" s="55">
        <f t="array" ref="AT671">XLOOKUP(C671,'PL TOTAL D0'!A:A,'PL TOTAL D0'!C:C,"")</f>
        <v>115340</v>
      </c>
    </row>
    <row r="672" ht="15.75" customHeight="1">
      <c r="A672" s="44" t="s">
        <v>36</v>
      </c>
      <c r="B672" s="45" t="s">
        <v>2237</v>
      </c>
      <c r="C672" s="46" t="s">
        <v>2238</v>
      </c>
      <c r="D672" s="47" t="s">
        <v>18</v>
      </c>
      <c r="E672" s="24" t="s">
        <v>19</v>
      </c>
      <c r="F672" s="47" t="s">
        <v>20</v>
      </c>
      <c r="G672" s="47" t="str">
        <f t="shared" si="1"/>
        <v>Breno</v>
      </c>
      <c r="H672" s="48" t="s">
        <v>88</v>
      </c>
      <c r="I672" s="48" t="s">
        <v>24</v>
      </c>
      <c r="J672" s="47" t="str">
        <f t="shared" si="6"/>
        <v>Não</v>
      </c>
      <c r="K672" s="49">
        <v>44979.0</v>
      </c>
      <c r="L672" s="24"/>
      <c r="M672" s="24" t="s">
        <v>60</v>
      </c>
      <c r="N672" s="50">
        <v>0.012</v>
      </c>
      <c r="O672" s="47" t="s">
        <v>24</v>
      </c>
      <c r="P672" s="51">
        <v>0.0</v>
      </c>
      <c r="Q672" s="106"/>
      <c r="R672" s="106"/>
      <c r="S672" s="106"/>
      <c r="T672" s="24" t="s">
        <v>89</v>
      </c>
      <c r="U672" s="25" t="s">
        <v>2239</v>
      </c>
      <c r="V672" s="9" t="s">
        <v>19</v>
      </c>
      <c r="W672" s="53" t="str">
        <f t="shared" si="3"/>
        <v>Ativo</v>
      </c>
      <c r="X672" s="24"/>
      <c r="Y672" s="54" t="s">
        <v>95</v>
      </c>
      <c r="Z672" s="56"/>
      <c r="AA672" s="56"/>
      <c r="AB672" s="56"/>
      <c r="AC672" s="56"/>
      <c r="AD672" s="56"/>
      <c r="AE672" s="56">
        <v>473873.6</v>
      </c>
      <c r="AF672" s="56">
        <v>481691.48</v>
      </c>
      <c r="AG672" s="56">
        <v>485613.74</v>
      </c>
      <c r="AH672" s="56">
        <v>493663.84</v>
      </c>
      <c r="AI672" s="56">
        <v>500079.13</v>
      </c>
      <c r="AJ672" s="56">
        <v>503634.65</v>
      </c>
      <c r="AK672" s="56">
        <v>506892.03</v>
      </c>
      <c r="AL672" s="56">
        <v>505887.98</v>
      </c>
      <c r="AM672" s="56">
        <v>509208.33</v>
      </c>
      <c r="AN672" s="56">
        <v>511261.68</v>
      </c>
      <c r="AO672" s="56">
        <v>517830.29</v>
      </c>
      <c r="AP672" s="56">
        <v>520086.43</v>
      </c>
      <c r="AQ672" s="55">
        <v>523896.73</v>
      </c>
      <c r="AR672" s="55">
        <v>525434.07</v>
      </c>
      <c r="AS672" s="55">
        <v>521989.28</v>
      </c>
      <c r="AT672" s="55">
        <f t="array" ref="AT672">XLOOKUP(C672,'PL TOTAL D0'!A:A,'PL TOTAL D0'!C:C,"")</f>
        <v>523852.4</v>
      </c>
    </row>
    <row r="673" ht="15.75" customHeight="1">
      <c r="A673" s="44" t="s">
        <v>36</v>
      </c>
      <c r="B673" s="45" t="s">
        <v>2240</v>
      </c>
      <c r="C673" s="46" t="s">
        <v>2241</v>
      </c>
      <c r="D673" s="47" t="s">
        <v>86</v>
      </c>
      <c r="E673" s="24" t="s">
        <v>29</v>
      </c>
      <c r="F673" s="47" t="s">
        <v>371</v>
      </c>
      <c r="G673" s="47" t="str">
        <f t="shared" si="1"/>
        <v>Bruno</v>
      </c>
      <c r="H673" s="48" t="s">
        <v>88</v>
      </c>
      <c r="I673" s="48" t="s">
        <v>24</v>
      </c>
      <c r="J673" s="47" t="str">
        <f t="shared" si="6"/>
        <v>Não</v>
      </c>
      <c r="K673" s="49">
        <v>45168.0</v>
      </c>
      <c r="L673" s="49"/>
      <c r="M673" s="24" t="s">
        <v>40</v>
      </c>
      <c r="N673" s="116">
        <v>0.005</v>
      </c>
      <c r="O673" s="24" t="s">
        <v>24</v>
      </c>
      <c r="P673" s="117">
        <v>0.0</v>
      </c>
      <c r="Q673" s="52"/>
      <c r="R673" s="52"/>
      <c r="S673" s="52"/>
      <c r="T673" s="24" t="s">
        <v>89</v>
      </c>
      <c r="U673" s="25" t="s">
        <v>2242</v>
      </c>
      <c r="V673" s="9" t="s">
        <v>29</v>
      </c>
      <c r="W673" s="53" t="str">
        <f t="shared" si="3"/>
        <v>Ativo</v>
      </c>
      <c r="X673" s="24"/>
      <c r="Y673" s="54" t="s">
        <v>95</v>
      </c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>
        <v>1967966.43</v>
      </c>
      <c r="AL673" s="56">
        <v>1988281.0</v>
      </c>
      <c r="AM673" s="56">
        <v>3881924.48</v>
      </c>
      <c r="AN673" s="56">
        <v>3904486.3</v>
      </c>
      <c r="AO673" s="56">
        <v>3938265.36</v>
      </c>
      <c r="AP673" s="56">
        <v>3974332.28</v>
      </c>
      <c r="AQ673" s="55">
        <v>4004896.65</v>
      </c>
      <c r="AR673" s="55">
        <v>4039125.48</v>
      </c>
      <c r="AS673" s="55">
        <v>4073871.85</v>
      </c>
      <c r="AT673" s="55">
        <f t="array" ref="AT673">XLOOKUP(C673,'PL TOTAL D0'!A:A,'PL TOTAL D0'!C:C,"")</f>
        <v>4093326</v>
      </c>
    </row>
    <row r="674" ht="15.75" customHeight="1">
      <c r="A674" s="44" t="s">
        <v>36</v>
      </c>
      <c r="B674" s="225" t="s">
        <v>2243</v>
      </c>
      <c r="C674" s="243" t="s">
        <v>2244</v>
      </c>
      <c r="D674" s="47" t="s">
        <v>18</v>
      </c>
      <c r="E674" s="24" t="s">
        <v>29</v>
      </c>
      <c r="F674" s="47" t="s">
        <v>110</v>
      </c>
      <c r="G674" s="47" t="str">
        <f t="shared" si="1"/>
        <v>#N/A</v>
      </c>
      <c r="H674" s="48" t="s">
        <v>116</v>
      </c>
      <c r="I674" s="48" t="s">
        <v>161</v>
      </c>
      <c r="J674" s="47" t="str">
        <f t="shared" si="6"/>
        <v>Não</v>
      </c>
      <c r="K674" s="49">
        <v>45163.0</v>
      </c>
      <c r="L674" s="49"/>
      <c r="M674" s="24" t="s">
        <v>54</v>
      </c>
      <c r="N674" s="116">
        <v>0.005</v>
      </c>
      <c r="O674" s="24" t="s">
        <v>24</v>
      </c>
      <c r="P674" s="117">
        <v>0.0</v>
      </c>
      <c r="Q674" s="52"/>
      <c r="R674" s="52"/>
      <c r="S674" s="176" t="s">
        <v>2245</v>
      </c>
      <c r="T674" s="24" t="s">
        <v>329</v>
      </c>
      <c r="U674" s="25" t="s">
        <v>2246</v>
      </c>
      <c r="V674" s="9" t="s">
        <v>29</v>
      </c>
      <c r="W674" s="53" t="str">
        <f t="shared" si="3"/>
        <v>Inativo</v>
      </c>
      <c r="X674" s="24"/>
      <c r="Y674" s="54" t="s">
        <v>1151</v>
      </c>
      <c r="Z674" s="56"/>
      <c r="AA674" s="56"/>
      <c r="AB674" s="56"/>
      <c r="AC674" s="56"/>
      <c r="AD674" s="56">
        <v>0.0</v>
      </c>
      <c r="AE674" s="56">
        <v>0.0</v>
      </c>
      <c r="AF674" s="56">
        <v>0.0</v>
      </c>
      <c r="AG674" s="56">
        <v>0.0</v>
      </c>
      <c r="AH674" s="56">
        <v>0.0</v>
      </c>
      <c r="AI674" s="56">
        <v>0.0</v>
      </c>
      <c r="AJ674" s="56">
        <v>0.0</v>
      </c>
      <c r="AK674" s="56">
        <v>0.0</v>
      </c>
      <c r="AL674" s="56">
        <v>0.0</v>
      </c>
      <c r="AM674" s="56">
        <v>0.0</v>
      </c>
      <c r="AN674" s="56">
        <v>0.0</v>
      </c>
      <c r="AO674" s="56">
        <v>0.0</v>
      </c>
      <c r="AP674" s="56">
        <v>0.0</v>
      </c>
      <c r="AQ674" s="55">
        <v>0.0</v>
      </c>
      <c r="AR674" s="55">
        <v>0.0</v>
      </c>
      <c r="AS674" s="55">
        <v>0.0</v>
      </c>
      <c r="AT674" s="55" t="str">
        <f t="array" ref="AT674">XLOOKUP(C674,'PL TOTAL D0'!A:A,'PL TOTAL D0'!C:C,"")</f>
        <v/>
      </c>
    </row>
    <row r="675" ht="15.75" customHeight="1">
      <c r="A675" s="44" t="s">
        <v>36</v>
      </c>
      <c r="B675" s="45" t="s">
        <v>2247</v>
      </c>
      <c r="C675" s="46" t="s">
        <v>2248</v>
      </c>
      <c r="D675" s="47" t="s">
        <v>822</v>
      </c>
      <c r="E675" s="24" t="s">
        <v>19</v>
      </c>
      <c r="F675" s="47" t="s">
        <v>823</v>
      </c>
      <c r="G675" s="47" t="str">
        <f t="shared" si="1"/>
        <v>Breno</v>
      </c>
      <c r="H675" s="48" t="s">
        <v>88</v>
      </c>
      <c r="I675" s="48" t="s">
        <v>24</v>
      </c>
      <c r="J675" s="47" t="str">
        <f t="shared" si="6"/>
        <v>Não</v>
      </c>
      <c r="K675" s="49">
        <v>45252.0</v>
      </c>
      <c r="L675" s="49"/>
      <c r="M675" s="24" t="s">
        <v>60</v>
      </c>
      <c r="N675" s="116">
        <v>0.01</v>
      </c>
      <c r="O675" s="24" t="s">
        <v>24</v>
      </c>
      <c r="P675" s="117">
        <v>0.0</v>
      </c>
      <c r="Q675" s="52"/>
      <c r="R675" s="52"/>
      <c r="S675" s="244"/>
      <c r="T675" s="24" t="s">
        <v>89</v>
      </c>
      <c r="U675" s="25" t="s">
        <v>2249</v>
      </c>
      <c r="V675" s="9" t="s">
        <v>19</v>
      </c>
      <c r="W675" s="53" t="str">
        <f t="shared" si="3"/>
        <v>Ativo</v>
      </c>
      <c r="X675" s="24"/>
      <c r="Y675" s="54" t="s">
        <v>95</v>
      </c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>
        <v>480118.49</v>
      </c>
      <c r="AO675" s="56">
        <v>483878.05</v>
      </c>
      <c r="AP675" s="56">
        <v>487891.47</v>
      </c>
      <c r="AQ675" s="55">
        <v>491356.64</v>
      </c>
      <c r="AR675" s="55">
        <v>494699.39</v>
      </c>
      <c r="AS675" s="55">
        <v>497748.6</v>
      </c>
      <c r="AT675" s="55">
        <f t="array" ref="AT675">XLOOKUP(C675,'PL TOTAL D0'!A:A,'PL TOTAL D0'!C:C,"")</f>
        <v>499376.5</v>
      </c>
    </row>
    <row r="676" ht="15.75" customHeight="1">
      <c r="A676" s="44" t="s">
        <v>36</v>
      </c>
      <c r="B676" s="225" t="s">
        <v>2250</v>
      </c>
      <c r="C676" s="243" t="s">
        <v>2251</v>
      </c>
      <c r="D676" s="47" t="s">
        <v>18</v>
      </c>
      <c r="E676" s="24" t="s">
        <v>19</v>
      </c>
      <c r="F676" s="47" t="s">
        <v>20</v>
      </c>
      <c r="G676" s="47" t="str">
        <f t="shared" si="1"/>
        <v>Breno</v>
      </c>
      <c r="H676" s="48" t="s">
        <v>88</v>
      </c>
      <c r="I676" s="48" t="s">
        <v>24</v>
      </c>
      <c r="J676" s="47" t="str">
        <f t="shared" si="6"/>
        <v>Sim</v>
      </c>
      <c r="K676" s="49">
        <v>44945.0</v>
      </c>
      <c r="L676" s="47"/>
      <c r="M676" s="24" t="s">
        <v>60</v>
      </c>
      <c r="N676" s="116">
        <v>0.012</v>
      </c>
      <c r="O676" s="47" t="s">
        <v>24</v>
      </c>
      <c r="P676" s="51">
        <v>0.0</v>
      </c>
      <c r="Q676" s="62" t="s">
        <v>2252</v>
      </c>
      <c r="R676" s="52"/>
      <c r="S676" s="52"/>
      <c r="T676" s="24" t="s">
        <v>89</v>
      </c>
      <c r="U676" s="25" t="s">
        <v>2253</v>
      </c>
      <c r="V676" s="9" t="s">
        <v>19</v>
      </c>
      <c r="W676" s="53" t="str">
        <f t="shared" si="3"/>
        <v>Ativo</v>
      </c>
      <c r="X676" s="24"/>
      <c r="Y676" s="54" t="s">
        <v>95</v>
      </c>
      <c r="Z676" s="56"/>
      <c r="AA676" s="56"/>
      <c r="AB676" s="56"/>
      <c r="AC676" s="56"/>
      <c r="AD676" s="56">
        <v>788175.45</v>
      </c>
      <c r="AE676" s="56">
        <v>794794.76</v>
      </c>
      <c r="AF676" s="56">
        <v>803301.69</v>
      </c>
      <c r="AG676" s="56">
        <v>808932.47</v>
      </c>
      <c r="AH676" s="56">
        <v>817587.84</v>
      </c>
      <c r="AI676" s="56">
        <v>824932.72</v>
      </c>
      <c r="AJ676" s="56">
        <v>831994.21</v>
      </c>
      <c r="AK676" s="56">
        <v>840143.99</v>
      </c>
      <c r="AL676" s="56">
        <v>846924.5</v>
      </c>
      <c r="AM676" s="56">
        <v>854397.79</v>
      </c>
      <c r="AN676" s="56">
        <v>860467.18</v>
      </c>
      <c r="AO676" s="56">
        <v>866851.66</v>
      </c>
      <c r="AP676" s="56">
        <v>867115.02</v>
      </c>
      <c r="AQ676" s="55">
        <v>873789.21</v>
      </c>
      <c r="AR676" s="55">
        <v>880475.5</v>
      </c>
      <c r="AS676" s="55">
        <v>884553.95</v>
      </c>
      <c r="AT676" s="55">
        <f t="array" ref="AT676">XLOOKUP(C676,'PL TOTAL D0'!A:A,'PL TOTAL D0'!C:C,"")</f>
        <v>888061.7</v>
      </c>
    </row>
    <row r="677" ht="15.75" customHeight="1">
      <c r="A677" s="44" t="s">
        <v>36</v>
      </c>
      <c r="B677" s="66" t="s">
        <v>2254</v>
      </c>
      <c r="C677" s="67" t="s">
        <v>2255</v>
      </c>
      <c r="D677" s="9" t="s">
        <v>822</v>
      </c>
      <c r="E677" s="25" t="s">
        <v>19</v>
      </c>
      <c r="F677" s="9" t="s">
        <v>823</v>
      </c>
      <c r="G677" s="47" t="str">
        <f t="shared" si="1"/>
        <v>Augusto</v>
      </c>
      <c r="H677" s="53" t="s">
        <v>178</v>
      </c>
      <c r="I677" s="53" t="s">
        <v>130</v>
      </c>
      <c r="J677" s="47" t="str">
        <f t="shared" si="6"/>
        <v>Não</v>
      </c>
      <c r="K677" s="59">
        <v>45422.0</v>
      </c>
      <c r="L677" s="47"/>
      <c r="M677" s="25" t="s">
        <v>60</v>
      </c>
      <c r="N677" s="200">
        <v>0.012</v>
      </c>
      <c r="O677" s="9" t="s">
        <v>24</v>
      </c>
      <c r="P677" s="61">
        <v>0.0</v>
      </c>
      <c r="Q677" s="62"/>
      <c r="R677" s="52"/>
      <c r="S677" s="52"/>
      <c r="T677" s="25" t="s">
        <v>89</v>
      </c>
      <c r="U677" s="5" t="s">
        <v>2256</v>
      </c>
      <c r="V677" s="9" t="s">
        <v>19</v>
      </c>
      <c r="W677" s="53" t="str">
        <f t="shared" si="3"/>
        <v>Ativo</v>
      </c>
      <c r="X677" s="25" t="s">
        <v>48</v>
      </c>
      <c r="Y677" s="54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5"/>
      <c r="AR677" s="55"/>
      <c r="AS677" s="55"/>
      <c r="AT677" s="55"/>
    </row>
    <row r="678" ht="15.75" customHeight="1">
      <c r="A678" s="44" t="s">
        <v>36</v>
      </c>
      <c r="B678" s="45" t="s">
        <v>2257</v>
      </c>
      <c r="C678" s="46" t="s">
        <v>2258</v>
      </c>
      <c r="D678" s="47" t="s">
        <v>18</v>
      </c>
      <c r="E678" s="24" t="s">
        <v>145</v>
      </c>
      <c r="F678" s="47" t="s">
        <v>171</v>
      </c>
      <c r="G678" s="47" t="str">
        <f t="shared" si="1"/>
        <v>Augusto</v>
      </c>
      <c r="H678" s="53" t="s">
        <v>116</v>
      </c>
      <c r="I678" s="48" t="s">
        <v>24</v>
      </c>
      <c r="J678" s="47" t="str">
        <f t="shared" si="6"/>
        <v>Sim</v>
      </c>
      <c r="K678" s="49">
        <v>45029.0</v>
      </c>
      <c r="L678" s="47"/>
      <c r="M678" s="24" t="s">
        <v>60</v>
      </c>
      <c r="N678" s="116">
        <v>0.012</v>
      </c>
      <c r="O678" s="47" t="s">
        <v>24</v>
      </c>
      <c r="P678" s="51">
        <v>0.0</v>
      </c>
      <c r="Q678" s="62" t="s">
        <v>2259</v>
      </c>
      <c r="R678" s="52"/>
      <c r="S678" s="52"/>
      <c r="T678" s="24" t="s">
        <v>89</v>
      </c>
      <c r="U678" s="25" t="s">
        <v>2260</v>
      </c>
      <c r="V678" s="9" t="s">
        <v>149</v>
      </c>
      <c r="W678" s="53" t="str">
        <f t="shared" si="3"/>
        <v>Ativo</v>
      </c>
      <c r="X678" s="24"/>
      <c r="Y678" s="54" t="s">
        <v>91</v>
      </c>
      <c r="Z678" s="56"/>
      <c r="AA678" s="56"/>
      <c r="AB678" s="56"/>
      <c r="AC678" s="56"/>
      <c r="AD678" s="56"/>
      <c r="AE678" s="56"/>
      <c r="AF678" s="56">
        <v>0.0</v>
      </c>
      <c r="AG678" s="56">
        <v>134455.91</v>
      </c>
      <c r="AH678" s="56">
        <v>76467.35</v>
      </c>
      <c r="AI678" s="56">
        <v>82627.98</v>
      </c>
      <c r="AJ678" s="56">
        <v>83258.8</v>
      </c>
      <c r="AK678" s="56">
        <v>90781.64</v>
      </c>
      <c r="AL678" s="56">
        <v>91587.3</v>
      </c>
      <c r="AM678" s="56">
        <v>92396.3</v>
      </c>
      <c r="AN678" s="56">
        <v>120183.45</v>
      </c>
      <c r="AO678" s="56">
        <v>121206.67</v>
      </c>
      <c r="AP678" s="56">
        <v>122210.89</v>
      </c>
      <c r="AQ678" s="55">
        <v>133178.72</v>
      </c>
      <c r="AR678" s="55">
        <v>134379.96</v>
      </c>
      <c r="AS678" s="55">
        <v>135558.38</v>
      </c>
      <c r="AT678" s="55">
        <f t="array" ref="AT678">XLOOKUP(C678,'PL TOTAL D0'!A:A,'PL TOTAL D0'!C:C,"")</f>
        <v>6612</v>
      </c>
    </row>
    <row r="679" ht="15.75" customHeight="1">
      <c r="A679" s="44" t="s">
        <v>36</v>
      </c>
      <c r="B679" s="45" t="s">
        <v>2261</v>
      </c>
      <c r="C679" s="46" t="s">
        <v>2262</v>
      </c>
      <c r="D679" s="47" t="s">
        <v>86</v>
      </c>
      <c r="E679" s="24" t="s">
        <v>29</v>
      </c>
      <c r="F679" s="47" t="s">
        <v>87</v>
      </c>
      <c r="G679" s="47" t="str">
        <f t="shared" si="1"/>
        <v>#N/A</v>
      </c>
      <c r="H679" s="53" t="s">
        <v>157</v>
      </c>
      <c r="I679" s="48" t="s">
        <v>24</v>
      </c>
      <c r="J679" s="47" t="str">
        <f t="shared" si="6"/>
        <v>Não</v>
      </c>
      <c r="K679" s="49">
        <v>45145.0</v>
      </c>
      <c r="L679" s="91">
        <v>45341.0</v>
      </c>
      <c r="M679" s="24" t="s">
        <v>45</v>
      </c>
      <c r="N679" s="116">
        <v>0.012</v>
      </c>
      <c r="O679" s="24" t="s">
        <v>46</v>
      </c>
      <c r="P679" s="117">
        <v>0.1</v>
      </c>
      <c r="Q679" s="52"/>
      <c r="R679" s="52"/>
      <c r="S679" s="52"/>
      <c r="T679" s="24" t="s">
        <v>89</v>
      </c>
      <c r="U679" s="25" t="s">
        <v>2263</v>
      </c>
      <c r="V679" s="9" t="s">
        <v>29</v>
      </c>
      <c r="W679" s="53" t="str">
        <f t="shared" si="3"/>
        <v>Encerrado</v>
      </c>
      <c r="X679" s="24"/>
      <c r="Y679" s="54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>
        <v>847092.01</v>
      </c>
      <c r="AL679" s="56">
        <v>1054776.97</v>
      </c>
      <c r="AM679" s="56">
        <v>1054650.81</v>
      </c>
      <c r="AN679" s="56">
        <v>1072685.68</v>
      </c>
      <c r="AO679" s="56">
        <v>1099271.98</v>
      </c>
      <c r="AP679" s="56">
        <v>1098794.75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44" t="s">
        <v>36</v>
      </c>
      <c r="B680" s="68" t="s">
        <v>2261</v>
      </c>
      <c r="C680" s="73" t="s">
        <v>2264</v>
      </c>
      <c r="D680" s="47" t="s">
        <v>86</v>
      </c>
      <c r="E680" s="24" t="s">
        <v>29</v>
      </c>
      <c r="F680" s="47" t="s">
        <v>87</v>
      </c>
      <c r="G680" s="47" t="str">
        <f t="shared" si="1"/>
        <v>#N/A</v>
      </c>
      <c r="H680" s="48" t="s">
        <v>116</v>
      </c>
      <c r="I680" s="48" t="s">
        <v>161</v>
      </c>
      <c r="J680" s="47" t="str">
        <f t="shared" si="6"/>
        <v>Não</v>
      </c>
      <c r="K680" s="49">
        <v>45187.0</v>
      </c>
      <c r="L680" s="47"/>
      <c r="M680" s="24" t="s">
        <v>133</v>
      </c>
      <c r="N680" s="116">
        <v>0.014</v>
      </c>
      <c r="O680" s="24" t="s">
        <v>46</v>
      </c>
      <c r="P680" s="117">
        <v>0.1</v>
      </c>
      <c r="Q680" s="52"/>
      <c r="R680" s="52"/>
      <c r="S680" s="52"/>
      <c r="T680" s="24" t="s">
        <v>89</v>
      </c>
      <c r="U680" s="25" t="s">
        <v>2263</v>
      </c>
      <c r="V680" s="9" t="s">
        <v>29</v>
      </c>
      <c r="W680" s="53" t="str">
        <f t="shared" si="3"/>
        <v>Ativo</v>
      </c>
      <c r="X680" s="24"/>
      <c r="Y680" s="54" t="s">
        <v>95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>
        <v>0.0</v>
      </c>
      <c r="AM680" s="56">
        <v>0.0</v>
      </c>
      <c r="AN680" s="56">
        <v>0.0</v>
      </c>
      <c r="AO680" s="56">
        <v>0.0</v>
      </c>
      <c r="AP680" s="56">
        <v>0.0</v>
      </c>
      <c r="AQ680" s="55">
        <v>0.0</v>
      </c>
      <c r="AR680" s="55">
        <v>0.0</v>
      </c>
      <c r="AS680" s="55">
        <v>0.0</v>
      </c>
      <c r="AT680" s="55" t="str">
        <f t="array" ref="AT680">XLOOKUP(C680,'PL TOTAL D0'!A:A,'PL TOTAL D0'!C:C,"")</f>
        <v/>
      </c>
    </row>
    <row r="681" ht="15.75" customHeight="1">
      <c r="A681" s="6" t="s">
        <v>36</v>
      </c>
      <c r="B681" s="57" t="s">
        <v>2265</v>
      </c>
      <c r="C681" s="58" t="s">
        <v>2266</v>
      </c>
      <c r="D681" s="9" t="s">
        <v>18</v>
      </c>
      <c r="E681" s="25" t="s">
        <v>19</v>
      </c>
      <c r="F681" s="24" t="s">
        <v>201</v>
      </c>
      <c r="G681" s="47" t="str">
        <f t="shared" si="1"/>
        <v>Augusto</v>
      </c>
      <c r="H681" s="53" t="s">
        <v>88</v>
      </c>
      <c r="I681" s="53" t="s">
        <v>24</v>
      </c>
      <c r="J681" s="47" t="str">
        <f t="shared" si="6"/>
        <v>Não</v>
      </c>
      <c r="K681" s="59">
        <v>45282.0</v>
      </c>
      <c r="L681" s="47"/>
      <c r="M681" s="11" t="s">
        <v>40</v>
      </c>
      <c r="N681" s="12">
        <v>0.007</v>
      </c>
      <c r="O681" s="13" t="s">
        <v>24</v>
      </c>
      <c r="P681" s="14">
        <v>0.0</v>
      </c>
      <c r="Q681" s="75"/>
      <c r="R681" s="75"/>
      <c r="S681" s="75"/>
      <c r="T681" s="25" t="s">
        <v>89</v>
      </c>
      <c r="U681" s="25" t="s">
        <v>2267</v>
      </c>
      <c r="V681" s="9" t="s">
        <v>19</v>
      </c>
      <c r="W681" s="53" t="str">
        <f t="shared" si="3"/>
        <v>Ativo</v>
      </c>
      <c r="X681" s="24"/>
      <c r="Y681" s="54" t="s">
        <v>95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>
        <v>100024.17</v>
      </c>
      <c r="AP681" s="56">
        <v>101072.51</v>
      </c>
      <c r="AQ681" s="55">
        <v>101920.12</v>
      </c>
      <c r="AR681" s="55">
        <v>102856.91</v>
      </c>
      <c r="AS681" s="55">
        <v>103752.78</v>
      </c>
      <c r="AT681" s="55">
        <f t="array" ref="AT681">XLOOKUP(C681,'PL TOTAL D0'!A:A,'PL TOTAL D0'!C:C,"")</f>
        <v>104210.5</v>
      </c>
    </row>
    <row r="682" ht="15.75" customHeight="1">
      <c r="A682" s="44" t="s">
        <v>36</v>
      </c>
      <c r="B682" s="45" t="s">
        <v>2265</v>
      </c>
      <c r="C682" s="46" t="s">
        <v>2268</v>
      </c>
      <c r="D682" s="47" t="s">
        <v>18</v>
      </c>
      <c r="E682" s="24" t="s">
        <v>19</v>
      </c>
      <c r="F682" s="24" t="s">
        <v>201</v>
      </c>
      <c r="G682" s="47" t="str">
        <f t="shared" si="1"/>
        <v>Bruno</v>
      </c>
      <c r="H682" s="48" t="s">
        <v>88</v>
      </c>
      <c r="I682" s="48" t="s">
        <v>24</v>
      </c>
      <c r="J682" s="47" t="str">
        <f t="shared" si="6"/>
        <v>Sim</v>
      </c>
      <c r="K682" s="49">
        <v>45127.0</v>
      </c>
      <c r="L682" s="47"/>
      <c r="M682" s="24" t="s">
        <v>60</v>
      </c>
      <c r="N682" s="116">
        <v>0.012</v>
      </c>
      <c r="O682" s="47" t="s">
        <v>24</v>
      </c>
      <c r="P682" s="51">
        <v>0.0</v>
      </c>
      <c r="Q682" s="76" t="s">
        <v>2269</v>
      </c>
      <c r="R682" s="75"/>
      <c r="S682" s="75"/>
      <c r="T682" s="24" t="s">
        <v>89</v>
      </c>
      <c r="U682" s="25" t="s">
        <v>2267</v>
      </c>
      <c r="V682" s="9" t="s">
        <v>19</v>
      </c>
      <c r="W682" s="53" t="str">
        <f t="shared" si="3"/>
        <v>Ativo</v>
      </c>
      <c r="X682" s="24"/>
      <c r="Y682" s="54" t="s">
        <v>95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>
        <v>0.0</v>
      </c>
      <c r="AJ682" s="56">
        <v>1875447.01</v>
      </c>
      <c r="AK682" s="56">
        <v>1896446.3</v>
      </c>
      <c r="AL682" s="56">
        <v>1503271.83</v>
      </c>
      <c r="AM682" s="56">
        <v>1516384.23</v>
      </c>
      <c r="AN682" s="56">
        <v>1527561.79</v>
      </c>
      <c r="AO682" s="56">
        <v>1800247.93</v>
      </c>
      <c r="AP682" s="56">
        <v>1809687.32</v>
      </c>
      <c r="AQ682" s="55">
        <v>1813405.43</v>
      </c>
      <c r="AR682" s="55">
        <v>1823412.12</v>
      </c>
      <c r="AS682" s="55">
        <v>1826537.8</v>
      </c>
      <c r="AT682" s="55">
        <f t="array" ref="AT682">XLOOKUP(C682,'PL TOTAL D0'!A:A,'PL TOTAL D0'!C:C,"")</f>
        <v>1827494</v>
      </c>
    </row>
    <row r="683" ht="15.75" customHeight="1">
      <c r="A683" s="44" t="s">
        <v>36</v>
      </c>
      <c r="B683" s="45" t="s">
        <v>2270</v>
      </c>
      <c r="C683" s="73" t="s">
        <v>2271</v>
      </c>
      <c r="D683" s="47" t="s">
        <v>18</v>
      </c>
      <c r="E683" s="24" t="s">
        <v>19</v>
      </c>
      <c r="F683" s="24" t="s">
        <v>20</v>
      </c>
      <c r="G683" s="47" t="str">
        <f t="shared" si="1"/>
        <v>Augusto</v>
      </c>
      <c r="H683" s="53" t="s">
        <v>88</v>
      </c>
      <c r="I683" s="53" t="s">
        <v>24</v>
      </c>
      <c r="J683" s="47" t="str">
        <f t="shared" si="6"/>
        <v>Não</v>
      </c>
      <c r="K683" s="49">
        <v>45246.0</v>
      </c>
      <c r="L683" s="47"/>
      <c r="M683" s="24" t="s">
        <v>111</v>
      </c>
      <c r="N683" s="116">
        <v>0.015</v>
      </c>
      <c r="O683" s="47" t="s">
        <v>46</v>
      </c>
      <c r="P683" s="51">
        <v>0.1</v>
      </c>
      <c r="Q683" s="75"/>
      <c r="R683" s="75"/>
      <c r="S683" s="15" t="s">
        <v>2272</v>
      </c>
      <c r="T683" s="24" t="s">
        <v>89</v>
      </c>
      <c r="U683" s="25" t="s">
        <v>2273</v>
      </c>
      <c r="V683" s="9" t="s">
        <v>19</v>
      </c>
      <c r="W683" s="53" t="str">
        <f t="shared" si="3"/>
        <v>Ativo</v>
      </c>
      <c r="X683" s="24"/>
      <c r="Y683" s="54" t="s">
        <v>95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>
        <v>0.0</v>
      </c>
      <c r="AO683" s="56">
        <v>191604.91</v>
      </c>
      <c r="AP683" s="56">
        <v>231090.55</v>
      </c>
      <c r="AQ683" s="55">
        <v>322944.63</v>
      </c>
      <c r="AR683" s="55">
        <v>325691.07</v>
      </c>
      <c r="AS683" s="55">
        <v>324436.52</v>
      </c>
      <c r="AT683" s="55">
        <f t="array" ref="AT683">XLOOKUP(C683,'PL TOTAL D0'!A:A,'PL TOTAL D0'!C:C,"")</f>
        <v>326714.4</v>
      </c>
    </row>
    <row r="684" ht="15.75" customHeight="1">
      <c r="A684" s="44" t="s">
        <v>36</v>
      </c>
      <c r="B684" s="45" t="s">
        <v>2274</v>
      </c>
      <c r="C684" s="46" t="s">
        <v>2275</v>
      </c>
      <c r="D684" s="47" t="s">
        <v>18</v>
      </c>
      <c r="E684" s="24" t="s">
        <v>145</v>
      </c>
      <c r="F684" s="24" t="s">
        <v>146</v>
      </c>
      <c r="G684" s="47" t="str">
        <f t="shared" si="1"/>
        <v>Augusto</v>
      </c>
      <c r="H684" s="48" t="s">
        <v>88</v>
      </c>
      <c r="I684" s="48" t="s">
        <v>24</v>
      </c>
      <c r="J684" s="47" t="str">
        <f t="shared" si="6"/>
        <v>Não</v>
      </c>
      <c r="K684" s="49">
        <v>45163.0</v>
      </c>
      <c r="L684" s="49"/>
      <c r="M684" s="24" t="s">
        <v>709</v>
      </c>
      <c r="N684" s="116">
        <v>0.007</v>
      </c>
      <c r="O684" s="24" t="s">
        <v>24</v>
      </c>
      <c r="P684" s="117">
        <v>0.0</v>
      </c>
      <c r="Q684" s="52"/>
      <c r="R684" s="52"/>
      <c r="S684" s="52"/>
      <c r="T684" s="24" t="s">
        <v>89</v>
      </c>
      <c r="U684" s="25" t="s">
        <v>2276</v>
      </c>
      <c r="V684" s="9" t="s">
        <v>121</v>
      </c>
      <c r="W684" s="53" t="str">
        <f t="shared" si="3"/>
        <v>Ativo</v>
      </c>
      <c r="X684" s="24"/>
      <c r="Y684" s="54" t="s">
        <v>91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>
        <v>0.0</v>
      </c>
      <c r="AJ684" s="56">
        <v>0.0</v>
      </c>
      <c r="AK684" s="56">
        <v>232512.44</v>
      </c>
      <c r="AL684" s="56">
        <v>234923.98</v>
      </c>
      <c r="AM684" s="56">
        <v>237389.47</v>
      </c>
      <c r="AN684" s="56">
        <v>239009.45</v>
      </c>
      <c r="AO684" s="56">
        <v>241044.65</v>
      </c>
      <c r="AP684" s="56">
        <v>243169.14</v>
      </c>
      <c r="AQ684" s="55">
        <v>244996.03</v>
      </c>
      <c r="AR684" s="55">
        <v>247051.88</v>
      </c>
      <c r="AS684" s="55">
        <v>249136.81</v>
      </c>
      <c r="AT684" s="55">
        <f t="array" ref="AT684">XLOOKUP(C684,'PL TOTAL D0'!A:A,'PL TOTAL D0'!C:C,"")</f>
        <v>250282.5</v>
      </c>
    </row>
    <row r="685" ht="15.75" customHeight="1">
      <c r="A685" s="44" t="s">
        <v>36</v>
      </c>
      <c r="B685" s="245" t="s">
        <v>2277</v>
      </c>
      <c r="C685" s="69" t="s">
        <v>2278</v>
      </c>
      <c r="D685" s="47" t="s">
        <v>18</v>
      </c>
      <c r="E685" s="24" t="s">
        <v>145</v>
      </c>
      <c r="F685" s="47" t="s">
        <v>171</v>
      </c>
      <c r="G685" s="47" t="str">
        <f t="shared" si="1"/>
        <v>Breno</v>
      </c>
      <c r="H685" s="48" t="s">
        <v>88</v>
      </c>
      <c r="I685" s="48" t="s">
        <v>24</v>
      </c>
      <c r="J685" s="47" t="str">
        <f t="shared" si="6"/>
        <v>Não</v>
      </c>
      <c r="K685" s="49">
        <v>45190.0</v>
      </c>
      <c r="L685" s="49"/>
      <c r="M685" s="24" t="s">
        <v>60</v>
      </c>
      <c r="N685" s="116">
        <v>0.012</v>
      </c>
      <c r="O685" s="24" t="s">
        <v>24</v>
      </c>
      <c r="P685" s="117">
        <v>0.0</v>
      </c>
      <c r="Q685" s="52"/>
      <c r="R685" s="52"/>
      <c r="S685" s="52"/>
      <c r="T685" s="24" t="s">
        <v>89</v>
      </c>
      <c r="U685" s="25" t="s">
        <v>2279</v>
      </c>
      <c r="V685" s="9" t="s">
        <v>180</v>
      </c>
      <c r="W685" s="53" t="str">
        <f t="shared" si="3"/>
        <v>Ativo</v>
      </c>
      <c r="X685" s="24"/>
      <c r="Y685" s="54" t="s">
        <v>91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>
        <v>50021.25</v>
      </c>
      <c r="AM685" s="56">
        <v>450886.23</v>
      </c>
      <c r="AN685" s="56">
        <v>454556.5</v>
      </c>
      <c r="AO685" s="56">
        <v>456141.06</v>
      </c>
      <c r="AP685" s="56">
        <v>459171.94</v>
      </c>
      <c r="AQ685" s="55">
        <v>445108.27</v>
      </c>
      <c r="AR685" s="55">
        <v>438530.77</v>
      </c>
      <c r="AS685" s="55">
        <v>433722.6</v>
      </c>
      <c r="AT685" s="55">
        <f t="array" ref="AT685">XLOOKUP(C685,'PL TOTAL D0'!A:A,'PL TOTAL D0'!C:C,"")</f>
        <v>428694.4</v>
      </c>
    </row>
    <row r="686" ht="15.75" customHeight="1">
      <c r="A686" s="44" t="s">
        <v>36</v>
      </c>
      <c r="B686" s="45" t="s">
        <v>2280</v>
      </c>
      <c r="C686" s="46" t="s">
        <v>2281</v>
      </c>
      <c r="D686" s="47" t="s">
        <v>18</v>
      </c>
      <c r="E686" s="24" t="s">
        <v>29</v>
      </c>
      <c r="F686" s="47" t="s">
        <v>44</v>
      </c>
      <c r="G686" s="47" t="str">
        <f t="shared" si="1"/>
        <v>Augusto</v>
      </c>
      <c r="H686" s="48" t="s">
        <v>88</v>
      </c>
      <c r="I686" s="48" t="s">
        <v>24</v>
      </c>
      <c r="J686" s="47" t="str">
        <f t="shared" si="6"/>
        <v>Não</v>
      </c>
      <c r="K686" s="49">
        <v>45042.0</v>
      </c>
      <c r="L686" s="47"/>
      <c r="M686" s="24" t="s">
        <v>111</v>
      </c>
      <c r="N686" s="116">
        <v>0.015</v>
      </c>
      <c r="O686" s="24" t="s">
        <v>46</v>
      </c>
      <c r="P686" s="117">
        <v>0.1</v>
      </c>
      <c r="Q686" s="52"/>
      <c r="R686" s="52"/>
      <c r="S686" s="52"/>
      <c r="T686" s="24" t="s">
        <v>89</v>
      </c>
      <c r="U686" s="25" t="s">
        <v>2282</v>
      </c>
      <c r="V686" s="9" t="s">
        <v>29</v>
      </c>
      <c r="W686" s="53" t="str">
        <f t="shared" si="3"/>
        <v>Ativo</v>
      </c>
      <c r="X686" s="24"/>
      <c r="Y686" s="54" t="s">
        <v>95</v>
      </c>
      <c r="Z686" s="56"/>
      <c r="AA686" s="56"/>
      <c r="AB686" s="56"/>
      <c r="AC686" s="56"/>
      <c r="AD686" s="56"/>
      <c r="AE686" s="56"/>
      <c r="AF686" s="56"/>
      <c r="AG686" s="56">
        <v>112366.37</v>
      </c>
      <c r="AH686" s="56">
        <v>113918.96</v>
      </c>
      <c r="AI686" s="56">
        <v>200612.93</v>
      </c>
      <c r="AJ686" s="56">
        <v>282738.0</v>
      </c>
      <c r="AK686" s="56">
        <v>231160.19</v>
      </c>
      <c r="AL686" s="56">
        <v>181973.47</v>
      </c>
      <c r="AM686" s="56">
        <v>181576.12</v>
      </c>
      <c r="AN686" s="56">
        <v>134747.78</v>
      </c>
      <c r="AO686" s="56">
        <v>87143.73</v>
      </c>
      <c r="AP686" s="56">
        <v>7174.63</v>
      </c>
      <c r="AQ686" s="55">
        <v>7279.92</v>
      </c>
      <c r="AR686" s="55">
        <v>7323.91</v>
      </c>
      <c r="AS686" s="55">
        <v>7373.52</v>
      </c>
      <c r="AT686" s="55">
        <f t="array" ref="AT686">XLOOKUP(C686,'PL TOTAL D0'!A:A,'PL TOTAL D0'!C:C,"")</f>
        <v>7400.77</v>
      </c>
    </row>
    <row r="687" ht="15.75" customHeight="1">
      <c r="A687" s="44" t="s">
        <v>36</v>
      </c>
      <c r="B687" s="66" t="s">
        <v>2283</v>
      </c>
      <c r="C687" s="67" t="s">
        <v>2284</v>
      </c>
      <c r="D687" s="9" t="s">
        <v>18</v>
      </c>
      <c r="E687" s="25" t="s">
        <v>29</v>
      </c>
      <c r="F687" s="9" t="s">
        <v>110</v>
      </c>
      <c r="G687" s="47" t="str">
        <f t="shared" si="1"/>
        <v>#N/A</v>
      </c>
      <c r="H687" s="53" t="s">
        <v>116</v>
      </c>
      <c r="I687" s="53" t="s">
        <v>117</v>
      </c>
      <c r="J687" s="47" t="str">
        <f t="shared" si="6"/>
        <v>Sim</v>
      </c>
      <c r="K687" s="59">
        <v>45385.0</v>
      </c>
      <c r="L687" s="47"/>
      <c r="M687" s="25" t="s">
        <v>118</v>
      </c>
      <c r="N687" s="200">
        <v>0.0</v>
      </c>
      <c r="O687" s="25" t="s">
        <v>24</v>
      </c>
      <c r="P687" s="201">
        <v>0.0</v>
      </c>
      <c r="Q687" s="15" t="s">
        <v>2285</v>
      </c>
      <c r="R687" s="52"/>
      <c r="S687" s="52"/>
      <c r="T687" s="25" t="s">
        <v>89</v>
      </c>
      <c r="U687" s="23" t="s">
        <v>2286</v>
      </c>
      <c r="V687" s="9" t="s">
        <v>29</v>
      </c>
      <c r="W687" s="53" t="str">
        <f t="shared" si="3"/>
        <v>Ativo</v>
      </c>
      <c r="X687" s="24"/>
      <c r="Y687" s="54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5"/>
      <c r="AR687" s="55"/>
      <c r="AS687" s="55">
        <v>0.0</v>
      </c>
      <c r="AT687" s="55" t="str">
        <f t="array" ref="AT687">XLOOKUP(C687,'PL TOTAL D0'!A:A,'PL TOTAL D0'!C:C,"")</f>
        <v/>
      </c>
    </row>
    <row r="688" ht="15.75" customHeight="1">
      <c r="A688" s="44" t="s">
        <v>36</v>
      </c>
      <c r="B688" s="225" t="s">
        <v>2287</v>
      </c>
      <c r="C688" s="46" t="s">
        <v>2288</v>
      </c>
      <c r="D688" s="47" t="s">
        <v>18</v>
      </c>
      <c r="E688" s="24" t="s">
        <v>19</v>
      </c>
      <c r="F688" s="47" t="s">
        <v>1672</v>
      </c>
      <c r="G688" s="47" t="str">
        <f t="shared" si="1"/>
        <v>Augusto</v>
      </c>
      <c r="H688" s="53" t="s">
        <v>116</v>
      </c>
      <c r="I688" s="53" t="s">
        <v>161</v>
      </c>
      <c r="J688" s="47" t="str">
        <f t="shared" si="6"/>
        <v>Não</v>
      </c>
      <c r="K688" s="49">
        <v>45099.0</v>
      </c>
      <c r="L688" s="49"/>
      <c r="M688" s="24" t="s">
        <v>111</v>
      </c>
      <c r="N688" s="116">
        <v>0.015</v>
      </c>
      <c r="O688" s="47" t="s">
        <v>46</v>
      </c>
      <c r="P688" s="51">
        <v>0.1</v>
      </c>
      <c r="Q688" s="52"/>
      <c r="R688" s="52"/>
      <c r="S688" s="52"/>
      <c r="T688" s="24" t="s">
        <v>89</v>
      </c>
      <c r="U688" s="25" t="s">
        <v>2289</v>
      </c>
      <c r="V688" s="9" t="s">
        <v>19</v>
      </c>
      <c r="W688" s="53" t="str">
        <f t="shared" si="3"/>
        <v>Ativo</v>
      </c>
      <c r="X688" s="24"/>
      <c r="Y688" s="54" t="s">
        <v>95</v>
      </c>
      <c r="Z688" s="56"/>
      <c r="AA688" s="56"/>
      <c r="AB688" s="56"/>
      <c r="AC688" s="56"/>
      <c r="AD688" s="56"/>
      <c r="AE688" s="56">
        <v>15000.0</v>
      </c>
      <c r="AF688" s="56">
        <v>15000.0</v>
      </c>
      <c r="AG688" s="56">
        <v>15000.0</v>
      </c>
      <c r="AH688" s="56">
        <v>15000.0</v>
      </c>
      <c r="AI688" s="56">
        <v>15046.9</v>
      </c>
      <c r="AJ688" s="56">
        <v>0.01</v>
      </c>
      <c r="AK688" s="56">
        <v>0.0</v>
      </c>
      <c r="AL688" s="56">
        <v>0.0</v>
      </c>
      <c r="AM688" s="56">
        <v>0.0</v>
      </c>
      <c r="AN688" s="56">
        <v>0.01</v>
      </c>
      <c r="AO688" s="56">
        <v>0.01</v>
      </c>
      <c r="AP688" s="56">
        <v>0.01</v>
      </c>
      <c r="AQ688" s="55">
        <v>0.01</v>
      </c>
      <c r="AR688" s="55">
        <v>0.01</v>
      </c>
      <c r="AS688" s="55">
        <v>0.01</v>
      </c>
      <c r="AT688" s="55">
        <f t="array" ref="AT688">XLOOKUP(C688,'PL TOTAL D0'!A:A,'PL TOTAL D0'!C:C,"")</f>
        <v>0.01</v>
      </c>
    </row>
    <row r="689" ht="15.75" customHeight="1">
      <c r="A689" s="44" t="s">
        <v>36</v>
      </c>
      <c r="B689" s="68" t="s">
        <v>2290</v>
      </c>
      <c r="C689" s="82" t="s">
        <v>2291</v>
      </c>
      <c r="D689" s="47" t="s">
        <v>18</v>
      </c>
      <c r="E689" s="24" t="s">
        <v>29</v>
      </c>
      <c r="F689" s="47" t="s">
        <v>110</v>
      </c>
      <c r="G689" s="47" t="str">
        <f t="shared" si="1"/>
        <v>#N/A</v>
      </c>
      <c r="H689" s="53" t="s">
        <v>116</v>
      </c>
      <c r="I689" s="53" t="s">
        <v>161</v>
      </c>
      <c r="J689" s="47" t="str">
        <f>IF(S689=0,"Não","Sim")</f>
        <v>Sim</v>
      </c>
      <c r="K689" s="49">
        <v>45175.0</v>
      </c>
      <c r="L689" s="49"/>
      <c r="M689" s="24" t="s">
        <v>166</v>
      </c>
      <c r="N689" s="116">
        <v>0.008</v>
      </c>
      <c r="O689" s="47" t="s">
        <v>167</v>
      </c>
      <c r="P689" s="51">
        <v>0.1</v>
      </c>
      <c r="Q689" s="238"/>
      <c r="R689" s="52"/>
      <c r="S689" s="62" t="s">
        <v>211</v>
      </c>
      <c r="T689" s="24" t="s">
        <v>89</v>
      </c>
      <c r="U689" s="25" t="s">
        <v>2292</v>
      </c>
      <c r="V689" s="9" t="s">
        <v>715</v>
      </c>
      <c r="W689" s="53" t="str">
        <f t="shared" si="3"/>
        <v>Ativo</v>
      </c>
      <c r="X689" s="24"/>
      <c r="Y689" s="54" t="s">
        <v>91</v>
      </c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>
        <v>0.0</v>
      </c>
      <c r="AL689" s="56">
        <v>193844.4</v>
      </c>
      <c r="AM689" s="56">
        <v>201445.17</v>
      </c>
      <c r="AN689" s="56">
        <v>205170.0</v>
      </c>
      <c r="AO689" s="56">
        <v>209842.97</v>
      </c>
      <c r="AP689" s="56">
        <v>210504.58</v>
      </c>
      <c r="AQ689" s="55">
        <v>0.0</v>
      </c>
      <c r="AR689" s="55">
        <v>0.0</v>
      </c>
      <c r="AS689" s="55">
        <v>0.0</v>
      </c>
      <c r="AT689" s="55" t="str">
        <f t="array" ref="AT689">XLOOKUP(C689,'PL TOTAL D0'!A:A,'PL TOTAL D0'!C:C,"")</f>
        <v/>
      </c>
    </row>
    <row r="690" ht="15.75" customHeight="1">
      <c r="A690" s="44" t="s">
        <v>36</v>
      </c>
      <c r="B690" s="225" t="s">
        <v>2293</v>
      </c>
      <c r="C690" s="243" t="s">
        <v>2294</v>
      </c>
      <c r="D690" s="47" t="s">
        <v>18</v>
      </c>
      <c r="E690" s="24" t="s">
        <v>19</v>
      </c>
      <c r="F690" s="47" t="s">
        <v>52</v>
      </c>
      <c r="G690" s="47" t="str">
        <f t="shared" si="1"/>
        <v>Bruno</v>
      </c>
      <c r="H690" s="48" t="s">
        <v>88</v>
      </c>
      <c r="I690" s="48" t="s">
        <v>24</v>
      </c>
      <c r="J690" s="47" t="str">
        <f t="shared" ref="J690:J711" si="7">IF(Q690=0,"Não","Sim")</f>
        <v>Não</v>
      </c>
      <c r="K690" s="49">
        <v>44959.0</v>
      </c>
      <c r="L690" s="47"/>
      <c r="M690" s="24" t="s">
        <v>60</v>
      </c>
      <c r="N690" s="116">
        <v>0.012</v>
      </c>
      <c r="O690" s="47" t="s">
        <v>24</v>
      </c>
      <c r="P690" s="51">
        <v>0.0</v>
      </c>
      <c r="Q690" s="52"/>
      <c r="R690" s="52"/>
      <c r="S690" s="52"/>
      <c r="T690" s="24" t="s">
        <v>89</v>
      </c>
      <c r="U690" s="25" t="s">
        <v>2295</v>
      </c>
      <c r="V690" s="9" t="s">
        <v>19</v>
      </c>
      <c r="W690" s="53" t="str">
        <f t="shared" si="3"/>
        <v>Ativo</v>
      </c>
      <c r="X690" s="24"/>
      <c r="Y690" s="54" t="s">
        <v>95</v>
      </c>
      <c r="Z690" s="56"/>
      <c r="AA690" s="56"/>
      <c r="AB690" s="56"/>
      <c r="AC690" s="56"/>
      <c r="AD690" s="56">
        <v>0.0</v>
      </c>
      <c r="AE690" s="56">
        <v>2010017.61</v>
      </c>
      <c r="AF690" s="56">
        <v>2031340.41</v>
      </c>
      <c r="AG690" s="56">
        <v>2045094.56</v>
      </c>
      <c r="AH690" s="56">
        <v>2066995.05</v>
      </c>
      <c r="AI690" s="56">
        <v>2086021.94</v>
      </c>
      <c r="AJ690" s="56">
        <v>2104306.92</v>
      </c>
      <c r="AK690" s="56">
        <v>2124517.67</v>
      </c>
      <c r="AL690" s="56">
        <v>2141809.61</v>
      </c>
      <c r="AM690" s="56">
        <v>2160907.49</v>
      </c>
      <c r="AN690" s="56">
        <v>2176880.26</v>
      </c>
      <c r="AO690" s="56">
        <v>2193936.22</v>
      </c>
      <c r="AP690" s="56">
        <v>2213182.04</v>
      </c>
      <c r="AQ690" s="55">
        <v>2224003.28</v>
      </c>
      <c r="AR690" s="55">
        <v>2241552.06</v>
      </c>
      <c r="AS690" s="55">
        <v>1531733.78</v>
      </c>
      <c r="AT690" s="55">
        <f t="array" ref="AT690">XLOOKUP(C690,'PL TOTAL D0'!A:A,'PL TOTAL D0'!C:C,"")</f>
        <v>1535174</v>
      </c>
    </row>
    <row r="691" ht="15.75" customHeight="1">
      <c r="A691" s="44" t="s">
        <v>36</v>
      </c>
      <c r="B691" s="225" t="s">
        <v>2296</v>
      </c>
      <c r="C691" s="243" t="s">
        <v>2297</v>
      </c>
      <c r="D691" s="47" t="s">
        <v>18</v>
      </c>
      <c r="E691" s="24" t="s">
        <v>19</v>
      </c>
      <c r="F691" s="47" t="s">
        <v>20</v>
      </c>
      <c r="G691" s="47" t="str">
        <f t="shared" si="1"/>
        <v>Augusto</v>
      </c>
      <c r="H691" s="48" t="s">
        <v>88</v>
      </c>
      <c r="I691" s="48" t="s">
        <v>24</v>
      </c>
      <c r="J691" s="47" t="str">
        <f t="shared" si="7"/>
        <v>Não</v>
      </c>
      <c r="K691" s="49">
        <v>44957.0</v>
      </c>
      <c r="L691" s="47"/>
      <c r="M691" s="24" t="s">
        <v>60</v>
      </c>
      <c r="N691" s="116">
        <v>0.01</v>
      </c>
      <c r="O691" s="47" t="s">
        <v>24</v>
      </c>
      <c r="P691" s="51">
        <v>0.0</v>
      </c>
      <c r="Q691" s="52"/>
      <c r="R691" s="52"/>
      <c r="S691" s="52"/>
      <c r="T691" s="24" t="s">
        <v>89</v>
      </c>
      <c r="U691" s="25" t="s">
        <v>2298</v>
      </c>
      <c r="V691" s="9" t="s">
        <v>19</v>
      </c>
      <c r="W691" s="53" t="str">
        <f t="shared" si="3"/>
        <v>Ativo</v>
      </c>
      <c r="X691" s="24"/>
      <c r="Y691" s="54" t="s">
        <v>95</v>
      </c>
      <c r="Z691" s="56"/>
      <c r="AA691" s="56"/>
      <c r="AB691" s="56"/>
      <c r="AC691" s="56"/>
      <c r="AD691" s="56">
        <v>367453.7</v>
      </c>
      <c r="AE691" s="56">
        <v>371328.96</v>
      </c>
      <c r="AF691" s="56">
        <v>376736.61</v>
      </c>
      <c r="AG691" s="56">
        <v>377025.32</v>
      </c>
      <c r="AH691" s="56">
        <v>378013.16</v>
      </c>
      <c r="AI691" s="56">
        <v>375411.82</v>
      </c>
      <c r="AJ691" s="56">
        <v>376086.9</v>
      </c>
      <c r="AK691" s="56">
        <v>375895.74</v>
      </c>
      <c r="AL691" s="56">
        <v>373156.75</v>
      </c>
      <c r="AM691" s="56">
        <v>369535.58</v>
      </c>
      <c r="AN691" s="56">
        <v>368890.63</v>
      </c>
      <c r="AO691" s="56">
        <v>370566.31</v>
      </c>
      <c r="AP691" s="56">
        <v>371332.54</v>
      </c>
      <c r="AQ691" s="55">
        <v>360194.42</v>
      </c>
      <c r="AR691" s="55">
        <v>357875.71</v>
      </c>
      <c r="AS691" s="55">
        <v>302413.17</v>
      </c>
      <c r="AT691" s="55">
        <f t="array" ref="AT691">XLOOKUP(C691,'PL TOTAL D0'!A:A,'PL TOTAL D0'!C:C,"")</f>
        <v>303840.5</v>
      </c>
    </row>
    <row r="692" ht="15.75" customHeight="1">
      <c r="A692" s="44" t="s">
        <v>36</v>
      </c>
      <c r="B692" s="45" t="s">
        <v>2299</v>
      </c>
      <c r="C692" s="46" t="s">
        <v>2300</v>
      </c>
      <c r="D692" s="47" t="s">
        <v>18</v>
      </c>
      <c r="E692" s="24" t="s">
        <v>19</v>
      </c>
      <c r="F692" s="47" t="s">
        <v>20</v>
      </c>
      <c r="G692" s="47" t="str">
        <f t="shared" si="1"/>
        <v>Augusto</v>
      </c>
      <c r="H692" s="48" t="s">
        <v>88</v>
      </c>
      <c r="I692" s="48" t="s">
        <v>24</v>
      </c>
      <c r="J692" s="47" t="str">
        <f t="shared" si="7"/>
        <v>Não</v>
      </c>
      <c r="K692" s="49">
        <v>45163.0</v>
      </c>
      <c r="L692" s="47"/>
      <c r="M692" s="24" t="s">
        <v>60</v>
      </c>
      <c r="N692" s="116">
        <v>0.012</v>
      </c>
      <c r="O692" s="47" t="s">
        <v>24</v>
      </c>
      <c r="P692" s="51">
        <v>0.0</v>
      </c>
      <c r="Q692" s="52"/>
      <c r="R692" s="52"/>
      <c r="S692" s="52"/>
      <c r="T692" s="24" t="s">
        <v>89</v>
      </c>
      <c r="U692" s="25" t="s">
        <v>2301</v>
      </c>
      <c r="V692" s="9" t="s">
        <v>19</v>
      </c>
      <c r="W692" s="53" t="str">
        <f t="shared" si="3"/>
        <v>Ativo</v>
      </c>
      <c r="X692" s="24"/>
      <c r="Y692" s="54" t="s">
        <v>95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>
        <v>0.0</v>
      </c>
      <c r="AK692" s="56">
        <v>47901.55</v>
      </c>
      <c r="AL692" s="56">
        <v>48256.88</v>
      </c>
      <c r="AM692" s="56">
        <v>48591.25</v>
      </c>
      <c r="AN692" s="56">
        <v>48964.38</v>
      </c>
      <c r="AO692" s="56">
        <v>49359.0</v>
      </c>
      <c r="AP692" s="56">
        <v>59863.5</v>
      </c>
      <c r="AQ692" s="55">
        <v>68398.09</v>
      </c>
      <c r="AR692" s="55">
        <v>69000.88</v>
      </c>
      <c r="AS692" s="55">
        <v>69574.13</v>
      </c>
      <c r="AT692" s="55">
        <f t="array" ref="AT692">XLOOKUP(C692,'PL TOTAL D0'!A:A,'PL TOTAL D0'!C:C,"")</f>
        <v>69897.33</v>
      </c>
    </row>
    <row r="693" ht="15.75" customHeight="1">
      <c r="A693" s="6" t="s">
        <v>36</v>
      </c>
      <c r="B693" s="225" t="s">
        <v>2302</v>
      </c>
      <c r="C693" s="112" t="s">
        <v>2303</v>
      </c>
      <c r="D693" s="9" t="s">
        <v>18</v>
      </c>
      <c r="E693" s="25" t="s">
        <v>180</v>
      </c>
      <c r="F693" s="47" t="s">
        <v>512</v>
      </c>
      <c r="G693" s="47" t="str">
        <f t="shared" si="1"/>
        <v>Augusto</v>
      </c>
      <c r="H693" s="53" t="s">
        <v>88</v>
      </c>
      <c r="I693" s="53" t="s">
        <v>24</v>
      </c>
      <c r="J693" s="47" t="str">
        <f t="shared" si="7"/>
        <v>Não</v>
      </c>
      <c r="K693" s="59">
        <v>45348.0</v>
      </c>
      <c r="L693" s="47"/>
      <c r="M693" s="25" t="s">
        <v>162</v>
      </c>
      <c r="N693" s="200">
        <v>0.025</v>
      </c>
      <c r="O693" s="25" t="s">
        <v>163</v>
      </c>
      <c r="P693" s="201">
        <v>0.2</v>
      </c>
      <c r="Q693" s="62"/>
      <c r="R693" s="52"/>
      <c r="S693" s="62" t="s">
        <v>2304</v>
      </c>
      <c r="T693" s="25" t="s">
        <v>89</v>
      </c>
      <c r="U693" s="25" t="s">
        <v>2305</v>
      </c>
      <c r="V693" s="9" t="s">
        <v>180</v>
      </c>
      <c r="W693" s="53" t="str">
        <f t="shared" si="3"/>
        <v>Ativo</v>
      </c>
      <c r="X693" s="24"/>
      <c r="Y693" s="54" t="s">
        <v>95</v>
      </c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5">
        <v>177833.16</v>
      </c>
      <c r="AR693" s="55">
        <v>180938.03</v>
      </c>
      <c r="AS693" s="55">
        <v>173455.26</v>
      </c>
      <c r="AT693" s="55">
        <f t="array" ref="AT693">XLOOKUP(C693,'PL TOTAL D0'!A:A,'PL TOTAL D0'!C:C,"")</f>
        <v>176793.1</v>
      </c>
    </row>
    <row r="694" ht="15.75" customHeight="1">
      <c r="A694" s="44" t="s">
        <v>36</v>
      </c>
      <c r="B694" s="225" t="s">
        <v>2302</v>
      </c>
      <c r="C694" s="243" t="s">
        <v>2306</v>
      </c>
      <c r="D694" s="47" t="s">
        <v>18</v>
      </c>
      <c r="E694" s="24" t="s">
        <v>180</v>
      </c>
      <c r="F694" s="47" t="s">
        <v>512</v>
      </c>
      <c r="G694" s="47" t="str">
        <f t="shared" si="1"/>
        <v>Augusto</v>
      </c>
      <c r="H694" s="53" t="s">
        <v>88</v>
      </c>
      <c r="I694" s="53" t="s">
        <v>24</v>
      </c>
      <c r="J694" s="47" t="str">
        <f t="shared" si="7"/>
        <v>Não</v>
      </c>
      <c r="K694" s="49">
        <v>44998.0</v>
      </c>
      <c r="L694" s="47"/>
      <c r="M694" s="25" t="s">
        <v>60</v>
      </c>
      <c r="N694" s="200">
        <v>0.012</v>
      </c>
      <c r="O694" s="25" t="s">
        <v>24</v>
      </c>
      <c r="P694" s="201">
        <v>0.0</v>
      </c>
      <c r="Q694" s="62"/>
      <c r="R694" s="52"/>
      <c r="S694" s="62" t="s">
        <v>2307</v>
      </c>
      <c r="T694" s="24" t="s">
        <v>89</v>
      </c>
      <c r="U694" s="25" t="s">
        <v>2308</v>
      </c>
      <c r="V694" s="9" t="s">
        <v>180</v>
      </c>
      <c r="W694" s="53" t="str">
        <f t="shared" si="3"/>
        <v>Ativo</v>
      </c>
      <c r="X694" s="24"/>
      <c r="Y694" s="54" t="s">
        <v>95</v>
      </c>
      <c r="Z694" s="56"/>
      <c r="AA694" s="56"/>
      <c r="AB694" s="56"/>
      <c r="AC694" s="56"/>
      <c r="AD694" s="56"/>
      <c r="AE694" s="56">
        <v>4066.02</v>
      </c>
      <c r="AF694" s="56">
        <v>119885.32</v>
      </c>
      <c r="AG694" s="56">
        <v>120387.26</v>
      </c>
      <c r="AH694" s="56">
        <v>122550.79</v>
      </c>
      <c r="AI694" s="56">
        <v>124736.01</v>
      </c>
      <c r="AJ694" s="56">
        <v>126205.58</v>
      </c>
      <c r="AK694" s="56">
        <v>126009.64</v>
      </c>
      <c r="AL694" s="56">
        <v>238439.05</v>
      </c>
      <c r="AM694" s="56">
        <v>238416.3</v>
      </c>
      <c r="AN694" s="56">
        <v>243583.02</v>
      </c>
      <c r="AO694" s="56">
        <v>248332.55</v>
      </c>
      <c r="AP694" s="56">
        <v>244038.43</v>
      </c>
      <c r="AQ694" s="55">
        <v>167467.49</v>
      </c>
      <c r="AR694" s="55">
        <v>168695.58</v>
      </c>
      <c r="AS694" s="55">
        <v>169793.89</v>
      </c>
      <c r="AT694" s="55">
        <f t="array" ref="AT694">XLOOKUP(C694,'PL TOTAL D0'!A:A,'PL TOTAL D0'!C:C,"")</f>
        <v>170563.8</v>
      </c>
    </row>
    <row r="695" ht="15.75" customHeight="1">
      <c r="A695" s="44" t="s">
        <v>36</v>
      </c>
      <c r="B695" s="45" t="s">
        <v>2309</v>
      </c>
      <c r="C695" s="46" t="s">
        <v>2310</v>
      </c>
      <c r="D695" s="47" t="s">
        <v>822</v>
      </c>
      <c r="E695" s="24" t="s">
        <v>19</v>
      </c>
      <c r="F695" s="47" t="s">
        <v>823</v>
      </c>
      <c r="G695" s="47" t="str">
        <f t="shared" si="1"/>
        <v>Breno</v>
      </c>
      <c r="H695" s="48" t="s">
        <v>88</v>
      </c>
      <c r="I695" s="48" t="s">
        <v>24</v>
      </c>
      <c r="J695" s="47" t="str">
        <f t="shared" si="7"/>
        <v>Não</v>
      </c>
      <c r="K695" s="49">
        <v>45253.0</v>
      </c>
      <c r="L695" s="47"/>
      <c r="M695" s="24" t="s">
        <v>60</v>
      </c>
      <c r="N695" s="93">
        <v>0.012</v>
      </c>
      <c r="O695" s="94" t="s">
        <v>24</v>
      </c>
      <c r="P695" s="95">
        <v>0.0</v>
      </c>
      <c r="Q695" s="52"/>
      <c r="R695" s="52"/>
      <c r="S695" s="52"/>
      <c r="T695" s="24" t="s">
        <v>89</v>
      </c>
      <c r="U695" s="25" t="s">
        <v>2311</v>
      </c>
      <c r="V695" s="9" t="s">
        <v>19</v>
      </c>
      <c r="W695" s="53" t="str">
        <f t="shared" si="3"/>
        <v>Ativo</v>
      </c>
      <c r="X695" s="24"/>
      <c r="Y695" s="54" t="s">
        <v>95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>
        <v>170070.52</v>
      </c>
      <c r="AO695" s="56">
        <v>171445.43</v>
      </c>
      <c r="AP695" s="56">
        <v>607050.12</v>
      </c>
      <c r="AQ695" s="55">
        <v>615015.2</v>
      </c>
      <c r="AR695" s="55">
        <v>623702.07</v>
      </c>
      <c r="AS695" s="55">
        <v>977080.97</v>
      </c>
      <c r="AT695" s="55">
        <f t="array" ref="AT695">XLOOKUP(C695,'PL TOTAL D0'!A:A,'PL TOTAL D0'!C:C,"")</f>
        <v>998617</v>
      </c>
    </row>
    <row r="696" ht="15.75" customHeight="1">
      <c r="A696" s="44" t="s">
        <v>36</v>
      </c>
      <c r="B696" s="225" t="s">
        <v>2312</v>
      </c>
      <c r="C696" s="46" t="s">
        <v>2313</v>
      </c>
      <c r="D696" s="47" t="s">
        <v>18</v>
      </c>
      <c r="E696" s="24" t="s">
        <v>145</v>
      </c>
      <c r="F696" s="47" t="s">
        <v>146</v>
      </c>
      <c r="G696" s="47" t="str">
        <f t="shared" si="1"/>
        <v>Augusto</v>
      </c>
      <c r="H696" s="48" t="s">
        <v>88</v>
      </c>
      <c r="I696" s="48" t="s">
        <v>24</v>
      </c>
      <c r="J696" s="47" t="str">
        <f t="shared" si="7"/>
        <v>Sim</v>
      </c>
      <c r="K696" s="49">
        <v>45008.0</v>
      </c>
      <c r="L696" s="47"/>
      <c r="M696" s="24" t="s">
        <v>166</v>
      </c>
      <c r="N696" s="116">
        <v>0.008</v>
      </c>
      <c r="O696" s="24" t="s">
        <v>167</v>
      </c>
      <c r="P696" s="117">
        <v>0.1</v>
      </c>
      <c r="Q696" s="62" t="s">
        <v>2314</v>
      </c>
      <c r="R696" s="52"/>
      <c r="S696" s="52"/>
      <c r="T696" s="24" t="s">
        <v>89</v>
      </c>
      <c r="U696" s="25" t="s">
        <v>2315</v>
      </c>
      <c r="V696" s="9" t="s">
        <v>149</v>
      </c>
      <c r="W696" s="53" t="str">
        <f t="shared" si="3"/>
        <v>Ativo</v>
      </c>
      <c r="X696" s="24"/>
      <c r="Y696" s="54" t="s">
        <v>91</v>
      </c>
      <c r="Z696" s="56"/>
      <c r="AA696" s="56"/>
      <c r="AB696" s="56"/>
      <c r="AC696" s="56"/>
      <c r="AD696" s="56"/>
      <c r="AE696" s="56"/>
      <c r="AF696" s="56">
        <v>163277.33</v>
      </c>
      <c r="AG696" s="56">
        <v>169594.56</v>
      </c>
      <c r="AH696" s="56">
        <v>180521.59</v>
      </c>
      <c r="AI696" s="56">
        <v>184229.48</v>
      </c>
      <c r="AJ696" s="56">
        <v>191310.25</v>
      </c>
      <c r="AK696" s="56">
        <v>207176.92</v>
      </c>
      <c r="AL696" s="56">
        <v>205472.06</v>
      </c>
      <c r="AM696" s="56">
        <v>200959.98</v>
      </c>
      <c r="AN696" s="56">
        <v>204814.37</v>
      </c>
      <c r="AO696" s="56">
        <v>213492.69</v>
      </c>
      <c r="AP696" s="56">
        <v>213961.05</v>
      </c>
      <c r="AQ696" s="55">
        <v>214669.12</v>
      </c>
      <c r="AR696" s="55">
        <v>214690.42</v>
      </c>
      <c r="AS696" s="55">
        <v>213125.79</v>
      </c>
      <c r="AT696" s="55">
        <f t="array" ref="AT696">XLOOKUP(C696,'PL TOTAL D0'!A:A,'PL TOTAL D0'!C:C,"")</f>
        <v>214371.9</v>
      </c>
    </row>
    <row r="697" ht="15.75" customHeight="1">
      <c r="A697" s="44" t="s">
        <v>36</v>
      </c>
      <c r="B697" s="225" t="s">
        <v>2312</v>
      </c>
      <c r="C697" s="46" t="s">
        <v>2316</v>
      </c>
      <c r="D697" s="47" t="s">
        <v>18</v>
      </c>
      <c r="E697" s="24" t="s">
        <v>145</v>
      </c>
      <c r="F697" s="47" t="s">
        <v>146</v>
      </c>
      <c r="G697" s="47" t="str">
        <f t="shared" si="1"/>
        <v>Augusto</v>
      </c>
      <c r="H697" s="48" t="s">
        <v>88</v>
      </c>
      <c r="I697" s="48" t="s">
        <v>24</v>
      </c>
      <c r="J697" s="47" t="str">
        <f t="shared" si="7"/>
        <v>Não</v>
      </c>
      <c r="K697" s="49">
        <v>45065.0</v>
      </c>
      <c r="L697" s="47"/>
      <c r="M697" s="24" t="s">
        <v>162</v>
      </c>
      <c r="N697" s="116">
        <v>0.025</v>
      </c>
      <c r="O697" s="24" t="s">
        <v>163</v>
      </c>
      <c r="P697" s="117">
        <v>0.2</v>
      </c>
      <c r="Q697" s="62"/>
      <c r="R697" s="52"/>
      <c r="S697" s="52"/>
      <c r="T697" s="24" t="s">
        <v>89</v>
      </c>
      <c r="U697" s="25" t="s">
        <v>2315</v>
      </c>
      <c r="V697" s="9" t="s">
        <v>149</v>
      </c>
      <c r="W697" s="53" t="str">
        <f t="shared" si="3"/>
        <v>Ativo</v>
      </c>
      <c r="X697" s="24"/>
      <c r="Y697" s="54" t="s">
        <v>91</v>
      </c>
      <c r="Z697" s="56"/>
      <c r="AA697" s="56"/>
      <c r="AB697" s="56"/>
      <c r="AC697" s="56"/>
      <c r="AD697" s="56"/>
      <c r="AE697" s="56"/>
      <c r="AF697" s="56">
        <v>0.0</v>
      </c>
      <c r="AG697" s="56">
        <v>0.0</v>
      </c>
      <c r="AH697" s="56">
        <v>36143.78</v>
      </c>
      <c r="AI697" s="56">
        <v>149606.67</v>
      </c>
      <c r="AJ697" s="56">
        <v>196044.31</v>
      </c>
      <c r="AK697" s="56">
        <v>200551.99</v>
      </c>
      <c r="AL697" s="56">
        <v>200139.34</v>
      </c>
      <c r="AM697" s="56">
        <v>191279.63</v>
      </c>
      <c r="AN697" s="56">
        <v>205527.0</v>
      </c>
      <c r="AO697" s="56">
        <v>215348.53</v>
      </c>
      <c r="AP697" s="56">
        <v>200476.15</v>
      </c>
      <c r="AQ697" s="55">
        <v>203263.17</v>
      </c>
      <c r="AR697" s="55">
        <v>206222.73</v>
      </c>
      <c r="AS697" s="55">
        <v>197992.05</v>
      </c>
      <c r="AT697" s="55">
        <f t="array" ref="AT697">XLOOKUP(C697,'PL TOTAL D0'!A:A,'PL TOTAL D0'!C:C,"")</f>
        <v>202037.1</v>
      </c>
    </row>
    <row r="698" ht="15.75" customHeight="1">
      <c r="A698" s="44" t="s">
        <v>36</v>
      </c>
      <c r="B698" s="225" t="s">
        <v>2312</v>
      </c>
      <c r="C698" s="243" t="s">
        <v>2317</v>
      </c>
      <c r="D698" s="47" t="s">
        <v>18</v>
      </c>
      <c r="E698" s="24" t="s">
        <v>145</v>
      </c>
      <c r="F698" s="47" t="s">
        <v>146</v>
      </c>
      <c r="G698" s="47" t="str">
        <f t="shared" si="1"/>
        <v>Breno</v>
      </c>
      <c r="H698" s="48" t="s">
        <v>88</v>
      </c>
      <c r="I698" s="48" t="s">
        <v>24</v>
      </c>
      <c r="J698" s="47" t="str">
        <f t="shared" si="7"/>
        <v>Não</v>
      </c>
      <c r="K698" s="49">
        <v>45008.0</v>
      </c>
      <c r="L698" s="47"/>
      <c r="M698" s="24" t="s">
        <v>60</v>
      </c>
      <c r="N698" s="116">
        <v>0.012</v>
      </c>
      <c r="O698" s="47" t="s">
        <v>24</v>
      </c>
      <c r="P698" s="51">
        <v>0.0</v>
      </c>
      <c r="Q698" s="62"/>
      <c r="R698" s="52"/>
      <c r="S698" s="52"/>
      <c r="T698" s="24" t="s">
        <v>89</v>
      </c>
      <c r="U698" s="25" t="s">
        <v>2315</v>
      </c>
      <c r="V698" s="9" t="s">
        <v>149</v>
      </c>
      <c r="W698" s="53" t="str">
        <f t="shared" si="3"/>
        <v>Ativo</v>
      </c>
      <c r="X698" s="24"/>
      <c r="Y698" s="54" t="s">
        <v>91</v>
      </c>
      <c r="Z698" s="56"/>
      <c r="AA698" s="56"/>
      <c r="AB698" s="56"/>
      <c r="AC698" s="56"/>
      <c r="AD698" s="56"/>
      <c r="AE698" s="56"/>
      <c r="AF698" s="56">
        <v>521621.68</v>
      </c>
      <c r="AG698" s="56">
        <v>532518.37</v>
      </c>
      <c r="AH698" s="56">
        <v>507006.42</v>
      </c>
      <c r="AI698" s="56">
        <v>431627.77</v>
      </c>
      <c r="AJ698" s="56">
        <v>435468.55</v>
      </c>
      <c r="AK698" s="56">
        <v>439899.37</v>
      </c>
      <c r="AL698" s="56">
        <v>442964.55</v>
      </c>
      <c r="AM698" s="56">
        <v>446342.96</v>
      </c>
      <c r="AN698" s="56">
        <v>449986.5</v>
      </c>
      <c r="AO698" s="56">
        <v>453760.24</v>
      </c>
      <c r="AP698" s="56">
        <v>457488.96</v>
      </c>
      <c r="AQ698" s="55">
        <v>456700.32</v>
      </c>
      <c r="AR698" s="55">
        <v>460657.48</v>
      </c>
      <c r="AS698" s="55">
        <v>462071.8</v>
      </c>
      <c r="AT698" s="55">
        <f t="array" ref="AT698">XLOOKUP(C698,'PL TOTAL D0'!A:A,'PL TOTAL D0'!C:C,"")</f>
        <v>462347.2</v>
      </c>
    </row>
    <row r="699" ht="15.75" customHeight="1">
      <c r="A699" s="44" t="s">
        <v>36</v>
      </c>
      <c r="B699" s="225" t="s">
        <v>2318</v>
      </c>
      <c r="C699" s="243" t="s">
        <v>2319</v>
      </c>
      <c r="D699" s="47" t="s">
        <v>18</v>
      </c>
      <c r="E699" s="24" t="s">
        <v>19</v>
      </c>
      <c r="F699" s="47" t="s">
        <v>20</v>
      </c>
      <c r="G699" s="47" t="str">
        <f t="shared" si="1"/>
        <v>Breno</v>
      </c>
      <c r="H699" s="48" t="s">
        <v>88</v>
      </c>
      <c r="I699" s="48" t="s">
        <v>24</v>
      </c>
      <c r="J699" s="47" t="str">
        <f t="shared" si="7"/>
        <v>Não</v>
      </c>
      <c r="K699" s="49">
        <v>44952.0</v>
      </c>
      <c r="L699" s="47"/>
      <c r="M699" s="24" t="s">
        <v>60</v>
      </c>
      <c r="N699" s="116">
        <v>0.012</v>
      </c>
      <c r="O699" s="47" t="s">
        <v>24</v>
      </c>
      <c r="P699" s="51">
        <v>0.0</v>
      </c>
      <c r="Q699" s="44"/>
      <c r="R699" s="52"/>
      <c r="S699" s="62" t="s">
        <v>2320</v>
      </c>
      <c r="T699" s="24" t="s">
        <v>89</v>
      </c>
      <c r="U699" s="25" t="s">
        <v>2321</v>
      </c>
      <c r="V699" s="9" t="s">
        <v>19</v>
      </c>
      <c r="W699" s="53" t="str">
        <f t="shared" si="3"/>
        <v>Ativo</v>
      </c>
      <c r="X699" s="24"/>
      <c r="Y699" s="54" t="s">
        <v>95</v>
      </c>
      <c r="Z699" s="56"/>
      <c r="AA699" s="56"/>
      <c r="AB699" s="56"/>
      <c r="AC699" s="56"/>
      <c r="AD699" s="56">
        <v>579196.03</v>
      </c>
      <c r="AE699" s="56">
        <v>798318.68</v>
      </c>
      <c r="AF699" s="56">
        <v>807877.6</v>
      </c>
      <c r="AG699" s="56">
        <v>813726.89</v>
      </c>
      <c r="AH699" s="56">
        <v>887588.24</v>
      </c>
      <c r="AI699" s="56">
        <v>843575.38</v>
      </c>
      <c r="AJ699" s="56">
        <v>832895.88</v>
      </c>
      <c r="AK699" s="56">
        <v>839324.22</v>
      </c>
      <c r="AL699" s="56">
        <v>793669.27</v>
      </c>
      <c r="AM699" s="56">
        <v>798873.52</v>
      </c>
      <c r="AN699" s="56">
        <v>804218.39</v>
      </c>
      <c r="AO699" s="56">
        <v>799945.06</v>
      </c>
      <c r="AP699" s="56">
        <v>806505.87</v>
      </c>
      <c r="AQ699" s="55">
        <v>452576.47</v>
      </c>
      <c r="AR699" s="55">
        <v>456589.58</v>
      </c>
      <c r="AS699" s="55">
        <v>428573.93</v>
      </c>
      <c r="AT699" s="55">
        <f t="array" ref="AT699">XLOOKUP(C699,'PL TOTAL D0'!A:A,'PL TOTAL D0'!C:C,"")</f>
        <v>430541</v>
      </c>
    </row>
    <row r="700" ht="15.75" customHeight="1">
      <c r="A700" s="44" t="s">
        <v>36</v>
      </c>
      <c r="B700" s="63" t="s">
        <v>2322</v>
      </c>
      <c r="C700" s="46" t="s">
        <v>2323</v>
      </c>
      <c r="D700" s="47" t="s">
        <v>18</v>
      </c>
      <c r="E700" s="24" t="s">
        <v>19</v>
      </c>
      <c r="F700" s="47" t="s">
        <v>230</v>
      </c>
      <c r="G700" s="47" t="str">
        <f t="shared" si="1"/>
        <v>Augusto</v>
      </c>
      <c r="H700" s="53" t="s">
        <v>116</v>
      </c>
      <c r="I700" s="53" t="s">
        <v>130</v>
      </c>
      <c r="J700" s="47" t="str">
        <f t="shared" si="7"/>
        <v>Não</v>
      </c>
      <c r="K700" s="49">
        <v>44986.0</v>
      </c>
      <c r="L700" s="24"/>
      <c r="M700" s="24" t="s">
        <v>60</v>
      </c>
      <c r="N700" s="50">
        <v>0.012</v>
      </c>
      <c r="O700" s="47" t="s">
        <v>24</v>
      </c>
      <c r="P700" s="51">
        <v>0.0</v>
      </c>
      <c r="Q700" s="52"/>
      <c r="R700" s="52"/>
      <c r="S700" s="52"/>
      <c r="T700" s="24" t="s">
        <v>89</v>
      </c>
      <c r="U700" s="25" t="s">
        <v>2324</v>
      </c>
      <c r="V700" s="9" t="s">
        <v>19</v>
      </c>
      <c r="W700" s="53" t="str">
        <f t="shared" si="3"/>
        <v>Ativo</v>
      </c>
      <c r="X700" s="24"/>
      <c r="Y700" s="54" t="s">
        <v>95</v>
      </c>
      <c r="Z700" s="56"/>
      <c r="AA700" s="56"/>
      <c r="AB700" s="56"/>
      <c r="AC700" s="56"/>
      <c r="AD700" s="56"/>
      <c r="AE700" s="56">
        <v>0.0</v>
      </c>
      <c r="AF700" s="56">
        <v>302924.14</v>
      </c>
      <c r="AG700" s="56">
        <v>305070.15</v>
      </c>
      <c r="AH700" s="56">
        <v>308282.0</v>
      </c>
      <c r="AI700" s="56">
        <v>277.8</v>
      </c>
      <c r="AJ700" s="56">
        <v>14.67</v>
      </c>
      <c r="AK700" s="56">
        <v>14.67</v>
      </c>
      <c r="AL700" s="56">
        <v>14.67</v>
      </c>
      <c r="AM700" s="56">
        <v>14.67</v>
      </c>
      <c r="AN700" s="56">
        <v>14.67</v>
      </c>
      <c r="AO700" s="56">
        <v>14.67</v>
      </c>
      <c r="AP700" s="56">
        <v>14.67</v>
      </c>
      <c r="AQ700" s="55">
        <v>14.67</v>
      </c>
      <c r="AR700" s="55">
        <v>14.67</v>
      </c>
      <c r="AS700" s="55">
        <v>14.67</v>
      </c>
      <c r="AT700" s="55">
        <f t="array" ref="AT700">XLOOKUP(C700,'PL TOTAL D0'!A:A,'PL TOTAL D0'!C:C,"")</f>
        <v>14.67</v>
      </c>
    </row>
    <row r="701" ht="15.75" customHeight="1">
      <c r="A701" s="6" t="s">
        <v>36</v>
      </c>
      <c r="B701" s="57" t="s">
        <v>2325</v>
      </c>
      <c r="C701" s="58" t="s">
        <v>2326</v>
      </c>
      <c r="D701" s="9" t="s">
        <v>86</v>
      </c>
      <c r="E701" s="25" t="s">
        <v>29</v>
      </c>
      <c r="F701" s="9" t="s">
        <v>87</v>
      </c>
      <c r="G701" s="47" t="str">
        <f t="shared" si="1"/>
        <v>Augusto</v>
      </c>
      <c r="H701" s="53" t="s">
        <v>88</v>
      </c>
      <c r="I701" s="53" t="s">
        <v>24</v>
      </c>
      <c r="J701" s="47" t="str">
        <f t="shared" si="7"/>
        <v>Não</v>
      </c>
      <c r="K701" s="59">
        <v>45315.0</v>
      </c>
      <c r="L701" s="24"/>
      <c r="M701" s="25" t="s">
        <v>111</v>
      </c>
      <c r="N701" s="60">
        <v>0.015</v>
      </c>
      <c r="O701" s="9" t="s">
        <v>46</v>
      </c>
      <c r="P701" s="61">
        <v>0.1</v>
      </c>
      <c r="Q701" s="52"/>
      <c r="R701" s="52"/>
      <c r="S701" s="52"/>
      <c r="T701" s="25" t="s">
        <v>89</v>
      </c>
      <c r="U701" s="25" t="s">
        <v>2327</v>
      </c>
      <c r="V701" s="9" t="s">
        <v>29</v>
      </c>
      <c r="W701" s="53" t="str">
        <f t="shared" si="3"/>
        <v>Ativo</v>
      </c>
      <c r="X701" s="24"/>
      <c r="Y701" s="54" t="s">
        <v>95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>
        <v>249493.29</v>
      </c>
      <c r="AQ701" s="55">
        <v>252033.87</v>
      </c>
      <c r="AR701" s="55">
        <v>254560.55</v>
      </c>
      <c r="AS701" s="55">
        <v>252704.25</v>
      </c>
      <c r="AT701" s="55">
        <f t="array" ref="AT701">XLOOKUP(C701,'PL TOTAL D0'!A:A,'PL TOTAL D0'!C:C,"")</f>
        <v>255227.7</v>
      </c>
    </row>
    <row r="702" ht="16.5" customHeight="1">
      <c r="A702" s="44" t="s">
        <v>36</v>
      </c>
      <c r="B702" s="68" t="s">
        <v>2328</v>
      </c>
      <c r="C702" s="69" t="s">
        <v>2329</v>
      </c>
      <c r="D702" s="47" t="s">
        <v>18</v>
      </c>
      <c r="E702" s="24" t="s">
        <v>29</v>
      </c>
      <c r="F702" s="47" t="s">
        <v>110</v>
      </c>
      <c r="G702" s="47" t="str">
        <f t="shared" si="1"/>
        <v>Augusto</v>
      </c>
      <c r="H702" s="48" t="s">
        <v>88</v>
      </c>
      <c r="I702" s="48" t="s">
        <v>24</v>
      </c>
      <c r="J702" s="47" t="str">
        <f t="shared" si="7"/>
        <v>Não</v>
      </c>
      <c r="K702" s="49">
        <v>45182.0</v>
      </c>
      <c r="L702" s="24"/>
      <c r="M702" s="24" t="s">
        <v>60</v>
      </c>
      <c r="N702" s="50">
        <v>0.012</v>
      </c>
      <c r="O702" s="47" t="s">
        <v>24</v>
      </c>
      <c r="P702" s="51">
        <v>0.0</v>
      </c>
      <c r="Q702" s="52"/>
      <c r="R702" s="52"/>
      <c r="S702" s="52"/>
      <c r="T702" s="24" t="s">
        <v>89</v>
      </c>
      <c r="U702" s="25" t="s">
        <v>2330</v>
      </c>
      <c r="V702" s="9" t="s">
        <v>29</v>
      </c>
      <c r="W702" s="53" t="str">
        <f t="shared" si="3"/>
        <v>Ativo</v>
      </c>
      <c r="X702" s="24"/>
      <c r="Y702" s="54" t="s">
        <v>95</v>
      </c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>
        <v>131676.6</v>
      </c>
      <c r="AM702" s="56">
        <v>142546.85</v>
      </c>
      <c r="AN702" s="56">
        <v>144758.67</v>
      </c>
      <c r="AO702" s="56">
        <v>146016.86</v>
      </c>
      <c r="AP702" s="56">
        <v>147259.55</v>
      </c>
      <c r="AQ702" s="55">
        <v>148387.2</v>
      </c>
      <c r="AR702" s="55">
        <v>149376.34</v>
      </c>
      <c r="AS702" s="55">
        <v>150548.75</v>
      </c>
      <c r="AT702" s="55">
        <f t="array" ref="AT702">XLOOKUP(C702,'PL TOTAL D0'!A:A,'PL TOTAL D0'!C:C,"")</f>
        <v>151303.3</v>
      </c>
    </row>
    <row r="703" ht="16.5" customHeight="1">
      <c r="A703" s="44" t="s">
        <v>36</v>
      </c>
      <c r="B703" s="45" t="s">
        <v>2331</v>
      </c>
      <c r="C703" s="46" t="s">
        <v>2332</v>
      </c>
      <c r="D703" s="47" t="s">
        <v>18</v>
      </c>
      <c r="E703" s="24" t="s">
        <v>29</v>
      </c>
      <c r="F703" s="47" t="s">
        <v>44</v>
      </c>
      <c r="G703" s="47" t="str">
        <f t="shared" si="1"/>
        <v>#N/A</v>
      </c>
      <c r="H703" s="48" t="s">
        <v>116</v>
      </c>
      <c r="I703" s="48" t="s">
        <v>161</v>
      </c>
      <c r="J703" s="47" t="str">
        <f t="shared" si="7"/>
        <v>Não</v>
      </c>
      <c r="K703" s="49">
        <v>45051.0</v>
      </c>
      <c r="L703" s="24"/>
      <c r="M703" s="24" t="s">
        <v>60</v>
      </c>
      <c r="N703" s="50">
        <v>0.01</v>
      </c>
      <c r="O703" s="47" t="s">
        <v>24</v>
      </c>
      <c r="P703" s="51">
        <v>0.0</v>
      </c>
      <c r="Q703" s="52"/>
      <c r="R703" s="52"/>
      <c r="S703" s="52"/>
      <c r="T703" s="24" t="s">
        <v>89</v>
      </c>
      <c r="U703" s="25" t="s">
        <v>2333</v>
      </c>
      <c r="V703" s="9" t="s">
        <v>121</v>
      </c>
      <c r="W703" s="53" t="str">
        <f t="shared" si="3"/>
        <v>Ativo</v>
      </c>
      <c r="X703" s="24"/>
      <c r="Y703" s="54" t="s">
        <v>91</v>
      </c>
      <c r="Z703" s="56"/>
      <c r="AA703" s="56"/>
      <c r="AB703" s="56"/>
      <c r="AC703" s="56"/>
      <c r="AD703" s="56"/>
      <c r="AE703" s="56"/>
      <c r="AF703" s="56"/>
      <c r="AG703" s="56">
        <v>1689189.64</v>
      </c>
      <c r="AH703" s="56">
        <v>1696169.83</v>
      </c>
      <c r="AI703" s="56">
        <v>1715562.2</v>
      </c>
      <c r="AJ703" s="56">
        <v>1374140.03</v>
      </c>
      <c r="AK703" s="56">
        <v>0.0</v>
      </c>
      <c r="AL703" s="56">
        <v>0.0</v>
      </c>
      <c r="AM703" s="56">
        <v>0.0</v>
      </c>
      <c r="AN703" s="56">
        <v>0.0</v>
      </c>
      <c r="AO703" s="56">
        <v>0.0</v>
      </c>
      <c r="AP703" s="56">
        <v>0.0</v>
      </c>
      <c r="AQ703" s="55">
        <v>0.0</v>
      </c>
      <c r="AR703" s="55">
        <v>0.0</v>
      </c>
      <c r="AS703" s="55">
        <v>0.0</v>
      </c>
      <c r="AT703" s="55" t="str">
        <f t="array" ref="AT703">XLOOKUP(C703,'PL TOTAL D0'!A:A,'PL TOTAL D0'!C:C,"")</f>
        <v/>
      </c>
    </row>
    <row r="704" ht="16.5" customHeight="1">
      <c r="A704" s="6" t="s">
        <v>36</v>
      </c>
      <c r="B704" s="57" t="s">
        <v>2334</v>
      </c>
      <c r="C704" s="7" t="s">
        <v>2335</v>
      </c>
      <c r="D704" s="9" t="s">
        <v>86</v>
      </c>
      <c r="E704" s="25" t="s">
        <v>29</v>
      </c>
      <c r="F704" s="9" t="s">
        <v>87</v>
      </c>
      <c r="G704" s="47" t="str">
        <f t="shared" si="1"/>
        <v>Breno</v>
      </c>
      <c r="H704" s="53" t="s">
        <v>116</v>
      </c>
      <c r="I704" s="53" t="s">
        <v>117</v>
      </c>
      <c r="J704" s="47" t="str">
        <f t="shared" si="7"/>
        <v>Não</v>
      </c>
      <c r="K704" s="59">
        <v>45359.0</v>
      </c>
      <c r="L704" s="24"/>
      <c r="M704" s="25" t="s">
        <v>118</v>
      </c>
      <c r="N704" s="60">
        <v>0.0</v>
      </c>
      <c r="O704" s="9" t="s">
        <v>24</v>
      </c>
      <c r="P704" s="61">
        <v>0.0</v>
      </c>
      <c r="Q704" s="52"/>
      <c r="R704" s="52"/>
      <c r="S704" s="52"/>
      <c r="T704" s="25" t="s">
        <v>89</v>
      </c>
      <c r="U704" s="5" t="s">
        <v>2336</v>
      </c>
      <c r="V704" s="9" t="s">
        <v>180</v>
      </c>
      <c r="W704" s="53" t="str">
        <f t="shared" si="3"/>
        <v>Ativo</v>
      </c>
      <c r="X704" s="24"/>
      <c r="Y704" s="54" t="s">
        <v>91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5"/>
      <c r="AR704" s="55">
        <v>536257.18</v>
      </c>
      <c r="AS704" s="55">
        <v>560300.31</v>
      </c>
      <c r="AT704" s="55">
        <f t="array" ref="AT704">XLOOKUP(C704,'PL TOTAL D0'!A:A,'PL TOTAL D0'!C:C,"")</f>
        <v>584927.3</v>
      </c>
    </row>
    <row r="705" ht="15.75" customHeight="1">
      <c r="A705" s="44" t="s">
        <v>36</v>
      </c>
      <c r="B705" s="114" t="s">
        <v>2337</v>
      </c>
      <c r="C705" s="46" t="s">
        <v>2338</v>
      </c>
      <c r="D705" s="47" t="s">
        <v>18</v>
      </c>
      <c r="E705" s="24" t="s">
        <v>19</v>
      </c>
      <c r="F705" s="47" t="s">
        <v>20</v>
      </c>
      <c r="G705" s="47" t="str">
        <f t="shared" si="1"/>
        <v>Augusto</v>
      </c>
      <c r="H705" s="48" t="s">
        <v>88</v>
      </c>
      <c r="I705" s="48" t="s">
        <v>24</v>
      </c>
      <c r="J705" s="47" t="str">
        <f t="shared" si="7"/>
        <v>Não</v>
      </c>
      <c r="K705" s="49">
        <v>44992.0</v>
      </c>
      <c r="L705" s="24"/>
      <c r="M705" s="24" t="s">
        <v>60</v>
      </c>
      <c r="N705" s="50">
        <v>0.01</v>
      </c>
      <c r="O705" s="47" t="s">
        <v>24</v>
      </c>
      <c r="P705" s="51">
        <v>0.0</v>
      </c>
      <c r="Q705" s="52"/>
      <c r="R705" s="52"/>
      <c r="S705" s="52"/>
      <c r="T705" s="24" t="s">
        <v>89</v>
      </c>
      <c r="U705" s="25" t="s">
        <v>2339</v>
      </c>
      <c r="V705" s="9" t="s">
        <v>19</v>
      </c>
      <c r="W705" s="53" t="str">
        <f t="shared" si="3"/>
        <v>Ativo</v>
      </c>
      <c r="X705" s="24"/>
      <c r="Y705" s="54" t="s">
        <v>91</v>
      </c>
      <c r="Z705" s="56"/>
      <c r="AA705" s="56"/>
      <c r="AB705" s="56"/>
      <c r="AC705" s="56"/>
      <c r="AD705" s="56"/>
      <c r="AE705" s="56">
        <v>68740.04</v>
      </c>
      <c r="AF705" s="56">
        <v>69255.53</v>
      </c>
      <c r="AG705" s="56">
        <v>69786.2</v>
      </c>
      <c r="AH705" s="56">
        <v>70572.13</v>
      </c>
      <c r="AI705" s="56">
        <v>71251.35</v>
      </c>
      <c r="AJ705" s="56">
        <v>61652.23</v>
      </c>
      <c r="AK705" s="56">
        <v>62276.69</v>
      </c>
      <c r="AL705" s="56">
        <v>62797.85</v>
      </c>
      <c r="AM705" s="56">
        <v>63368.38</v>
      </c>
      <c r="AN705" s="56">
        <v>63801.15</v>
      </c>
      <c r="AO705" s="56">
        <v>64203.2</v>
      </c>
      <c r="AP705" s="56">
        <v>64745.13</v>
      </c>
      <c r="AQ705" s="55">
        <v>65189.27</v>
      </c>
      <c r="AR705" s="55">
        <v>65158.14</v>
      </c>
      <c r="AS705" s="55">
        <v>65720.44</v>
      </c>
      <c r="AT705" s="55">
        <f t="array" ref="AT705">XLOOKUP(C705,'PL TOTAL D0'!A:A,'PL TOTAL D0'!C:C,"")</f>
        <v>66043.4</v>
      </c>
    </row>
    <row r="706" ht="15.75" customHeight="1">
      <c r="A706" s="246" t="s">
        <v>36</v>
      </c>
      <c r="B706" s="247" t="s">
        <v>2340</v>
      </c>
      <c r="C706" s="248" t="s">
        <v>2341</v>
      </c>
      <c r="D706" s="249" t="s">
        <v>18</v>
      </c>
      <c r="E706" s="250" t="s">
        <v>29</v>
      </c>
      <c r="F706" s="249" t="s">
        <v>110</v>
      </c>
      <c r="G706" s="47" t="str">
        <f t="shared" si="1"/>
        <v>Augusto</v>
      </c>
      <c r="H706" s="251" t="s">
        <v>116</v>
      </c>
      <c r="I706" s="251" t="s">
        <v>161</v>
      </c>
      <c r="J706" s="47" t="str">
        <f t="shared" si="7"/>
        <v>Não</v>
      </c>
      <c r="K706" s="252">
        <v>44894.0</v>
      </c>
      <c r="L706" s="250"/>
      <c r="M706" s="250" t="s">
        <v>54</v>
      </c>
      <c r="N706" s="253">
        <v>0.007</v>
      </c>
      <c r="O706" s="249" t="s">
        <v>24</v>
      </c>
      <c r="P706" s="254">
        <v>0.0</v>
      </c>
      <c r="Q706" s="52"/>
      <c r="R706" s="52"/>
      <c r="S706" s="255"/>
      <c r="T706" s="250" t="s">
        <v>329</v>
      </c>
      <c r="U706" s="256" t="s">
        <v>2342</v>
      </c>
      <c r="V706" s="257" t="s">
        <v>121</v>
      </c>
      <c r="W706" s="53" t="str">
        <f t="shared" si="3"/>
        <v>Ativo</v>
      </c>
      <c r="X706" s="250"/>
      <c r="Y706" s="258" t="s">
        <v>95</v>
      </c>
      <c r="Z706" s="259"/>
      <c r="AA706" s="259"/>
      <c r="AB706" s="259"/>
      <c r="AC706" s="259">
        <v>2655155.41</v>
      </c>
      <c r="AD706" s="259">
        <v>2675570.11</v>
      </c>
      <c r="AE706" s="259">
        <v>2699231.96</v>
      </c>
      <c r="AF706" s="259">
        <v>2728008.19</v>
      </c>
      <c r="AG706" s="259">
        <v>2738653.68</v>
      </c>
      <c r="AH706" s="259">
        <v>2770866.74</v>
      </c>
      <c r="AI706" s="259">
        <v>2798261.37</v>
      </c>
      <c r="AJ706" s="259">
        <v>2825569.34</v>
      </c>
      <c r="AK706" s="259">
        <v>2851375.93</v>
      </c>
      <c r="AL706" s="259">
        <v>2873474.15</v>
      </c>
      <c r="AM706" s="259">
        <v>2892360.45</v>
      </c>
      <c r="AN706" s="259">
        <v>360671.84</v>
      </c>
      <c r="AO706" s="259">
        <v>362643.08</v>
      </c>
      <c r="AP706" s="259">
        <v>220.0</v>
      </c>
      <c r="AQ706" s="55">
        <v>170.04</v>
      </c>
      <c r="AR706" s="55">
        <v>170.67</v>
      </c>
      <c r="AS706" s="55">
        <v>172.16</v>
      </c>
      <c r="AT706" s="55">
        <f t="array" ref="AT706">XLOOKUP(C706,'PL TOTAL D0'!A:A,'PL TOTAL D0'!C:C,"")</f>
        <v>173.04</v>
      </c>
    </row>
    <row r="707" ht="15.75" customHeight="1">
      <c r="A707" s="260" t="s">
        <v>36</v>
      </c>
      <c r="B707" s="66" t="s">
        <v>2343</v>
      </c>
      <c r="C707" s="67" t="s">
        <v>2344</v>
      </c>
      <c r="D707" s="257" t="s">
        <v>822</v>
      </c>
      <c r="E707" s="256" t="s">
        <v>19</v>
      </c>
      <c r="F707" s="9" t="s">
        <v>823</v>
      </c>
      <c r="G707" s="47" t="str">
        <f t="shared" si="1"/>
        <v>Augusto</v>
      </c>
      <c r="H707" s="251" t="s">
        <v>88</v>
      </c>
      <c r="I707" s="251" t="s">
        <v>24</v>
      </c>
      <c r="J707" s="47" t="str">
        <f t="shared" si="7"/>
        <v>Não</v>
      </c>
      <c r="K707" s="261">
        <v>45376.0</v>
      </c>
      <c r="L707" s="250"/>
      <c r="M707" s="256" t="s">
        <v>60</v>
      </c>
      <c r="N707" s="262">
        <v>0.012</v>
      </c>
      <c r="O707" s="257" t="s">
        <v>24</v>
      </c>
      <c r="P707" s="263">
        <v>0.0</v>
      </c>
      <c r="Q707" s="52"/>
      <c r="R707" s="52"/>
      <c r="S707" s="255"/>
      <c r="T707" s="256" t="s">
        <v>89</v>
      </c>
      <c r="U707" s="5" t="s">
        <v>2345</v>
      </c>
      <c r="V707" s="257" t="s">
        <v>19</v>
      </c>
      <c r="W707" s="53" t="str">
        <f t="shared" si="3"/>
        <v>Ativo</v>
      </c>
      <c r="X707" s="250"/>
      <c r="Y707" s="258"/>
      <c r="Z707" s="259"/>
      <c r="AA707" s="259"/>
      <c r="AB707" s="259"/>
      <c r="AC707" s="259"/>
      <c r="AD707" s="259"/>
      <c r="AE707" s="259"/>
      <c r="AF707" s="259"/>
      <c r="AG707" s="259"/>
      <c r="AH707" s="259"/>
      <c r="AI707" s="259"/>
      <c r="AJ707" s="259"/>
      <c r="AK707" s="259"/>
      <c r="AL707" s="259"/>
      <c r="AM707" s="259"/>
      <c r="AN707" s="259"/>
      <c r="AO707" s="259"/>
      <c r="AP707" s="259"/>
      <c r="AQ707" s="55"/>
      <c r="AR707" s="55">
        <v>0.0</v>
      </c>
      <c r="AS707" s="55">
        <v>201422.5</v>
      </c>
      <c r="AT707" s="55">
        <f t="array" ref="AT707">XLOOKUP(C707,'PL TOTAL D0'!A:A,'PL TOTAL D0'!C:C,"")</f>
        <v>202367.1</v>
      </c>
    </row>
    <row r="708" ht="15.75" customHeight="1">
      <c r="A708" s="44" t="s">
        <v>36</v>
      </c>
      <c r="B708" s="225" t="s">
        <v>2346</v>
      </c>
      <c r="C708" s="264" t="s">
        <v>2347</v>
      </c>
      <c r="D708" s="47" t="s">
        <v>18</v>
      </c>
      <c r="E708" s="24" t="s">
        <v>145</v>
      </c>
      <c r="F708" s="47" t="s">
        <v>171</v>
      </c>
      <c r="G708" s="47" t="str">
        <f t="shared" si="1"/>
        <v>Augusto</v>
      </c>
      <c r="H708" s="48" t="s">
        <v>88</v>
      </c>
      <c r="I708" s="48" t="s">
        <v>24</v>
      </c>
      <c r="J708" s="47" t="str">
        <f t="shared" si="7"/>
        <v>Não</v>
      </c>
      <c r="K708" s="49">
        <v>45159.0</v>
      </c>
      <c r="L708" s="64"/>
      <c r="M708" s="24" t="s">
        <v>60</v>
      </c>
      <c r="N708" s="50">
        <v>0.012</v>
      </c>
      <c r="O708" s="47" t="s">
        <v>24</v>
      </c>
      <c r="P708" s="51">
        <v>0.0</v>
      </c>
      <c r="Q708" s="75"/>
      <c r="R708" s="75"/>
      <c r="S708" s="62" t="s">
        <v>2348</v>
      </c>
      <c r="T708" s="24" t="s">
        <v>89</v>
      </c>
      <c r="U708" s="25" t="s">
        <v>2349</v>
      </c>
      <c r="V708" s="9" t="s">
        <v>149</v>
      </c>
      <c r="W708" s="53" t="str">
        <f t="shared" si="3"/>
        <v>Ativo</v>
      </c>
      <c r="X708" s="24"/>
      <c r="Y708" s="54" t="s">
        <v>91</v>
      </c>
      <c r="Z708" s="56"/>
      <c r="AA708" s="56"/>
      <c r="AB708" s="56"/>
      <c r="AC708" s="56"/>
      <c r="AD708" s="56"/>
      <c r="AE708" s="56"/>
      <c r="AF708" s="56"/>
      <c r="AG708" s="56">
        <v>0.0</v>
      </c>
      <c r="AH708" s="56">
        <v>0.0</v>
      </c>
      <c r="AI708" s="56">
        <v>0.0</v>
      </c>
      <c r="AJ708" s="56">
        <v>0.0</v>
      </c>
      <c r="AK708" s="56">
        <v>211510.28</v>
      </c>
      <c r="AL708" s="56">
        <v>213108.31</v>
      </c>
      <c r="AM708" s="56">
        <v>214818.17</v>
      </c>
      <c r="AN708" s="56">
        <v>233600.15</v>
      </c>
      <c r="AO708" s="56">
        <v>234755.16</v>
      </c>
      <c r="AP708" s="56">
        <v>236867.04</v>
      </c>
      <c r="AQ708" s="55">
        <v>238650.84</v>
      </c>
      <c r="AR708" s="55">
        <v>240282.31</v>
      </c>
      <c r="AS708" s="55">
        <v>242157.27</v>
      </c>
      <c r="AT708" s="55">
        <f t="array" ref="AT708">XLOOKUP(C708,'PL TOTAL D0'!A:A,'PL TOTAL D0'!C:C,"")</f>
        <v>243234.7</v>
      </c>
    </row>
    <row r="709" ht="15.75" customHeight="1">
      <c r="A709" s="44" t="s">
        <v>36</v>
      </c>
      <c r="B709" s="66" t="s">
        <v>2350</v>
      </c>
      <c r="C709" s="67" t="s">
        <v>2351</v>
      </c>
      <c r="D709" s="9" t="s">
        <v>18</v>
      </c>
      <c r="E709" s="25" t="s">
        <v>29</v>
      </c>
      <c r="F709" s="9" t="s">
        <v>87</v>
      </c>
      <c r="G709" s="47" t="str">
        <f t="shared" si="1"/>
        <v>Augusto</v>
      </c>
      <c r="H709" s="53" t="s">
        <v>88</v>
      </c>
      <c r="I709" s="53" t="s">
        <v>24</v>
      </c>
      <c r="J709" s="47" t="str">
        <f t="shared" si="7"/>
        <v>Sim</v>
      </c>
      <c r="K709" s="59">
        <v>45407.0</v>
      </c>
      <c r="L709" s="64"/>
      <c r="M709" s="24" t="s">
        <v>60</v>
      </c>
      <c r="N709" s="50">
        <v>0.012</v>
      </c>
      <c r="O709" s="47" t="s">
        <v>24</v>
      </c>
      <c r="P709" s="51">
        <v>0.0</v>
      </c>
      <c r="Q709" s="15" t="s">
        <v>2352</v>
      </c>
      <c r="R709" s="75"/>
      <c r="S709" s="62"/>
      <c r="T709" s="25" t="s">
        <v>89</v>
      </c>
      <c r="U709" s="5" t="s">
        <v>2353</v>
      </c>
      <c r="V709" s="9" t="s">
        <v>29</v>
      </c>
      <c r="W709" s="53" t="str">
        <f t="shared" si="3"/>
        <v>Ativo</v>
      </c>
      <c r="X709" s="25" t="s">
        <v>318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>
        <v>130756.33</v>
      </c>
      <c r="AT709" s="55">
        <f t="array" ref="AT709">XLOOKUP(C709,'PL TOTAL D0'!A:A,'PL TOTAL D0'!C:C,"")</f>
        <v>131131.1</v>
      </c>
    </row>
    <row r="710" ht="15.75" customHeight="1">
      <c r="A710" s="44" t="s">
        <v>36</v>
      </c>
      <c r="B710" s="66" t="s">
        <v>2354</v>
      </c>
      <c r="C710" s="67" t="s">
        <v>2355</v>
      </c>
      <c r="D710" s="9" t="s">
        <v>2356</v>
      </c>
      <c r="E710" s="25" t="s">
        <v>145</v>
      </c>
      <c r="F710" s="9" t="s">
        <v>2357</v>
      </c>
      <c r="G710" s="47" t="str">
        <f t="shared" si="1"/>
        <v>Augusto</v>
      </c>
      <c r="H710" s="53" t="s">
        <v>88</v>
      </c>
      <c r="I710" s="53" t="s">
        <v>24</v>
      </c>
      <c r="J710" s="47" t="str">
        <f t="shared" si="7"/>
        <v>Não</v>
      </c>
      <c r="K710" s="59">
        <v>45421.0</v>
      </c>
      <c r="L710" s="64"/>
      <c r="M710" s="25" t="s">
        <v>60</v>
      </c>
      <c r="N710" s="60">
        <v>0.012</v>
      </c>
      <c r="O710" s="9" t="s">
        <v>24</v>
      </c>
      <c r="P710" s="61">
        <v>0.0</v>
      </c>
      <c r="Q710" s="15"/>
      <c r="R710" s="75"/>
      <c r="S710" s="62"/>
      <c r="T710" s="25" t="s">
        <v>89</v>
      </c>
      <c r="U710" s="23" t="s">
        <v>2358</v>
      </c>
      <c r="V710" s="9" t="s">
        <v>180</v>
      </c>
      <c r="W710" s="53" t="str">
        <f t="shared" si="3"/>
        <v>Ativo</v>
      </c>
      <c r="X710" s="25" t="s">
        <v>48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/>
      <c r="AT710" s="55"/>
    </row>
    <row r="711" ht="15.75" customHeight="1">
      <c r="A711" s="44" t="s">
        <v>36</v>
      </c>
      <c r="B711" s="66" t="s">
        <v>2359</v>
      </c>
      <c r="C711" s="67" t="s">
        <v>2360</v>
      </c>
      <c r="D711" s="9" t="s">
        <v>18</v>
      </c>
      <c r="E711" s="25" t="s">
        <v>29</v>
      </c>
      <c r="F711" s="9" t="s">
        <v>569</v>
      </c>
      <c r="G711" s="47" t="str">
        <f t="shared" si="1"/>
        <v>Augusto</v>
      </c>
      <c r="H711" s="53" t="s">
        <v>116</v>
      </c>
      <c r="I711" s="53" t="s">
        <v>117</v>
      </c>
      <c r="J711" s="47" t="str">
        <f t="shared" si="7"/>
        <v>Não</v>
      </c>
      <c r="K711" s="59">
        <v>45394.0</v>
      </c>
      <c r="L711" s="64"/>
      <c r="M711" s="25" t="s">
        <v>118</v>
      </c>
      <c r="N711" s="60">
        <v>0.0</v>
      </c>
      <c r="O711" s="9" t="s">
        <v>24</v>
      </c>
      <c r="P711" s="61">
        <v>0.0</v>
      </c>
      <c r="Q711" s="76"/>
      <c r="R711" s="75"/>
      <c r="S711" s="62"/>
      <c r="T711" s="25" t="s">
        <v>89</v>
      </c>
      <c r="U711" s="5" t="s">
        <v>2361</v>
      </c>
      <c r="V711" s="9" t="s">
        <v>1371</v>
      </c>
      <c r="W711" s="53" t="str">
        <f t="shared" si="3"/>
        <v>Ativo</v>
      </c>
      <c r="X711" s="25" t="s">
        <v>48</v>
      </c>
      <c r="Y711" s="54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5"/>
      <c r="AR711" s="55"/>
      <c r="AS711" s="55">
        <v>40169.61</v>
      </c>
      <c r="AT711" s="55">
        <f t="array" ref="AT711">XLOOKUP(C711,'PL TOTAL D0'!A:A,'PL TOTAL D0'!C:C,"")</f>
        <v>45417.15</v>
      </c>
    </row>
    <row r="712" ht="15.75" customHeight="1">
      <c r="A712" s="265"/>
      <c r="B712" s="265"/>
      <c r="C712" s="77"/>
      <c r="D712" s="266"/>
      <c r="E712" s="266"/>
      <c r="F712" s="267"/>
      <c r="G712" s="267"/>
      <c r="H712" s="268"/>
      <c r="I712" s="269"/>
      <c r="J712" s="268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267"/>
      <c r="V712" s="267"/>
      <c r="W712" s="267"/>
      <c r="X712" s="270"/>
      <c r="Y712" s="270"/>
      <c r="Z712" s="273"/>
      <c r="AA712" s="274"/>
      <c r="AB712" s="274"/>
      <c r="AC712" s="274"/>
      <c r="AD712" s="274"/>
      <c r="AE712" s="274"/>
      <c r="AF712" s="274"/>
      <c r="AG712" s="274"/>
      <c r="AH712" s="274"/>
      <c r="AI712" s="274"/>
      <c r="AJ712" s="274"/>
      <c r="AK712" s="274"/>
      <c r="AL712" s="274"/>
      <c r="AM712" s="274"/>
      <c r="AN712" s="274"/>
      <c r="AO712" s="274"/>
      <c r="AP712" s="274"/>
      <c r="AQ712" s="274"/>
      <c r="AR712" s="274"/>
      <c r="AS712" s="274"/>
      <c r="AT712" s="274"/>
    </row>
    <row r="713" ht="15.75" customHeight="1">
      <c r="A713" s="275"/>
      <c r="B713" s="276" t="s">
        <v>2362</v>
      </c>
      <c r="C713" s="277">
        <f>COUNTIF(H:H,"Ativo")</f>
        <v>498</v>
      </c>
      <c r="D713" s="184"/>
      <c r="E713" s="267"/>
      <c r="F713" s="267"/>
      <c r="G713" s="267"/>
      <c r="H713" s="267"/>
      <c r="I713" s="278"/>
      <c r="J713" s="267"/>
      <c r="K713" s="270"/>
      <c r="L713" s="270"/>
      <c r="M713" s="267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70"/>
      <c r="Y713" s="270"/>
      <c r="Z713" s="273"/>
      <c r="AA713" s="279">
        <f t="shared" ref="AA713:AH713" si="8">SUM(AA4:AA712)</f>
        <v>0</v>
      </c>
      <c r="AB713" s="279">
        <f t="shared" si="8"/>
        <v>0</v>
      </c>
      <c r="AC713" s="279">
        <f t="shared" si="8"/>
        <v>11487265.99</v>
      </c>
      <c r="AD713" s="279">
        <f t="shared" si="8"/>
        <v>27095720.27</v>
      </c>
      <c r="AE713" s="279">
        <f t="shared" si="8"/>
        <v>67316998.84</v>
      </c>
      <c r="AF713" s="279">
        <f t="shared" si="8"/>
        <v>121282813.8</v>
      </c>
      <c r="AG713" s="279">
        <f t="shared" si="8"/>
        <v>158453126.6</v>
      </c>
      <c r="AH713" s="279">
        <f t="shared" si="8"/>
        <v>176485810.2</v>
      </c>
      <c r="AI713" s="279">
        <f t="shared" ref="AI713:AT713" si="9">SUM(AI3:AI712)</f>
        <v>200973916.2</v>
      </c>
      <c r="AJ713" s="279">
        <f t="shared" si="9"/>
        <v>223824019</v>
      </c>
      <c r="AK713" s="279">
        <f t="shared" si="9"/>
        <v>251828795.4</v>
      </c>
      <c r="AL713" s="279">
        <f t="shared" si="9"/>
        <v>253308331.6</v>
      </c>
      <c r="AM713" s="279">
        <f t="shared" si="9"/>
        <v>261297595.4</v>
      </c>
      <c r="AN713" s="279">
        <f t="shared" si="9"/>
        <v>269633672.6</v>
      </c>
      <c r="AO713" s="279">
        <f t="shared" si="9"/>
        <v>277910116.6</v>
      </c>
      <c r="AP713" s="279">
        <f t="shared" si="9"/>
        <v>278619209.6</v>
      </c>
      <c r="AQ713" s="279">
        <f t="shared" si="9"/>
        <v>283162549.7</v>
      </c>
      <c r="AR713" s="279">
        <f t="shared" si="9"/>
        <v>280798600.8</v>
      </c>
      <c r="AS713" s="279">
        <f t="shared" si="9"/>
        <v>281660716.3</v>
      </c>
      <c r="AT713" s="279">
        <f t="shared" si="9"/>
        <v>288855817.5</v>
      </c>
    </row>
    <row r="714" ht="15.75" customHeight="1">
      <c r="A714" s="280"/>
      <c r="B714" s="281" t="s">
        <v>2363</v>
      </c>
      <c r="C714" s="282">
        <f>COUNTIF(H:H,"Inativo")</f>
        <v>164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74"/>
      <c r="AS714" s="274"/>
      <c r="AT714" s="274"/>
    </row>
    <row r="715" ht="15.75" customHeight="1">
      <c r="A715" s="280"/>
      <c r="B715" s="281" t="s">
        <v>2364</v>
      </c>
      <c r="C715" s="282">
        <f>COUNTIF(H:H,"Encerrado")</f>
        <v>41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87"/>
      <c r="AS715" s="274"/>
      <c r="AT715" s="287">
        <v>4.03289752E7</v>
      </c>
    </row>
    <row r="716" ht="15.75" customHeight="1">
      <c r="A716" s="288"/>
      <c r="B716" s="289" t="s">
        <v>2365</v>
      </c>
      <c r="C716" s="290">
        <f>COUNTIF(H:H,"Pode Operar")</f>
        <v>6</v>
      </c>
      <c r="D716" s="184"/>
      <c r="E716" s="283"/>
      <c r="F716" s="268"/>
      <c r="G716" s="268"/>
      <c r="H716" s="266"/>
      <c r="I716" s="284"/>
      <c r="J716" s="266"/>
      <c r="K716" s="285"/>
      <c r="L716" s="286"/>
      <c r="M716" s="266"/>
      <c r="N716" s="271"/>
      <c r="O716" s="271"/>
      <c r="P716" s="272"/>
      <c r="Q716" s="166"/>
      <c r="R716" s="166"/>
      <c r="S716" s="166"/>
      <c r="T716" s="267"/>
      <c r="U716" s="184"/>
      <c r="V716" s="184"/>
      <c r="W716" s="267"/>
      <c r="X716" s="286"/>
      <c r="Y716" s="286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74"/>
      <c r="AT716" s="274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87"/>
      <c r="AT717" s="287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6"/>
      <c r="R727" s="166"/>
      <c r="S727" s="166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</sheetData>
  <customSheetViews>
    <customSheetView guid="{7985F08F-21D0-4857-B343-A169B2E7E8B8}" filter="1" showAutoFilter="1">
      <autoFilter ref="$D$2:$F$717"/>
    </customSheetView>
    <customSheetView guid="{08B80006-9FBD-4C50-B931-7AE1BAD7DE28}" filter="1" showAutoFilter="1">
      <autoFilter ref="$A$1:$AQ$709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E2E488F-75A5-47AE-BF0D-BD1A0BF97758}" filter="1" showAutoFilter="1">
      <autoFilter ref="$A$1:$AT$712"/>
    </customSheetView>
    <customSheetView guid="{EA986F07-F992-43A4-B104-04F9160A389A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C2204E23-B517-4FA0-8988-3EB0CD6DE0AB}" filter="1" showAutoFilter="1">
      <autoFilter ref="$A$1:$AM$71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387C231-1730-4402-A9BF-7885B6D4DCDC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F8CF9002-B06E-45BE-8A5F-5F71D5628DB1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92793B76-64C0-4589-9F0B-568E3DE07800}" filter="1" showAutoFilter="1">
      <autoFilter ref="$A$1:$AL$712"/>
    </customSheetView>
    <customSheetView guid="{663CCCD2-7E93-4256-8A2F-1D0B3721B68E}" filter="1" showAutoFilter="1">
      <autoFilter ref="$A$1:$AP$709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FF07CE0-5A2F-4971-BB66-06AB92C22061}" filter="1" showAutoFilter="1">
      <autoFilter ref="$B$2:$AG$712"/>
    </customSheetView>
    <customSheetView guid="{52109A24-5DD9-4107-B95F-203A6F6A7914}" filter="1" showAutoFilter="1">
      <autoFilter ref="$A$2:$AR$709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FAFB7355-3511-4971-B6D7-5B1C47398093}" filter="1" showAutoFilter="1">
      <autoFilter ref="$AJ$2:$AJ$717"/>
    </customSheetView>
    <customSheetView guid="{FC8C1002-0B6D-4867-B64C-40A202566A54}" filter="1" showAutoFilter="1">
      <autoFilter ref="$A$1:$AP$709"/>
    </customSheetView>
    <customSheetView guid="{05257AA6-5B92-48D0-A088-15AE2B8FD74A}" filter="1" showAutoFilter="1">
      <autoFilter ref="$A$2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B669242-D7BF-4995-BDC4-A6FACDB180B1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3926AC4-7E1C-4288-B31D-B651CBA2DB0E}" filter="1" showAutoFilter="1">
      <autoFilter ref="$A$1:$AP$70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A2BE32A9-7FC4-4450-9555-7AB2205F74C5}" filter="1" showAutoFilter="1">
      <autoFilter ref="$A$1:$AR$70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4B5D9D7-5A3B-4EA7-B778-29EF2BD5970D}" filter="1" showAutoFilter="1">
      <autoFilter ref="$A$2:$AL$712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0F73EE46-FEA2-4915-B2A3-49F2E0F02A22}" filter="1" showAutoFilter="1">
      <autoFilter ref="$A$2:$AL$712"/>
    </customSheetView>
    <customSheetView guid="{DAF2277C-545F-4BDC-8B88-30CDA53D10E3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9E43057B-E338-45AA-8340-8C53E4DB09F1}" filter="1" showAutoFilter="1">
      <autoFilter ref="$A$1:$AR$709">
        <filterColumn colId="12">
          <filters>
            <filter val="FUND"/>
          </filters>
        </filterColumn>
      </autoFilter>
    </customSheetView>
    <customSheetView guid="{9D41C457-8B07-47BC-BEF4-396DB93950A4}" filter="1" showAutoFilter="1">
      <autoFilter ref="$A$1:$AM$716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7A544DE-9100-4FAD-8196-177D626201DB}" filter="1" showAutoFilter="1">
      <autoFilter ref="$K$2:$K$717"/>
    </customSheetView>
    <customSheetView guid="{A523B058-775F-4482-973A-8D9D70FC373D}" filter="1" showAutoFilter="1">
      <autoFilter ref="$M$2:$O$717"/>
    </customSheetView>
    <customSheetView guid="{A53364DD-B514-4EA2-8A9F-51739C5C6493}" filter="1" showAutoFilter="1">
      <autoFilter ref="$AH$2:$AH$717"/>
    </customSheetView>
    <customSheetView guid="{2E80172B-6512-4575-B651-61EDF66C7F41}" filter="1" showAutoFilter="1">
      <autoFilter ref="$B$2:$AJ$71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E51A6EC-E4D3-48B1-82F1-BC837F3DAF78}" filter="1" showAutoFilter="1">
      <autoFilter ref="$A$1:$AL$712">
        <filterColumn colId="6">
          <filters blank="1">
            <filter val="Augusto"/>
            <filter val="#N/A"/>
          </filters>
        </filterColumn>
      </autoFilter>
    </customSheetView>
    <customSheetView guid="{B134422F-0BCB-4FAD-B684-0ECBB777A077}" filter="1" showAutoFilter="1">
      <autoFilter ref="$F$2:$F$717"/>
    </customSheetView>
    <customSheetView guid="{4E65F573-EBD6-4FCA-999B-70F64F8AB073}" filter="1" showAutoFilter="1">
      <autoFilter ref="$A$1:$AL$717"/>
    </customSheetView>
    <customSheetView guid="{44316468-38AC-42CD-AE38-9E646E512E64}" filter="1" showAutoFilter="1">
      <autoFilter ref="$A$1:$AO$709"/>
    </customSheetView>
    <customSheetView guid="{1D734B6E-A280-4CC5-9CF1-59776C13B30A}" filter="1" showAutoFilter="1">
      <autoFilter ref="$A$1:$AL$712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F8B5FEB-7FE7-466B-AB18-6D70DA8F7083}" filter="1" showAutoFilter="1">
      <autoFilter ref="$A$1:$AP$717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6994DBCD-E022-4A48-A5E5-713ED8D51C56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E5207BF-E6E6-4F4B-B7D1-F4B2C6BFE1E5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03A3BD7-21B9-4395-A417-32F00FD4CEE6}" filter="1" showAutoFilter="1">
      <autoFilter ref="$A$2:$AP$709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B41510F-4579-46CA-9138-B06B562FD3CD}" filter="1" showAutoFilter="1">
      <autoFilter ref="$B$2:$AJ$712"/>
    </customSheetView>
    <customSheetView guid="{A21317A7-0E6A-4599-BC00-DD2BF812D344}" filter="1" showAutoFilter="1">
      <autoFilter ref="$A$1:$AP$709"/>
    </customSheetView>
    <customSheetView guid="{DDFB3275-1379-4EEA-AC46-B01810C73646}" filter="1" showAutoFilter="1">
      <autoFilter ref="$A$1:$AQ$709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EC71F891-BDF5-4277-B3C5-733BFFE40ED3}" filter="1" showAutoFilter="1">
      <autoFilter ref="$A$2:$AO$70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1698E10-DDA8-4AA1-9F60-2AAAD4F9FAA4}" filter="1" showAutoFilter="1">
      <autoFilter ref="$F$2:$M$717"/>
    </customSheetView>
    <customSheetView guid="{51B6FB93-5024-4D2B-9955-3F7A33A9238D}" filter="1" showAutoFilter="1">
      <autoFilter ref="$A$2:$AP$70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983671B-C43E-4C55-87EB-B8EA758CA949}" filter="1" showAutoFilter="1">
      <autoFilter ref="$F$2:$F$717"/>
    </customSheetView>
    <customSheetView guid="{07EA6B85-A66F-4CE6-BAFE-7F30DA1049D2}" filter="1" showAutoFilter="1">
      <autoFilter ref="$A$1:$AM$712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34DA610-4FA0-47F5-AAFD-7453E6C4DDA8}" filter="1" showAutoFilter="1">
      <autoFilter ref="$A$2:$AN$709">
        <filterColumn colId="12">
          <filters>
            <filter val="CON/ GR"/>
            <filter val="CORP"/>
            <filter val="MOD/ GR"/>
          </filters>
        </filterColumn>
      </autoFilter>
    </customSheetView>
    <customSheetView guid="{A94FA106-16EE-486E-84B0-759F85D20B85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1A402AE6-EA80-4266-BF99-BE51A40E5833}" filter="1" showAutoFilter="1">
      <autoFilter ref="$A$2:$AQ$70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52CEA6DB-7667-480F-8EC6-4A45716C3F0A}" filter="1" showAutoFilter="1">
      <autoFilter ref="$AJ$2:$AJ$717"/>
    </customSheetView>
    <customSheetView guid="{8C91DC57-0262-445C-914E-B6F2732BDF05}" filter="1" showAutoFilter="1">
      <autoFilter ref="$A$1:$AL$71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C9FCAD4-5090-44B0-A400-F6736002E2D7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4BA204EE-6D5B-4DEC-A50D-C95DB79131CF}" filter="1" showAutoFilter="1">
      <autoFilter ref="$A$1:$AP$70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4346B98-C4C4-498B-A2E1-AB5B3A7CB27D}" filter="1" showAutoFilter="1">
      <autoFilter ref="$A$1:$AQ$709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6ABE31C0-E26C-48D4-98C8-D04880C01291}" filter="1" showAutoFilter="1">
      <autoFilter ref="$B$2:$AK$712">
        <filterColumn colId="6">
          <filters blank="1">
            <filter val="Inativo"/>
            <filter val="Ativo"/>
          </filters>
        </filterColumn>
      </autoFilter>
    </customSheetView>
    <customSheetView guid="{CC80A606-E18D-4874-9084-D8DC89EF886A}" filter="1" showAutoFilter="1">
      <autoFilter ref="$B$2:$AI$712"/>
    </customSheetView>
    <customSheetView guid="{DBDCCE48-4A0D-476D-9B45-8063C31CBB73}" filter="1" showAutoFilter="1">
      <autoFilter ref="$B$2:$AI$717"/>
    </customSheetView>
    <customSheetView guid="{9CFDA89C-F9C0-4CDA-9E07-0A03DAC4824D}" filter="1" showAutoFilter="1">
      <autoFilter ref="$A$1:$AQ$709"/>
    </customSheetView>
    <customSheetView guid="{71C59E0E-1882-4CF3-B4E8-9A991F40DD3D}" filter="1" showAutoFilter="1">
      <autoFilter ref="$B$2:$AG$712"/>
    </customSheetView>
    <customSheetView guid="{763CC667-343E-47DA-A419-6EC16B690ABE}" filter="1" showAutoFilter="1">
      <autoFilter ref="$A$1:$F$709"/>
    </customSheetView>
    <customSheetView guid="{040D3792-40E9-4D79-90E4-6D14621D76AE}" filter="1" showAutoFilter="1">
      <autoFilter ref="$A$1:$AN$709">
        <filterColumn colId="4">
          <filters>
            <filter val="DF"/>
          </filters>
        </filterColumn>
      </autoFilter>
    </customSheetView>
    <customSheetView guid="{8532BC20-4043-49D8-AC0B-6564AB1B466D}" filter="1" showAutoFilter="1">
      <autoFilter ref="$A$2:$AQ$709">
        <filterColumn colId="4">
          <filters>
            <filter val="SUL"/>
          </filters>
        </filterColumn>
      </autoFilter>
    </customSheetView>
    <customSheetView guid="{116EB662-3C30-46DA-916F-9EA281479AE3}" filter="1" showAutoFilter="1">
      <autoFilter ref="$A$1:$AP$70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08EA56DB-48A4-4245-97C6-0327E37C8FFA}" filter="1" showAutoFilter="1">
      <autoFilter ref="$A$1:$AN$717"/>
    </customSheetView>
    <customSheetView guid="{14AD66D1-5300-40DC-BAB6-177D96961717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DAF2D55-C85C-42CC-97E9-4B596B444E4D}" filter="1" showAutoFilter="1">
      <autoFilter ref="$AC$2:$AC$717"/>
    </customSheetView>
    <customSheetView guid="{5E270B86-1321-4BA0-ADAE-BC61EAE9B580}" filter="1" showAutoFilter="1">
      <autoFilter ref="$D$2:$AI$717"/>
    </customSheetView>
    <customSheetView guid="{D148E6E7-2EE6-49BE-A9BD-71FE251D74D6}" filter="1" showAutoFilter="1">
      <autoFilter ref="$B$2:$AJ$712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B615DBA7-BA75-4741-85A9-63E212DB71B5}" filter="1" showAutoFilter="1">
      <autoFilter ref="$A$1:$AO$709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D5788DD4-C243-4F7C-BB9D-BE988D4E0E5E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26B9BF2-3F37-4358-80AD-E570E17984BA}" filter="1" showAutoFilter="1">
      <autoFilter ref="$D$2:$E$711">
        <filterColumn colId="1">
          <filters>
            <filter val="SUL"/>
          </filters>
        </filterColumn>
      </autoFilter>
    </customSheetView>
    <customSheetView guid="{CB8773AC-02D6-4041-9A72-DE8DF63722B0}" filter="1" showAutoFilter="1">
      <autoFilter ref="$B$2:$AJ$712"/>
    </customSheetView>
    <customSheetView guid="{E0AF2585-D166-4CBA-8664-0A24674CFAF8}" filter="1" showAutoFilter="1">
      <autoFilter ref="$B$2:$AK$712"/>
    </customSheetView>
    <customSheetView guid="{1D23FD0B-BA0E-4AA3-8709-581FB1F85E00}" filter="1" showAutoFilter="1">
      <autoFilter ref="$A$1:$AP$709"/>
    </customSheetView>
    <customSheetView guid="{F3D9F0AB-F6CA-4517-8F4A-57B3906D71E9}" filter="1" showAutoFilter="1">
      <autoFilter ref="$A$2:$AR$709">
        <filterColumn colId="7">
          <filters>
            <filter val="Pode Operar"/>
          </filters>
        </filterColumn>
      </autoFilter>
    </customSheetView>
    <customSheetView guid="{0C82A4DC-E90D-4212-AD6A-1F8F21B2AA56}" filter="1" showAutoFilter="1">
      <autoFilter ref="$D$2:$F$717"/>
    </customSheetView>
    <customSheetView guid="{D261A082-2317-434E-870C-3DF13ED0E6A5}" filter="1" showAutoFilter="1">
      <autoFilter ref="$B$2:$AG$712"/>
    </customSheetView>
    <customSheetView guid="{FEFABB88-80C2-4506-AD54-D14703EFC7CC}" filter="1" showAutoFilter="1">
      <autoFilter ref="$F$2:$F$717"/>
    </customSheetView>
    <customSheetView guid="{E55E08A7-A684-4713-A0EB-DCADA8951F89}" filter="1" showAutoFilter="1">
      <autoFilter ref="$A$2:$AQ$709"/>
    </customSheetView>
    <customSheetView guid="{36C090E8-0299-4B4F-B985-9F261B984FCE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EC9EA22-83F8-452F-A96D-4484BDAF7C8B}" filter="1" showAutoFilter="1">
      <autoFilter ref="$A$1:$AP$709">
        <filterColumn colId="8">
          <filters>
            <filter val="STVM Saída"/>
            <filter val="STVM Entrada"/>
          </filters>
        </filterColumn>
      </autoFilter>
    </customSheetView>
    <customSheetView guid="{AC82BF55-DA9A-426C-B5E1-71D7F2B82A4C}" filter="1" showAutoFilter="1">
      <autoFilter ref="$B$2:$AJ$712"/>
    </customSheetView>
    <customSheetView guid="{B492C1FC-D422-4235-AE0B-37C500566990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3C9C460F-7DEE-4D1A-871D-BBB862AA7E25}" filter="1" showAutoFilter="1">
      <autoFilter ref="$A$1:$AL$712"/>
    </customSheetView>
    <customSheetView guid="{D2225096-4480-40B0-8B8D-B6829460A6C1}" filter="1" showAutoFilter="1">
      <autoFilter ref="$A$2:$AR$709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5A526B1-B488-46A7-A394-1C2652CF562E}" filter="1" showAutoFilter="1">
      <autoFilter ref="$B$2:$AG$712"/>
    </customSheetView>
    <customSheetView guid="{53901DF9-4514-409A-96E9-8200D43B9608}" filter="1" showAutoFilter="1">
      <autoFilter ref="$B$2:$AI$712"/>
    </customSheetView>
    <customSheetView guid="{BBF9EDB6-27CD-45A5-AD96-BEB52F7E184F}" filter="1" showAutoFilter="1">
      <autoFilter ref="$AR$5:$AR$706"/>
    </customSheetView>
    <customSheetView guid="{D9BA31C7-D462-49F9-80B1-DFF2D04F5779}" filter="1" showAutoFilter="1">
      <autoFilter ref="$D$2:$F$717"/>
    </customSheetView>
    <customSheetView guid="{3070CD03-FA60-45BD-8ADF-C9712F83623E}" filter="1" showAutoFilter="1">
      <autoFilter ref="$A$1:$AL$712"/>
    </customSheetView>
    <customSheetView guid="{4ADA64E2-6C82-43DF-B641-CDED5175C63D}" filter="1" showAutoFilter="1">
      <autoFilter ref="$A$2:$AQ$709">
        <filterColumn colId="8">
          <filters>
            <filter val="Bloqueado"/>
            <filter val="Sem Saldo"/>
          </filters>
        </filterColumn>
      </autoFilter>
    </customSheetView>
    <customSheetView guid="{5B308F4F-4DC3-4E1E-B1C7-8867D887031D}" filter="1" showAutoFilter="1">
      <autoFilter ref="$A$2:$AR$70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3F606140-0F41-49C8-AB6B-BFE3DE206A48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5DBDBA2-2BC8-499F-A7BA-C82093D9B875}" filter="1" showAutoFilter="1">
      <autoFilter ref="$F$2:$AI$71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E1939334-B421-4DCA-B9EE-43D3F33E6002}" filter="1" showAutoFilter="1">
      <autoFilter ref="$A$1:$AR$709">
        <filterColumn colId="7">
          <filters>
            <filter val="Encerrado"/>
          </filters>
        </filterColumn>
        <filterColumn colId="11">
          <filters blank="1">
            <filter val="11/04/2024"/>
            <filter val="21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4C7E836C-516F-4621-A32C-2C387D49B27E}" filter="1" showAutoFilter="1">
      <autoFilter ref="$B$2:$AI$712"/>
    </customSheetView>
    <customSheetView guid="{E65D8B3E-1655-4F67-B0B4-3628FEF8BEF6}" filter="1" showAutoFilter="1">
      <autoFilter ref="$B$2:$AJ$712"/>
    </customSheetView>
    <customSheetView guid="{1090F16F-BD9E-479B-AFD5-820BB42AB0DC}" filter="1" showAutoFilter="1">
      <autoFilter ref="$D$2:$K$71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5E87A19-4591-4899-8666-0DD1BD25480F}" filter="1" showAutoFilter="1">
      <autoFilter ref="$A$1:$AL$71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16A5FC9-148E-4A75-B7F7-DEC824DC0AC8}" filter="1" showAutoFilter="1">
      <autoFilter ref="$D$2:$AI$717"/>
    </customSheetView>
    <customSheetView guid="{0E55175E-B0D7-41AC-A41E-2922B5D6F4C3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C8A91D34-A752-42D1-A08D-5861997E682A}" filter="1" showAutoFilter="1">
      <autoFilter ref="$A$1:$AQ$709">
        <filterColumn colId="8">
          <filters>
            <filter val="STVM Saída"/>
            <filter val="STVM Entrada"/>
          </filters>
        </filterColumn>
      </autoFilter>
    </customSheetView>
    <customSheetView guid="{E3CCBDF6-EBB9-4612-87C3-EFD8B53A87D8}" filter="1" showAutoFilter="1">
      <autoFilter ref="$M$2:$M$71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09584AB8-19AC-47F9-882C-B0AFD4BE0C8E}" filter="1" showAutoFilter="1">
      <autoFilter ref="$A$1:$AP$70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2AFC83B-4DEA-4A51-B68E-472825B7FCAA}" filter="1" showAutoFilter="1">
      <autoFilter ref="$B$2:$Q$712">
        <filterColumn colId="13">
          <filters blank="1">
            <filter val="S&amp;P 500"/>
            <filter val="IFIX"/>
          </filters>
        </filterColumn>
      </autoFilter>
    </customSheetView>
    <customSheetView guid="{1DB96AF3-9D3E-4838-913C-C0F399928E52}" filter="1" showAutoFilter="1">
      <autoFilter ref="$A$1:$AT$712"/>
    </customSheetView>
    <customSheetView guid="{66EC0AA8-93B3-4E99-AC53-0ABE46566A17}" filter="1" showAutoFilter="1">
      <autoFilter ref="$B$2:$AI$712"/>
    </customSheetView>
    <customSheetView guid="{AB3ED06F-4D46-40A9-9768-3CC98FCAEF1A}" filter="1" showAutoFilter="1">
      <autoFilter ref="$F$2:$F$717"/>
    </customSheetView>
    <customSheetView guid="{5D3800D6-FF2D-4E87-8484-84F3007EE85B}" filter="1" showAutoFilter="1">
      <autoFilter ref="$A$1:$AL$71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2AD0DA8-8D4F-4188-BF43-9353912DF123}" filter="1" showAutoFilter="1">
      <autoFilter ref="$A$1:$AR$709">
        <filterColumn colId="8">
          <filters>
            <filter val="Bloqueado"/>
          </filters>
        </filterColumn>
      </autoFilter>
    </customSheetView>
    <customSheetView guid="{B8880C94-87C5-4142-8BDE-8EC3E16BF146}" filter="1" showAutoFilter="1">
      <autoFilter ref="$A$1:$AR$709"/>
    </customSheetView>
    <customSheetView guid="{55B7646E-B15E-44B7-B0C4-C088194CE831}" filter="1" showAutoFilter="1">
      <autoFilter ref="$D$2:$F$717"/>
    </customSheetView>
    <customSheetView guid="{56AC6FDE-4140-439E-B4CE-6ACCAB7B9E36}" filter="1" showAutoFilter="1">
      <autoFilter ref="$A$1:$AR$712">
        <filterColumn colId="7">
          <filters blank="1">
            <filter val="Ativo"/>
          </filters>
        </filterColumn>
      </autoFilter>
    </customSheetView>
    <customSheetView guid="{74C6DE91-012A-43B1-9A44-F591F5A49024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A8D88191-7995-4311-985F-F0CD43FC8EB6}" filter="1" showAutoFilter="1">
      <autoFilter ref="$A$1:$AP$709"/>
    </customSheetView>
    <customSheetView guid="{D481CC72-5287-4654-8448-0E0B9A82A529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9B23163-7C0D-4211-A1A5-E11724E4BA96}" filter="1" showAutoFilter="1">
      <autoFilter ref="$A$1:$AM$716">
        <filterColumn colId="12">
          <filters>
            <filter val="CON/ GR"/>
            <filter val="DIV"/>
            <filter val="MOD/ GR"/>
          </filters>
        </filterColumn>
      </autoFilter>
    </customSheetView>
    <customSheetView guid="{CD6D1556-1285-48E7-8A61-EED0F4ED38AA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661149BC-C4AD-401C-A44B-54049A13E71C}" filter="1" showAutoFilter="1">
      <autoFilter ref="$A$1:$AP$709"/>
    </customSheetView>
    <customSheetView guid="{C96DF2B4-0F66-4C6F-8CEF-1ADCD3DF88CC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8601E151-3167-4004-BAF4-1AD8E319BAF6}" filter="1" showAutoFilter="1">
      <autoFilter ref="$A$1:$AP$709">
        <filterColumn colId="22">
          <filters>
            <filter val="Inativo"/>
          </filters>
        </filterColumn>
      </autoFilter>
    </customSheetView>
    <customSheetView guid="{D82D0BA3-5BE7-4266-B601-586E2F81D2C0}" filter="1" showAutoFilter="1">
      <autoFilter ref="$A$1:$AR$712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9CF884E3-577D-4B19-8C96-BC1C0F198B06}" filter="1" showAutoFilter="1">
      <autoFilter ref="$E$2:$F$717"/>
    </customSheetView>
    <customSheetView guid="{06C8BAAC-A484-4177-88D0-D49357D723FA}" filter="1" showAutoFilter="1">
      <autoFilter ref="$A$1:$AR$709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3F60B44-EBDF-4618-A6D3-5A5A6D90D69E}" filter="1" showAutoFilter="1">
      <autoFilter ref="$K$2:$K$71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81B9D93-C257-4334-B6B3-71353CB41B4C}" filter="1" showAutoFilter="1">
      <autoFilter ref="$A$2:$AR$709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21F6F67-9CAE-4BE6-A778-559037510E73}" filter="1" showAutoFilter="1">
      <autoFilter ref="$A$1:$AL$712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114A1133-5BB9-4BB1-9482-9752ABAB69AA}" filter="1" showAutoFilter="1">
      <autoFilter ref="$A$1:$AM$709"/>
    </customSheetView>
    <customSheetView guid="{993D1392-AFE3-447F-AC3F-A9FF56CD86A9}" filter="1" showAutoFilter="1">
      <autoFilter ref="$A$1:$AM$71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82BBDE4B-1903-4F52-BF7C-9EF911885ABE}" filter="1" showAutoFilter="1">
      <autoFilter ref="$AB$2:$AB$717"/>
    </customSheetView>
    <customSheetView guid="{710DB259-D3C1-49BA-B5F3-65C6F595E227}" filter="1" showAutoFilter="1">
      <autoFilter ref="$A$1:$AM$717"/>
    </customSheetView>
    <customSheetView guid="{56DCD043-62A4-43D9-96EA-73EE16C4E404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DAD74BE-86DE-4367-A5CC-7F0296794B75}" filter="1" showAutoFilter="1">
      <autoFilter ref="$K$2:$L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4A83559-B735-4B8E-BC96-FAE015508A07}" filter="1" showAutoFilter="1">
      <autoFilter ref="$B$2:$AJ$712"/>
    </customSheetView>
    <customSheetView guid="{4B7822A7-8191-48B5-8641-08B7C6DC8065}" filter="1" showAutoFilter="1">
      <autoFilter ref="$A$2:$AP$70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567ED6FE-F710-4604-AD25-12EC85CEBEEE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0E602DE-7A28-4214-94C1-5159DB039D8B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9409BBF-B825-473E-B85E-DDD62A1792CB}" filter="1" showAutoFilter="1">
      <autoFilter ref="$F$2:$F$717"/>
    </customSheetView>
    <customSheetView guid="{423350F7-2108-43BC-A31E-A367EEBBA113}" filter="1" showAutoFilter="1">
      <autoFilter ref="$B$2:$AI$712"/>
    </customSheetView>
    <customSheetView guid="{2316AC53-F9C5-4323-B29B-9DB6D2EC6D21}" filter="1" showAutoFilter="1">
      <autoFilter ref="$B$2:$AJ$712"/>
    </customSheetView>
    <customSheetView guid="{13020B47-8608-47EB-88CF-A5A3ED7FB186}" filter="1" showAutoFilter="1">
      <autoFilter ref="$A$2:$AQ$709">
        <filterColumn colId="8">
          <filters>
            <filter val="Monitoramento"/>
          </filters>
        </filterColumn>
      </autoFilter>
    </customSheetView>
    <customSheetView guid="{7F01E67B-DBD5-43CE-B3D3-DA4FFA0F0937}" filter="1" showAutoFilter="1">
      <autoFilter ref="$A$1:$AP$709">
        <filterColumn colId="22">
          <filters>
            <filter val="Inativo"/>
          </filters>
        </filterColumn>
      </autoFilter>
    </customSheetView>
    <customSheetView guid="{3634CF08-937C-4CF8-B768-C5E6E298DA4F}" filter="1" showAutoFilter="1">
      <autoFilter ref="$A$1:$AO$709"/>
    </customSheetView>
    <customSheetView guid="{F5F6A5BA-AAC7-4D16-9A24-5C7E40902730}" filter="1" showAutoFilter="1">
      <autoFilter ref="$A$1:$AQ$709">
        <filterColumn colId="22">
          <filters>
            <filter val="Inativo"/>
          </filters>
        </filterColumn>
      </autoFilter>
    </customSheetView>
    <customSheetView guid="{4B9A8B31-9805-4C2F-B7BA-95293CF049E0}" filter="1" showAutoFilter="1">
      <autoFilter ref="$A$2:$AQ$70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7B3B018A-4DE5-4C51-AA54-9AE75068E0FD}" filter="1" showAutoFilter="1">
      <autoFilter ref="$A$2:$AP$709">
        <filterColumn colId="22">
          <filters/>
        </filterColumn>
      </autoFilter>
    </customSheetView>
    <customSheetView guid="{958B9DE1-BA7C-41DA-AE33-ED738922CD85}" filter="1" showAutoFilter="1">
      <autoFilter ref="$A$2:$AR$70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079BA01-902B-4C06-91F5-DAFF8F7CCF2D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89A428D-4683-4D1E-A33A-B71F52213C26}" filter="1" showAutoFilter="1">
      <autoFilter ref="$B$2:$AJ$712"/>
    </customSheetView>
    <customSheetView guid="{A570573B-8D53-4EE2-BD7B-675539CBE30F}" filter="1" showAutoFilter="1">
      <autoFilter ref="$Q$2:$Q$717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7F3C9BDE-93C6-441E-A6F0-FE38FE8CC3AA}" filter="1" showAutoFilter="1">
      <autoFilter ref="$A$1:$AP$70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7E860CC-A3A3-4629-957E-F9B6AD5E06B0}" filter="1" showAutoFilter="1">
      <autoFilter ref="$A$1:$AP$709">
        <filterColumn colId="22">
          <filters>
            <filter val="Ativo"/>
          </filters>
        </filterColumn>
      </autoFilter>
    </customSheetView>
    <customSheetView guid="{5BE5D1E9-7E18-4418-BD1F-5AE0192959D1}" filter="1" showAutoFilter="1">
      <autoFilter ref="$B$2:$AG$712"/>
    </customSheetView>
    <customSheetView guid="{7F0A67C3-03F1-4BCC-B437-089B1EA42E65}" filter="1" showAutoFilter="1">
      <autoFilter ref="$B$2:$AG$712"/>
    </customSheetView>
    <customSheetView guid="{837B731C-91EB-4546-8923-C1676EFBFBBA}" filter="1" showAutoFilter="1">
      <autoFilter ref="$A$1:$AO$709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7C0285F-4D42-43ED-8C9D-F4C7ABDCF97C}" filter="1" showAutoFilter="1">
      <autoFilter ref="$H$1:$I$711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0A612BA-9E11-465C-8006-C124422FE96E}" filter="1" showAutoFilter="1">
      <autoFilter ref="$A$1:$AO$71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F9FE1536-2AAE-4F09-8322-C59B92DEE01A}" filter="1" showAutoFilter="1">
      <autoFilter ref="$F$2:$F$717"/>
    </customSheetView>
    <customSheetView guid="{5CD27AE0-8190-43F5-AED6-243D464FE985}" filter="1" showAutoFilter="1">
      <autoFilter ref="$A$1:$AQ$709">
        <filterColumn colId="22">
          <filters>
            <filter val="Inativo"/>
          </filters>
        </filterColumn>
      </autoFilter>
    </customSheetView>
    <customSheetView guid="{44EEAA0D-6FB5-4FB0-8890-79C55AE8A442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25B8CD3-D49F-49C1-84E2-78ABA8CA21DD}" filter="1" showAutoFilter="1">
      <autoFilter ref="$A$2:$AQ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335C01C-A8D6-47B9-8969-72D2AC80F1D3}" filter="1" showAutoFilter="1">
      <autoFilter ref="$A$2:$AR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4077DF66-E4D5-4064-BFDD-3A6E2EDC589B}" filter="1" showAutoFilter="1">
      <autoFilter ref="$A$1:$AQ$709"/>
    </customSheetView>
    <customSheetView guid="{644F76FA-9AD7-4D9A-B381-9F62EFB4C7A9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8ED94DC3-6AAF-4F10-A172-8BED5A7CF69F}" filter="1" showAutoFilter="1">
      <autoFilter ref="$B$2:$AJ$712"/>
    </customSheetView>
    <customSheetView guid="{6FAA38CA-4887-41B6-A633-08D6E3A394F8}" filter="1" showAutoFilter="1">
      <autoFilter ref="$B$2:$AI$712"/>
    </customSheetView>
    <customSheetView guid="{E2F9465B-B4AA-48E5-9369-43AB4226F5DE}" filter="1" showAutoFilter="1">
      <autoFilter ref="$J$1:$P$708"/>
    </customSheetView>
    <customSheetView guid="{002759FD-F800-4EE3-AE2E-7162D41A6CCC}" filter="1" showAutoFilter="1">
      <autoFilter ref="$B$2:$AJ$712"/>
    </customSheetView>
    <customSheetView guid="{C6FB1A09-FD62-4025-928B-7E80270CDB6C}" filter="1" showAutoFilter="1">
      <autoFilter ref="$B$2:$AG$712"/>
    </customSheetView>
    <customSheetView guid="{82AEEF9A-38F8-4383-B167-1536C8A38048}" filter="1" showAutoFilter="1">
      <autoFilter ref="$B$2:$AI$717"/>
    </customSheetView>
    <customSheetView guid="{6ABAC057-47AB-4D66-8AB9-16F905EB4625}" filter="1" showAutoFilter="1">
      <autoFilter ref="$A$1:$AR$70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CD3A1677-267D-482A-A9C2-9B8E71ED351A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B78BCF3-4F0E-43B3-A5A7-D5862620F371}" filter="1" showAutoFilter="1">
      <autoFilter ref="$B$2:$AI$712"/>
    </customSheetView>
    <customSheetView guid="{AE3A7B01-A561-4105-8E56-82290752D097}" filter="1" showAutoFilter="1">
      <autoFilter ref="$D$2:$F$717"/>
    </customSheetView>
    <customSheetView guid="{F40E1BC1-10E8-49B7-B93C-0C0203EE3CE5}" filter="1" showAutoFilter="1">
      <autoFilter ref="$AI$2:$AI$71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4C56A70-A484-4B0E-9C29-F9E2925BF8B5}" filter="1" showAutoFilter="1">
      <autoFilter ref="$A$1:$AO$709"/>
    </customSheetView>
    <customSheetView guid="{0262B4A4-219A-4910-927E-3C8B98501B55}" filter="1" showAutoFilter="1">
      <autoFilter ref="$A$1:$AL$71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F7EB1C5-EFC2-4602-97A1-C12E97B0113E}" filter="1" showAutoFilter="1">
      <autoFilter ref="$A$2:$AR$70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B219C54-7AED-4137-A1B3-FD726073CA89}" filter="1" showAutoFilter="1">
      <autoFilter ref="$A$2:$AP$709"/>
    </customSheetView>
    <customSheetView guid="{E001AA13-DCCE-4CB6-99F7-154443258DDF}" filter="1" showAutoFilter="1">
      <autoFilter ref="$B$2:$AJ$71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7729247-6799-449B-B0B7-A7DEE599FFFE}" filter="1" showAutoFilter="1">
      <autoFilter ref="$K$2:$K$717"/>
    </customSheetView>
  </customSheetViews>
  <mergeCells count="5">
    <mergeCell ref="A1:F1"/>
    <mergeCell ref="H1:I1"/>
    <mergeCell ref="J1:P1"/>
    <mergeCell ref="T1:Z1"/>
    <mergeCell ref="AA1:AK1"/>
  </mergeCells>
  <conditionalFormatting sqref="E3:E711">
    <cfRule type="cellIs" dxfId="0" priority="1" operator="equal">
      <formula>"Conquest"</formula>
    </cfRule>
  </conditionalFormatting>
  <conditionalFormatting sqref="E3:E711">
    <cfRule type="cellIs" dxfId="1" priority="2" operator="equal">
      <formula>"Voga"</formula>
    </cfRule>
  </conditionalFormatting>
  <conditionalFormatting sqref="X3:X147 X149:X473 X476:X711">
    <cfRule type="notContainsBlanks" dxfId="2" priority="3">
      <formula>LEN(TRIM(X3))&gt;0</formula>
    </cfRule>
  </conditionalFormatting>
  <dataValidations>
    <dataValidation type="list" allowBlank="1" showErrorMessage="1" sqref="X3:X147 X149:X473 X475 X477:X711">
      <formula1>"Conservador,Moderado,Arrojado"</formula1>
    </dataValidation>
    <dataValidation type="list" allowBlank="1" showErrorMessage="1" sqref="W3:W711">
      <formula1>"Ativo,Inativo,Encerrado"</formula1>
    </dataValidation>
    <dataValidation type="list" allowBlank="1" showErrorMessage="1" sqref="Y3:Y147 Y149:Y473 Y475 Y477:Y711">
      <formula1>"Não Qualificado,Qualificado,Profissional"</formula1>
    </dataValidation>
    <dataValidation type="list" allowBlank="1" showErrorMessage="1" sqref="I3:I711">
      <formula1>"------,Sem Saldo,STVM Entrada,STVM Saída,Alteração de C.A,Monitoramento,Bloqueado"</formula1>
    </dataValidation>
    <dataValidation type="list" allowBlank="1" showErrorMessage="1" sqref="O3:O711">
      <formula1>"IBOV,CDI,------,IFIX,SMALL,S&amp;P 500"</formula1>
    </dataValidation>
    <dataValidation type="list" allowBlank="1" showErrorMessage="1" sqref="D3:D711">
      <formula1>"Bluemetrix,Voga,Conquest,VcInvest,Bluemetrix (MI)"</formula1>
    </dataValidation>
    <dataValidation type="list" allowBlank="1" showErrorMessage="1" sqref="E3:E711">
      <formula1>"DF,GO,SUL,SP"</formula1>
    </dataValidation>
    <dataValidation type="list" allowBlank="1" showErrorMessage="1" sqref="H3:H711">
      <formula1>"Ativo,Inativo,Encerrado,Pode Operar"</formula1>
    </dataValidation>
    <dataValidation type="list" allowBlank="1" showErrorMessage="1" sqref="T3:T71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2366</v>
      </c>
      <c r="B1" s="296"/>
      <c r="C1" s="296"/>
      <c r="D1" s="296"/>
      <c r="E1" s="296"/>
      <c r="F1" s="297"/>
      <c r="G1" s="298" t="s">
        <v>63</v>
      </c>
      <c r="H1" s="299" t="s">
        <v>64</v>
      </c>
      <c r="I1" s="297"/>
      <c r="J1" s="295" t="s">
        <v>2366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2367</v>
      </c>
      <c r="U1" s="301" t="s">
        <v>2366</v>
      </c>
      <c r="V1" s="302" t="s">
        <v>66</v>
      </c>
      <c r="W1" s="296"/>
      <c r="X1" s="296"/>
      <c r="Y1" s="296"/>
      <c r="Z1" s="296"/>
      <c r="AA1" s="296"/>
      <c r="AB1" s="296"/>
      <c r="AC1" s="296"/>
      <c r="AD1" s="297"/>
      <c r="AE1" s="303" t="s">
        <v>67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68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69</v>
      </c>
      <c r="H2" s="4" t="s">
        <v>70</v>
      </c>
      <c r="I2" s="308" t="s">
        <v>71</v>
      </c>
      <c r="J2" s="3" t="s">
        <v>72</v>
      </c>
      <c r="K2" s="37" t="s">
        <v>73</v>
      </c>
      <c r="L2" s="3" t="s">
        <v>74</v>
      </c>
      <c r="M2" s="37" t="s">
        <v>9</v>
      </c>
      <c r="N2" s="37" t="s">
        <v>75</v>
      </c>
      <c r="O2" s="3" t="s">
        <v>2368</v>
      </c>
      <c r="P2" s="3" t="s">
        <v>12</v>
      </c>
      <c r="Q2" s="4" t="s">
        <v>2369</v>
      </c>
      <c r="R2" s="4" t="s">
        <v>2370</v>
      </c>
      <c r="S2" s="3" t="s">
        <v>2371</v>
      </c>
      <c r="T2" s="4" t="s">
        <v>77</v>
      </c>
      <c r="U2" s="4" t="s">
        <v>2372</v>
      </c>
      <c r="V2" s="2" t="s">
        <v>2373</v>
      </c>
      <c r="W2" s="36" t="s">
        <v>31</v>
      </c>
      <c r="X2" s="37" t="s">
        <v>32</v>
      </c>
      <c r="Y2" s="1" t="s">
        <v>81</v>
      </c>
      <c r="Z2" s="2" t="s">
        <v>2374</v>
      </c>
      <c r="AA2" s="3" t="s">
        <v>34</v>
      </c>
      <c r="AB2" s="3" t="s">
        <v>34</v>
      </c>
      <c r="AC2" s="1" t="s">
        <v>82</v>
      </c>
      <c r="AD2" s="38" t="s">
        <v>2375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2376</v>
      </c>
      <c r="B3" s="310" t="s">
        <v>2377</v>
      </c>
      <c r="C3" s="311" t="s">
        <v>2378</v>
      </c>
      <c r="D3" s="312" t="s">
        <v>2379</v>
      </c>
      <c r="E3" s="312" t="s">
        <v>29</v>
      </c>
      <c r="F3" s="312" t="s">
        <v>2380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116</v>
      </c>
      <c r="I3" s="53" t="s">
        <v>161</v>
      </c>
      <c r="J3" s="312" t="str">
        <f t="shared" ref="J3:J395" si="2">IF(T3=0,"Não","Sim")</f>
        <v>Não</v>
      </c>
      <c r="K3" s="313">
        <v>43570.0</v>
      </c>
      <c r="L3" s="94"/>
      <c r="M3" s="94" t="s">
        <v>45</v>
      </c>
      <c r="N3" s="314">
        <v>0.01</v>
      </c>
      <c r="O3" s="312" t="s">
        <v>2381</v>
      </c>
      <c r="P3" s="315">
        <v>0.0</v>
      </c>
      <c r="Q3" s="312" t="str">
        <f>IFERROR(VLOOKUP(F3,'Cadastro de assessores'!A:B,2,FALSE),"Não Cadastrado")</f>
        <v>17573</v>
      </c>
      <c r="R3" s="312" t="s">
        <v>88</v>
      </c>
      <c r="S3" s="313">
        <v>43577.0</v>
      </c>
      <c r="T3" s="156"/>
      <c r="U3" s="316" t="s">
        <v>2382</v>
      </c>
      <c r="V3" s="24" t="s">
        <v>89</v>
      </c>
      <c r="W3" s="317" t="s">
        <v>2383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95</v>
      </c>
      <c r="AC3" s="94"/>
      <c r="AD3" s="94" t="s">
        <v>2384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2376</v>
      </c>
      <c r="B4" s="45" t="s">
        <v>2385</v>
      </c>
      <c r="C4" s="321" t="s">
        <v>2386</v>
      </c>
      <c r="D4" s="312" t="s">
        <v>18</v>
      </c>
      <c r="E4" s="312" t="s">
        <v>145</v>
      </c>
      <c r="F4" s="312" t="s">
        <v>171</v>
      </c>
      <c r="G4" s="47" t="str">
        <f t="shared" si="1"/>
        <v>Augusto</v>
      </c>
      <c r="H4" s="152" t="s">
        <v>116</v>
      </c>
      <c r="I4" s="53" t="s">
        <v>161</v>
      </c>
      <c r="J4" s="312" t="str">
        <f t="shared" si="2"/>
        <v>Não</v>
      </c>
      <c r="K4" s="313">
        <v>44664.0</v>
      </c>
      <c r="L4" s="94"/>
      <c r="M4" s="94" t="s">
        <v>45</v>
      </c>
      <c r="N4" s="116">
        <v>0.012</v>
      </c>
      <c r="O4" s="312" t="s">
        <v>2381</v>
      </c>
      <c r="P4" s="315">
        <v>0.0</v>
      </c>
      <c r="Q4" s="312" t="str">
        <f>IFERROR(VLOOKUP(F4,'Cadastro de assessores'!A:B,2,FALSE),"Não Cadastrado")</f>
        <v>28411</v>
      </c>
      <c r="R4" s="312" t="s">
        <v>88</v>
      </c>
      <c r="S4" s="313">
        <v>44664.0</v>
      </c>
      <c r="T4" s="65"/>
      <c r="U4" s="52" t="s">
        <v>2387</v>
      </c>
      <c r="V4" s="24" t="s">
        <v>89</v>
      </c>
      <c r="W4" s="5" t="s">
        <v>2388</v>
      </c>
      <c r="X4" s="151" t="s">
        <v>149</v>
      </c>
      <c r="Y4" s="53" t="str">
        <f t="shared" si="3"/>
        <v>Ativo</v>
      </c>
      <c r="Z4" s="126"/>
      <c r="AA4" s="94" t="str">
        <f t="shared" si="4"/>
        <v>Varejo</v>
      </c>
      <c r="AB4" s="13" t="s">
        <v>95</v>
      </c>
      <c r="AC4" s="94"/>
      <c r="AD4" s="94" t="s">
        <v>2389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2376</v>
      </c>
      <c r="B5" s="221" t="s">
        <v>2390</v>
      </c>
      <c r="C5" s="322" t="s">
        <v>2391</v>
      </c>
      <c r="D5" s="312" t="s">
        <v>2379</v>
      </c>
      <c r="E5" s="312" t="s">
        <v>29</v>
      </c>
      <c r="F5" s="94" t="s">
        <v>2392</v>
      </c>
      <c r="G5" s="47" t="str">
        <f t="shared" si="1"/>
        <v>Augusto</v>
      </c>
      <c r="H5" s="323" t="s">
        <v>157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111</v>
      </c>
      <c r="N5" s="325">
        <v>0.012</v>
      </c>
      <c r="O5" s="312" t="s">
        <v>46</v>
      </c>
      <c r="P5" s="315">
        <v>0.1</v>
      </c>
      <c r="Q5" s="94" t="str">
        <f>IFERROR(VLOOKUP(F5,'Cadastro de assessores'!A:B,2,FALSE),"Não Cadastrado")</f>
        <v>2971</v>
      </c>
      <c r="R5" s="94" t="s">
        <v>2393</v>
      </c>
      <c r="S5" s="324">
        <v>43874.0</v>
      </c>
      <c r="T5" s="65"/>
      <c r="U5" s="75"/>
      <c r="V5" s="24" t="s">
        <v>89</v>
      </c>
      <c r="W5" s="13" t="s">
        <v>2394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2395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2396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2376</v>
      </c>
      <c r="B6" s="45" t="s">
        <v>2397</v>
      </c>
      <c r="C6" s="321" t="s">
        <v>2398</v>
      </c>
      <c r="D6" s="312" t="s">
        <v>18</v>
      </c>
      <c r="E6" s="312" t="s">
        <v>145</v>
      </c>
      <c r="F6" s="312" t="s">
        <v>171</v>
      </c>
      <c r="G6" s="47" t="str">
        <f t="shared" si="1"/>
        <v>Augusto</v>
      </c>
      <c r="H6" s="152" t="s">
        <v>116</v>
      </c>
      <c r="I6" s="53" t="s">
        <v>161</v>
      </c>
      <c r="J6" s="312" t="str">
        <f t="shared" si="2"/>
        <v>Não</v>
      </c>
      <c r="K6" s="313">
        <v>44321.0</v>
      </c>
      <c r="L6" s="94"/>
      <c r="M6" s="94" t="s">
        <v>45</v>
      </c>
      <c r="N6" s="116">
        <v>0.012</v>
      </c>
      <c r="O6" s="312" t="s">
        <v>2381</v>
      </c>
      <c r="P6" s="315">
        <v>0.0</v>
      </c>
      <c r="Q6" s="312" t="str">
        <f>IFERROR(VLOOKUP(F6,'Cadastro de assessores'!A:B,2,FALSE),"Não Cadastrado")</f>
        <v>28411</v>
      </c>
      <c r="R6" s="312" t="s">
        <v>88</v>
      </c>
      <c r="S6" s="313">
        <v>44321.0</v>
      </c>
      <c r="T6" s="65"/>
      <c r="U6" s="52" t="s">
        <v>2399</v>
      </c>
      <c r="V6" s="24" t="s">
        <v>89</v>
      </c>
      <c r="W6" s="5" t="s">
        <v>2400</v>
      </c>
      <c r="X6" s="151" t="s">
        <v>149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91</v>
      </c>
      <c r="AC6" s="94"/>
      <c r="AD6" s="94" t="s">
        <v>2389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2376</v>
      </c>
      <c r="B7" s="310" t="s">
        <v>2401</v>
      </c>
      <c r="C7" s="322" t="s">
        <v>2402</v>
      </c>
      <c r="D7" s="312" t="s">
        <v>2379</v>
      </c>
      <c r="E7" s="312" t="s">
        <v>29</v>
      </c>
      <c r="F7" s="312" t="s">
        <v>2392</v>
      </c>
      <c r="G7" s="47" t="str">
        <f t="shared" si="1"/>
        <v>Augusto</v>
      </c>
      <c r="H7" s="152" t="s">
        <v>116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45</v>
      </c>
      <c r="N7" s="325">
        <v>0.012</v>
      </c>
      <c r="O7" s="312" t="s">
        <v>2381</v>
      </c>
      <c r="P7" s="315">
        <v>0.0</v>
      </c>
      <c r="Q7" s="312" t="str">
        <f>IFERROR(VLOOKUP(F7,'Cadastro de assessores'!A:B,2,FALSE),"Não Cadastrado")</f>
        <v>2971</v>
      </c>
      <c r="R7" s="312" t="s">
        <v>88</v>
      </c>
      <c r="S7" s="326">
        <v>43775.0</v>
      </c>
      <c r="T7" s="75"/>
      <c r="U7" s="156" t="s">
        <v>2403</v>
      </c>
      <c r="V7" s="24" t="s">
        <v>89</v>
      </c>
      <c r="W7" s="317" t="s">
        <v>2404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95</v>
      </c>
      <c r="AC7" s="94"/>
      <c r="AD7" s="94" t="s">
        <v>2405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2376</v>
      </c>
      <c r="B8" s="221" t="s">
        <v>2406</v>
      </c>
      <c r="C8" s="322" t="s">
        <v>2407</v>
      </c>
      <c r="D8" s="312" t="s">
        <v>18</v>
      </c>
      <c r="E8" s="312" t="s">
        <v>29</v>
      </c>
      <c r="F8" s="312" t="s">
        <v>44</v>
      </c>
      <c r="G8" s="47" t="str">
        <f t="shared" si="1"/>
        <v>Augusto</v>
      </c>
      <c r="H8" s="323" t="s">
        <v>88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45</v>
      </c>
      <c r="N8" s="325">
        <v>0.012</v>
      </c>
      <c r="O8" s="312" t="s">
        <v>2381</v>
      </c>
      <c r="P8" s="315">
        <v>0.0</v>
      </c>
      <c r="Q8" s="312" t="str">
        <f>IFERROR(VLOOKUP(F8,'Cadastro de assessores'!A:B,2,FALSE),"Não Cadastrado")</f>
        <v>Não Cadastrado</v>
      </c>
      <c r="R8" s="312" t="s">
        <v>88</v>
      </c>
      <c r="S8" s="326">
        <v>43805.0</v>
      </c>
      <c r="T8" s="156"/>
      <c r="U8" s="327" t="s">
        <v>2408</v>
      </c>
      <c r="V8" s="24" t="s">
        <v>89</v>
      </c>
      <c r="W8" s="13" t="s">
        <v>2409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95</v>
      </c>
      <c r="AC8" s="94"/>
      <c r="AD8" s="94" t="s">
        <v>2410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2376</v>
      </c>
      <c r="B9" s="221" t="s">
        <v>108</v>
      </c>
      <c r="C9" s="322" t="s">
        <v>2411</v>
      </c>
      <c r="D9" s="312" t="s">
        <v>18</v>
      </c>
      <c r="E9" s="312" t="s">
        <v>29</v>
      </c>
      <c r="F9" s="94" t="s">
        <v>2052</v>
      </c>
      <c r="G9" s="47" t="str">
        <f t="shared" si="1"/>
        <v>Augusto</v>
      </c>
      <c r="H9" s="323" t="s">
        <v>157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111</v>
      </c>
      <c r="N9" s="325">
        <v>0.015</v>
      </c>
      <c r="O9" s="312" t="s">
        <v>46</v>
      </c>
      <c r="P9" s="315">
        <v>0.1</v>
      </c>
      <c r="Q9" s="94" t="str">
        <f>IFERROR(VLOOKUP(F9,'Cadastro de assessores'!A:B,2,FALSE),"Não Cadastrado")</f>
        <v>18256</v>
      </c>
      <c r="R9" s="94" t="s">
        <v>2393</v>
      </c>
      <c r="S9" s="324">
        <v>44006.0</v>
      </c>
      <c r="T9" s="75"/>
      <c r="U9" s="156" t="s">
        <v>2412</v>
      </c>
      <c r="V9" s="24" t="s">
        <v>89</v>
      </c>
      <c r="W9" s="13" t="s">
        <v>112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2395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2396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2376</v>
      </c>
      <c r="B10" s="221" t="s">
        <v>2413</v>
      </c>
      <c r="C10" s="322" t="s">
        <v>2414</v>
      </c>
      <c r="D10" s="312" t="s">
        <v>2379</v>
      </c>
      <c r="E10" s="312" t="s">
        <v>29</v>
      </c>
      <c r="F10" s="94" t="s">
        <v>2380</v>
      </c>
      <c r="G10" s="47" t="str">
        <f t="shared" si="1"/>
        <v>Augusto</v>
      </c>
      <c r="H10" s="323" t="s">
        <v>157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111</v>
      </c>
      <c r="N10" s="325">
        <v>0.01</v>
      </c>
      <c r="O10" s="312" t="s">
        <v>46</v>
      </c>
      <c r="P10" s="315">
        <v>0.1</v>
      </c>
      <c r="Q10" s="94" t="str">
        <f>IFERROR(VLOOKUP(F10,'Cadastro de assessores'!A:B,2,FALSE),"Não Cadastrado")</f>
        <v>17573</v>
      </c>
      <c r="R10" s="94" t="s">
        <v>2393</v>
      </c>
      <c r="S10" s="329">
        <v>43753.0</v>
      </c>
      <c r="T10" s="75"/>
      <c r="U10" s="156" t="s">
        <v>2415</v>
      </c>
      <c r="V10" s="24" t="s">
        <v>89</v>
      </c>
      <c r="W10" s="13" t="s">
        <v>2416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95</v>
      </c>
      <c r="AC10" s="94"/>
      <c r="AD10" s="94" t="s">
        <v>2410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2396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2376</v>
      </c>
      <c r="B11" s="310" t="s">
        <v>2417</v>
      </c>
      <c r="C11" s="322" t="s">
        <v>2418</v>
      </c>
      <c r="D11" s="312" t="s">
        <v>18</v>
      </c>
      <c r="E11" s="312" t="s">
        <v>29</v>
      </c>
      <c r="F11" s="312" t="s">
        <v>44</v>
      </c>
      <c r="G11" s="47" t="str">
        <f t="shared" si="1"/>
        <v>Augusto</v>
      </c>
      <c r="H11" s="152" t="s">
        <v>116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111</v>
      </c>
      <c r="N11" s="314">
        <v>0.01</v>
      </c>
      <c r="O11" s="312" t="s">
        <v>46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116</v>
      </c>
      <c r="S11" s="313">
        <v>43677.0</v>
      </c>
      <c r="T11" s="331" t="s">
        <v>2419</v>
      </c>
      <c r="U11" s="327" t="s">
        <v>2408</v>
      </c>
      <c r="V11" s="24" t="s">
        <v>89</v>
      </c>
      <c r="W11" s="317" t="s">
        <v>2420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95</v>
      </c>
      <c r="AC11" s="94"/>
      <c r="AD11" s="94" t="s">
        <v>2421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2376</v>
      </c>
      <c r="B12" s="225" t="s">
        <v>2422</v>
      </c>
      <c r="C12" s="322" t="s">
        <v>2423</v>
      </c>
      <c r="D12" s="312" t="s">
        <v>2379</v>
      </c>
      <c r="E12" s="312" t="s">
        <v>29</v>
      </c>
      <c r="F12" s="94" t="s">
        <v>2392</v>
      </c>
      <c r="G12" s="47" t="str">
        <f t="shared" si="1"/>
        <v>Augusto</v>
      </c>
      <c r="H12" s="323" t="s">
        <v>157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45</v>
      </c>
      <c r="N12" s="325">
        <v>0.012</v>
      </c>
      <c r="O12" s="312" t="s">
        <v>2381</v>
      </c>
      <c r="P12" s="315">
        <v>0.0</v>
      </c>
      <c r="Q12" s="94" t="str">
        <f>IFERROR(VLOOKUP(F12,'Cadastro de assessores'!A:B,2,FALSE),"Não Cadastrado")</f>
        <v>2971</v>
      </c>
      <c r="R12" s="94" t="s">
        <v>2393</v>
      </c>
      <c r="S12" s="324">
        <v>43633.0</v>
      </c>
      <c r="T12" s="75"/>
      <c r="U12" s="156" t="s">
        <v>2424</v>
      </c>
      <c r="V12" s="24" t="s">
        <v>89</v>
      </c>
      <c r="W12" s="13" t="s">
        <v>2425</v>
      </c>
      <c r="X12" s="13" t="s">
        <v>180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2426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2396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2376</v>
      </c>
      <c r="B13" s="221" t="s">
        <v>2427</v>
      </c>
      <c r="C13" s="322" t="s">
        <v>2428</v>
      </c>
      <c r="D13" s="312" t="s">
        <v>2379</v>
      </c>
      <c r="E13" s="312" t="s">
        <v>29</v>
      </c>
      <c r="F13" s="94" t="s">
        <v>2380</v>
      </c>
      <c r="G13" s="47" t="str">
        <f t="shared" si="1"/>
        <v>Augusto</v>
      </c>
      <c r="H13" s="323" t="s">
        <v>157</v>
      </c>
      <c r="I13" s="48" t="s">
        <v>24</v>
      </c>
      <c r="J13" s="312" t="str">
        <f t="shared" si="2"/>
        <v>Não</v>
      </c>
      <c r="K13" s="94" t="s">
        <v>2429</v>
      </c>
      <c r="L13" s="329">
        <v>44482.0</v>
      </c>
      <c r="M13" s="94" t="s">
        <v>111</v>
      </c>
      <c r="N13" s="325">
        <v>0.015</v>
      </c>
      <c r="O13" s="312" t="s">
        <v>46</v>
      </c>
      <c r="P13" s="315">
        <v>0.1</v>
      </c>
      <c r="Q13" s="94" t="str">
        <f>IFERROR(VLOOKUP(F13,'Cadastro de assessores'!A:B,2,FALSE),"Não Cadastrado")</f>
        <v>17573</v>
      </c>
      <c r="R13" s="94" t="s">
        <v>2393</v>
      </c>
      <c r="S13" s="94" t="s">
        <v>2430</v>
      </c>
      <c r="T13" s="75"/>
      <c r="U13" s="156"/>
      <c r="V13" s="24" t="s">
        <v>89</v>
      </c>
      <c r="W13" s="13" t="s">
        <v>2431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2432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2396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2376</v>
      </c>
      <c r="B14" s="57" t="s">
        <v>2433</v>
      </c>
      <c r="C14" s="322" t="s">
        <v>2434</v>
      </c>
      <c r="D14" s="312" t="s">
        <v>18</v>
      </c>
      <c r="E14" s="312" t="s">
        <v>29</v>
      </c>
      <c r="F14" s="312" t="s">
        <v>2435</v>
      </c>
      <c r="G14" s="47" t="str">
        <f t="shared" si="1"/>
        <v>Breno</v>
      </c>
      <c r="H14" s="152" t="s">
        <v>88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60</v>
      </c>
      <c r="N14" s="325">
        <v>0.01</v>
      </c>
      <c r="O14" s="312" t="s">
        <v>2381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89</v>
      </c>
      <c r="W14" s="5" t="s">
        <v>2436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95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2376</v>
      </c>
      <c r="B15" s="57" t="s">
        <v>2433</v>
      </c>
      <c r="C15" s="322" t="s">
        <v>2437</v>
      </c>
      <c r="D15" s="312" t="s">
        <v>18</v>
      </c>
      <c r="E15" s="312" t="s">
        <v>29</v>
      </c>
      <c r="F15" s="312" t="s">
        <v>2435</v>
      </c>
      <c r="G15" s="47" t="str">
        <f t="shared" si="1"/>
        <v>Breno</v>
      </c>
      <c r="H15" s="152" t="s">
        <v>88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162</v>
      </c>
      <c r="N15" s="325">
        <v>0.025</v>
      </c>
      <c r="O15" s="312" t="s">
        <v>163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89</v>
      </c>
      <c r="W15" s="332" t="s">
        <v>2436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95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2376</v>
      </c>
      <c r="B16" s="45" t="s">
        <v>143</v>
      </c>
      <c r="C16" s="321" t="s">
        <v>2438</v>
      </c>
      <c r="D16" s="312" t="s">
        <v>18</v>
      </c>
      <c r="E16" s="312" t="s">
        <v>145</v>
      </c>
      <c r="F16" s="312" t="s">
        <v>146</v>
      </c>
      <c r="G16" s="47" t="str">
        <f t="shared" si="1"/>
        <v>Augusto</v>
      </c>
      <c r="H16" s="152" t="s">
        <v>88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111</v>
      </c>
      <c r="N16" s="325">
        <v>0.015</v>
      </c>
      <c r="O16" s="312" t="s">
        <v>46</v>
      </c>
      <c r="P16" s="315">
        <v>0.1</v>
      </c>
      <c r="Q16" s="312" t="str">
        <f>IFERROR(VLOOKUP(F16,'Cadastro de assessores'!A:B,2,FALSE),"Não Cadastrado")</f>
        <v>250</v>
      </c>
      <c r="R16" s="312" t="s">
        <v>88</v>
      </c>
      <c r="S16" s="313">
        <v>44321.0</v>
      </c>
      <c r="T16" s="52"/>
      <c r="U16" s="52"/>
      <c r="V16" s="24" t="s">
        <v>89</v>
      </c>
      <c r="W16" s="5" t="s">
        <v>148</v>
      </c>
      <c r="X16" s="151" t="s">
        <v>149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95</v>
      </c>
      <c r="AC16" s="94"/>
      <c r="AD16" s="94" t="s">
        <v>2439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2376</v>
      </c>
      <c r="B17" s="45" t="s">
        <v>2440</v>
      </c>
      <c r="C17" s="321" t="s">
        <v>2441</v>
      </c>
      <c r="D17" s="312" t="s">
        <v>2379</v>
      </c>
      <c r="E17" s="312" t="s">
        <v>29</v>
      </c>
      <c r="F17" s="312" t="s">
        <v>2392</v>
      </c>
      <c r="G17" s="47" t="str">
        <f t="shared" si="1"/>
        <v>Augusto</v>
      </c>
      <c r="H17" s="152" t="s">
        <v>116</v>
      </c>
      <c r="I17" s="53" t="s">
        <v>161</v>
      </c>
      <c r="J17" s="312" t="str">
        <f t="shared" si="2"/>
        <v>Não</v>
      </c>
      <c r="K17" s="313">
        <v>44186.0</v>
      </c>
      <c r="L17" s="94"/>
      <c r="M17" s="94" t="s">
        <v>111</v>
      </c>
      <c r="N17" s="325">
        <v>0.015</v>
      </c>
      <c r="O17" s="312" t="s">
        <v>46</v>
      </c>
      <c r="P17" s="315">
        <v>0.1</v>
      </c>
      <c r="Q17" s="312" t="str">
        <f>IFERROR(VLOOKUP(F17,'Cadastro de assessores'!A:B,2,FALSE),"Não Cadastrado")</f>
        <v>2971</v>
      </c>
      <c r="R17" s="312" t="s">
        <v>88</v>
      </c>
      <c r="S17" s="313">
        <v>44182.0</v>
      </c>
      <c r="T17" s="52"/>
      <c r="U17" s="52" t="s">
        <v>2442</v>
      </c>
      <c r="V17" s="24" t="s">
        <v>89</v>
      </c>
      <c r="W17" s="5" t="s">
        <v>2443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95</v>
      </c>
      <c r="AC17" s="94"/>
      <c r="AD17" s="94" t="s">
        <v>2444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2376</v>
      </c>
      <c r="B18" s="149" t="s">
        <v>169</v>
      </c>
      <c r="C18" s="333">
        <v>498190.0</v>
      </c>
      <c r="D18" s="312" t="s">
        <v>18</v>
      </c>
      <c r="E18" s="312" t="s">
        <v>145</v>
      </c>
      <c r="F18" s="94" t="s">
        <v>171</v>
      </c>
      <c r="G18" s="47" t="str">
        <f t="shared" si="1"/>
        <v>Augusto</v>
      </c>
      <c r="H18" s="323" t="s">
        <v>116</v>
      </c>
      <c r="I18" s="53" t="s">
        <v>161</v>
      </c>
      <c r="J18" s="312" t="str">
        <f t="shared" si="2"/>
        <v>Não</v>
      </c>
      <c r="K18" s="74">
        <v>44698.0</v>
      </c>
      <c r="L18" s="137"/>
      <c r="M18" s="94" t="s">
        <v>45</v>
      </c>
      <c r="N18" s="314">
        <v>0.012</v>
      </c>
      <c r="O18" s="312" t="s">
        <v>2381</v>
      </c>
      <c r="P18" s="315">
        <v>0.0</v>
      </c>
      <c r="Q18" s="312" t="str">
        <f>IFERROR(VLOOKUP(F18,'Cadastro de assessores'!A:B,2,FALSE),"Não Cadastrado")</f>
        <v>28411</v>
      </c>
      <c r="R18" s="312" t="s">
        <v>88</v>
      </c>
      <c r="S18" s="74">
        <v>44698.0</v>
      </c>
      <c r="T18" s="52"/>
      <c r="U18" s="52"/>
      <c r="V18" s="24" t="s">
        <v>89</v>
      </c>
      <c r="W18" s="11" t="s">
        <v>173</v>
      </c>
      <c r="X18" s="25" t="s">
        <v>149</v>
      </c>
      <c r="Y18" s="53" t="str">
        <f t="shared" si="3"/>
        <v>Ativo</v>
      </c>
      <c r="Z18" s="126"/>
      <c r="AA18" s="94" t="str">
        <f t="shared" si="4"/>
        <v/>
      </c>
      <c r="AB18" s="13" t="s">
        <v>91</v>
      </c>
      <c r="AC18" s="94"/>
      <c r="AD18" s="24" t="s">
        <v>2445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2376</v>
      </c>
      <c r="B19" s="149" t="s">
        <v>2446</v>
      </c>
      <c r="C19" s="333">
        <v>6274118.0</v>
      </c>
      <c r="D19" s="312" t="s">
        <v>18</v>
      </c>
      <c r="E19" s="312" t="s">
        <v>29</v>
      </c>
      <c r="F19" s="24" t="s">
        <v>110</v>
      </c>
      <c r="G19" s="47" t="str">
        <f t="shared" si="1"/>
        <v>Augusto</v>
      </c>
      <c r="H19" s="323" t="s">
        <v>157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45</v>
      </c>
      <c r="N19" s="314">
        <v>0.012</v>
      </c>
      <c r="O19" s="312" t="s">
        <v>2381</v>
      </c>
      <c r="P19" s="315">
        <v>0.0</v>
      </c>
      <c r="Q19" s="312">
        <f>IFERROR(VLOOKUP(F19,'Cadastro de assessores'!A:B,2,FALSE),"Não Cadastrado")</f>
        <v>12332</v>
      </c>
      <c r="R19" s="312" t="s">
        <v>88</v>
      </c>
      <c r="S19" s="74">
        <v>44433.0</v>
      </c>
      <c r="T19" s="52"/>
      <c r="U19" s="316" t="s">
        <v>2447</v>
      </c>
      <c r="V19" s="24" t="s">
        <v>89</v>
      </c>
      <c r="W19" s="11" t="s">
        <v>2448</v>
      </c>
      <c r="X19" s="24" t="s">
        <v>121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95</v>
      </c>
      <c r="AC19" s="94"/>
      <c r="AD19" s="24" t="s">
        <v>2449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2376</v>
      </c>
      <c r="B20" s="225" t="s">
        <v>2450</v>
      </c>
      <c r="C20" s="322" t="s">
        <v>2451</v>
      </c>
      <c r="D20" s="312" t="s">
        <v>2379</v>
      </c>
      <c r="E20" s="312" t="s">
        <v>29</v>
      </c>
      <c r="F20" s="94" t="s">
        <v>2380</v>
      </c>
      <c r="G20" s="47" t="str">
        <f t="shared" si="1"/>
        <v>Augusto</v>
      </c>
      <c r="H20" s="323" t="s">
        <v>157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111</v>
      </c>
      <c r="N20" s="325">
        <v>0.01</v>
      </c>
      <c r="O20" s="312" t="s">
        <v>46</v>
      </c>
      <c r="P20" s="315">
        <v>0.1</v>
      </c>
      <c r="Q20" s="94" t="str">
        <f>IFERROR(VLOOKUP(F20,'Cadastro de assessores'!A:B,2,FALSE),"Não Cadastrado")</f>
        <v>17573</v>
      </c>
      <c r="R20" s="94" t="s">
        <v>2393</v>
      </c>
      <c r="S20" s="324">
        <v>43745.0</v>
      </c>
      <c r="T20" s="75"/>
      <c r="U20" s="156"/>
      <c r="V20" s="24" t="s">
        <v>89</v>
      </c>
      <c r="W20" s="13" t="s">
        <v>2452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95</v>
      </c>
      <c r="AC20" s="94"/>
      <c r="AD20" s="94" t="s">
        <v>2453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2396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2376</v>
      </c>
      <c r="B21" s="225" t="s">
        <v>2454</v>
      </c>
      <c r="C21" s="321">
        <v>3791512.0</v>
      </c>
      <c r="D21" s="312" t="s">
        <v>18</v>
      </c>
      <c r="E21" s="312" t="s">
        <v>29</v>
      </c>
      <c r="F21" s="94" t="s">
        <v>110</v>
      </c>
      <c r="G21" s="47" t="str">
        <f t="shared" si="1"/>
        <v>Breno</v>
      </c>
      <c r="H21" s="152" t="s">
        <v>88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60</v>
      </c>
      <c r="N21" s="325">
        <v>0.007</v>
      </c>
      <c r="O21" s="312" t="s">
        <v>2381</v>
      </c>
      <c r="P21" s="315">
        <v>0.0</v>
      </c>
      <c r="Q21" s="312"/>
      <c r="R21" s="312"/>
      <c r="S21" s="326"/>
      <c r="T21" s="52"/>
      <c r="U21" s="52"/>
      <c r="V21" s="24" t="s">
        <v>89</v>
      </c>
      <c r="W21" s="13" t="s">
        <v>2455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95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2376</v>
      </c>
      <c r="B22" s="63" t="s">
        <v>2456</v>
      </c>
      <c r="C22" s="137">
        <v>2538527.0</v>
      </c>
      <c r="D22" s="312" t="s">
        <v>18</v>
      </c>
      <c r="E22" s="312" t="s">
        <v>145</v>
      </c>
      <c r="F22" s="94" t="s">
        <v>146</v>
      </c>
      <c r="G22" s="47" t="str">
        <f t="shared" si="1"/>
        <v>Augusto</v>
      </c>
      <c r="H22" s="323" t="s">
        <v>116</v>
      </c>
      <c r="I22" s="53" t="s">
        <v>161</v>
      </c>
      <c r="J22" s="312" t="str">
        <f t="shared" si="2"/>
        <v>Não</v>
      </c>
      <c r="K22" s="326">
        <v>44512.0</v>
      </c>
      <c r="L22" s="24"/>
      <c r="M22" s="94" t="s">
        <v>60</v>
      </c>
      <c r="N22" s="325">
        <v>0.007</v>
      </c>
      <c r="O22" s="312" t="s">
        <v>2381</v>
      </c>
      <c r="P22" s="315">
        <v>0.0</v>
      </c>
      <c r="Q22" s="312" t="str">
        <f>IFERROR(VLOOKUP(F22,'Cadastro de assessores'!A:B,2,FALSE),"Não Cadastrado")</f>
        <v>250</v>
      </c>
      <c r="R22" s="312" t="s">
        <v>88</v>
      </c>
      <c r="S22" s="326">
        <v>44512.0</v>
      </c>
      <c r="T22" s="52"/>
      <c r="U22" s="52"/>
      <c r="V22" s="24" t="s">
        <v>89</v>
      </c>
      <c r="W22" s="5" t="s">
        <v>216</v>
      </c>
      <c r="X22" s="151" t="s">
        <v>149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95</v>
      </c>
      <c r="AC22" s="94"/>
      <c r="AD22" s="94" t="s">
        <v>2439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2376</v>
      </c>
      <c r="B23" s="335" t="s">
        <v>217</v>
      </c>
      <c r="C23" s="322" t="s">
        <v>2457</v>
      </c>
      <c r="D23" s="312" t="s">
        <v>18</v>
      </c>
      <c r="E23" s="312" t="s">
        <v>145</v>
      </c>
      <c r="F23" s="312" t="s">
        <v>146</v>
      </c>
      <c r="G23" s="47" t="str">
        <f t="shared" si="1"/>
        <v>Augusto</v>
      </c>
      <c r="H23" s="152" t="s">
        <v>116</v>
      </c>
      <c r="I23" s="53" t="s">
        <v>161</v>
      </c>
      <c r="J23" s="312" t="str">
        <f t="shared" si="2"/>
        <v>Não</v>
      </c>
      <c r="K23" s="324">
        <v>44266.0</v>
      </c>
      <c r="L23" s="94"/>
      <c r="M23" s="94" t="s">
        <v>243</v>
      </c>
      <c r="N23" s="325">
        <v>0.02</v>
      </c>
      <c r="O23" s="312" t="s">
        <v>46</v>
      </c>
      <c r="P23" s="315">
        <v>0.2</v>
      </c>
      <c r="Q23" s="312" t="str">
        <f>IFERROR(VLOOKUP(F23,'Cadastro de assessores'!A:B,2,FALSE),"Não Cadastrado")</f>
        <v>250</v>
      </c>
      <c r="R23" s="312" t="s">
        <v>88</v>
      </c>
      <c r="S23" s="324">
        <v>44266.0</v>
      </c>
      <c r="T23" s="75"/>
      <c r="U23" s="156" t="s">
        <v>2458</v>
      </c>
      <c r="V23" s="24" t="s">
        <v>89</v>
      </c>
      <c r="W23" s="317" t="s">
        <v>220</v>
      </c>
      <c r="X23" s="151" t="s">
        <v>149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91</v>
      </c>
      <c r="AC23" s="94"/>
      <c r="AD23" s="94" t="s">
        <v>2459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2376</v>
      </c>
      <c r="B24" s="57" t="s">
        <v>2460</v>
      </c>
      <c r="C24" s="321" t="s">
        <v>2461</v>
      </c>
      <c r="D24" s="312" t="s">
        <v>18</v>
      </c>
      <c r="E24" s="312" t="s">
        <v>145</v>
      </c>
      <c r="F24" s="312" t="s">
        <v>146</v>
      </c>
      <c r="G24" s="47" t="str">
        <f t="shared" si="1"/>
        <v>Augusto</v>
      </c>
      <c r="H24" s="152" t="s">
        <v>116</v>
      </c>
      <c r="I24" s="53" t="s">
        <v>161</v>
      </c>
      <c r="J24" s="312" t="str">
        <f t="shared" si="2"/>
        <v>Não</v>
      </c>
      <c r="K24" s="313">
        <v>44319.0</v>
      </c>
      <c r="L24" s="94"/>
      <c r="M24" s="94" t="s">
        <v>111</v>
      </c>
      <c r="N24" s="325">
        <v>0.015</v>
      </c>
      <c r="O24" s="312" t="s">
        <v>46</v>
      </c>
      <c r="P24" s="315">
        <v>0.1</v>
      </c>
      <c r="Q24" s="312" t="str">
        <f>IFERROR(VLOOKUP(F24,'Cadastro de assessores'!A:B,2,FALSE),"Não Cadastrado")</f>
        <v>250</v>
      </c>
      <c r="R24" s="312" t="s">
        <v>88</v>
      </c>
      <c r="S24" s="313">
        <v>44319.0</v>
      </c>
      <c r="T24" s="75"/>
      <c r="U24" s="52" t="s">
        <v>2462</v>
      </c>
      <c r="V24" s="24" t="s">
        <v>89</v>
      </c>
      <c r="W24" s="5" t="s">
        <v>227</v>
      </c>
      <c r="X24" s="151" t="s">
        <v>149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95</v>
      </c>
      <c r="AC24" s="94"/>
      <c r="AD24" s="94" t="s">
        <v>2439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2376</v>
      </c>
      <c r="B25" s="335" t="s">
        <v>237</v>
      </c>
      <c r="C25" s="322" t="s">
        <v>2463</v>
      </c>
      <c r="D25" s="312" t="s">
        <v>18</v>
      </c>
      <c r="E25" s="312" t="s">
        <v>145</v>
      </c>
      <c r="F25" s="312" t="s">
        <v>2464</v>
      </c>
      <c r="G25" s="47" t="str">
        <f t="shared" si="1"/>
        <v>Augusto</v>
      </c>
      <c r="H25" s="323" t="s">
        <v>116</v>
      </c>
      <c r="I25" s="53" t="s">
        <v>117</v>
      </c>
      <c r="J25" s="312" t="str">
        <f t="shared" si="2"/>
        <v>Sim</v>
      </c>
      <c r="K25" s="313">
        <v>44263.0</v>
      </c>
      <c r="L25" s="94"/>
      <c r="M25" s="94" t="s">
        <v>45</v>
      </c>
      <c r="N25" s="325">
        <v>0.012</v>
      </c>
      <c r="O25" s="312" t="s">
        <v>2381</v>
      </c>
      <c r="P25" s="315">
        <v>0.0</v>
      </c>
      <c r="Q25" s="312" t="str">
        <f>IFERROR(VLOOKUP(F25,'Cadastro de assessores'!A:B,2,FALSE),"Não Cadastrado")</f>
        <v>22066</v>
      </c>
      <c r="R25" s="312" t="s">
        <v>88</v>
      </c>
      <c r="S25" s="313">
        <v>44263.0</v>
      </c>
      <c r="T25" s="336" t="s">
        <v>2465</v>
      </c>
      <c r="U25" s="316"/>
      <c r="V25" s="24" t="s">
        <v>89</v>
      </c>
      <c r="W25" s="317" t="s">
        <v>240</v>
      </c>
      <c r="X25" s="151" t="s">
        <v>149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95</v>
      </c>
      <c r="AC25" s="94"/>
      <c r="AD25" s="94" t="s">
        <v>2439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2376</v>
      </c>
      <c r="B26" s="45" t="s">
        <v>2466</v>
      </c>
      <c r="C26" s="337">
        <v>369447.0</v>
      </c>
      <c r="D26" s="338" t="s">
        <v>18</v>
      </c>
      <c r="E26" s="338" t="s">
        <v>145</v>
      </c>
      <c r="F26" s="337" t="s">
        <v>146</v>
      </c>
      <c r="G26" s="47" t="str">
        <f t="shared" si="1"/>
        <v>Augusto</v>
      </c>
      <c r="H26" s="339" t="s">
        <v>88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162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88</v>
      </c>
      <c r="S26" s="313">
        <v>44623.0</v>
      </c>
      <c r="T26" s="156"/>
      <c r="U26" s="156"/>
      <c r="V26" s="24" t="s">
        <v>89</v>
      </c>
      <c r="W26" s="5" t="s">
        <v>2467</v>
      </c>
      <c r="X26" s="151" t="s">
        <v>149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95</v>
      </c>
      <c r="AC26" s="94"/>
      <c r="AD26" s="94" t="s">
        <v>2439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2376</v>
      </c>
      <c r="B27" s="63" t="s">
        <v>2468</v>
      </c>
      <c r="C27" s="137">
        <v>4466499.0</v>
      </c>
      <c r="D27" s="312" t="s">
        <v>18</v>
      </c>
      <c r="E27" s="312" t="s">
        <v>145</v>
      </c>
      <c r="F27" s="92" t="s">
        <v>171</v>
      </c>
      <c r="G27" s="47" t="str">
        <f t="shared" si="1"/>
        <v>Augusto</v>
      </c>
      <c r="H27" s="152" t="s">
        <v>116</v>
      </c>
      <c r="I27" s="53" t="s">
        <v>161</v>
      </c>
      <c r="J27" s="312" t="str">
        <f t="shared" si="2"/>
        <v>Não</v>
      </c>
      <c r="K27" s="313">
        <v>44670.0</v>
      </c>
      <c r="L27" s="94"/>
      <c r="M27" s="94" t="s">
        <v>45</v>
      </c>
      <c r="N27" s="325">
        <v>0.012</v>
      </c>
      <c r="O27" s="312" t="s">
        <v>2381</v>
      </c>
      <c r="P27" s="315">
        <v>0.0</v>
      </c>
      <c r="Q27" s="312" t="str">
        <f>IFERROR(VLOOKUP(F27,'Cadastro de assessores'!A:B,2,FALSE),"Não Cadastrado")</f>
        <v>28411</v>
      </c>
      <c r="R27" s="312" t="s">
        <v>88</v>
      </c>
      <c r="S27" s="313">
        <v>44670.0</v>
      </c>
      <c r="T27" s="156"/>
      <c r="U27" s="65"/>
      <c r="V27" s="24" t="s">
        <v>89</v>
      </c>
      <c r="W27" s="5" t="s">
        <v>236</v>
      </c>
      <c r="X27" s="151" t="s">
        <v>149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95</v>
      </c>
      <c r="AC27" s="94"/>
      <c r="AD27" s="94" t="s">
        <v>2439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2376</v>
      </c>
      <c r="B28" s="63" t="s">
        <v>2469</v>
      </c>
      <c r="C28" s="24">
        <v>3525740.0</v>
      </c>
      <c r="D28" s="312" t="s">
        <v>18</v>
      </c>
      <c r="E28" s="312" t="s">
        <v>145</v>
      </c>
      <c r="F28" s="92" t="s">
        <v>146</v>
      </c>
      <c r="G28" s="47" t="str">
        <f t="shared" si="1"/>
        <v>Augusto</v>
      </c>
      <c r="H28" s="152" t="s">
        <v>116</v>
      </c>
      <c r="I28" s="53" t="s">
        <v>161</v>
      </c>
      <c r="J28" s="312" t="str">
        <f t="shared" si="2"/>
        <v>Não</v>
      </c>
      <c r="K28" s="313">
        <v>44769.0</v>
      </c>
      <c r="L28" s="94"/>
      <c r="M28" s="94" t="s">
        <v>60</v>
      </c>
      <c r="N28" s="325">
        <v>0.007</v>
      </c>
      <c r="O28" s="312" t="s">
        <v>2381</v>
      </c>
      <c r="P28" s="315">
        <v>0.0</v>
      </c>
      <c r="Q28" s="312" t="str">
        <f>IFERROR(VLOOKUP(F28,'Cadastro de assessores'!A:B,2,FALSE),"Não Cadastrado")</f>
        <v>250</v>
      </c>
      <c r="R28" s="312" t="s">
        <v>88</v>
      </c>
      <c r="S28" s="313">
        <v>44767.0</v>
      </c>
      <c r="T28" s="65"/>
      <c r="U28" s="327" t="s">
        <v>2470</v>
      </c>
      <c r="V28" s="24" t="s">
        <v>89</v>
      </c>
      <c r="W28" s="5" t="s">
        <v>261</v>
      </c>
      <c r="X28" s="5" t="s">
        <v>149</v>
      </c>
      <c r="Y28" s="53" t="str">
        <f t="shared" si="3"/>
        <v>Ativo</v>
      </c>
      <c r="Z28" s="126"/>
      <c r="AA28" s="94" t="str">
        <f t="shared" si="4"/>
        <v/>
      </c>
      <c r="AB28" s="13" t="s">
        <v>95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2376</v>
      </c>
      <c r="B29" s="45" t="s">
        <v>2471</v>
      </c>
      <c r="C29" s="137">
        <v>344673.0</v>
      </c>
      <c r="D29" s="312" t="s">
        <v>18</v>
      </c>
      <c r="E29" s="312" t="s">
        <v>145</v>
      </c>
      <c r="F29" s="92" t="s">
        <v>171</v>
      </c>
      <c r="G29" s="47" t="str">
        <f t="shared" si="1"/>
        <v>Augusto</v>
      </c>
      <c r="H29" s="152" t="s">
        <v>116</v>
      </c>
      <c r="I29" s="53" t="s">
        <v>161</v>
      </c>
      <c r="J29" s="312" t="str">
        <f t="shared" si="2"/>
        <v>Não</v>
      </c>
      <c r="K29" s="313">
        <v>44754.0</v>
      </c>
      <c r="L29" s="94"/>
      <c r="M29" s="94" t="s">
        <v>60</v>
      </c>
      <c r="N29" s="325">
        <v>0.007</v>
      </c>
      <c r="O29" s="312" t="s">
        <v>2381</v>
      </c>
      <c r="P29" s="315">
        <v>0.0</v>
      </c>
      <c r="Q29" s="312" t="str">
        <f>IFERROR(VLOOKUP(F29,'Cadastro de assessores'!A:B,2,FALSE),"Não Cadastrado")</f>
        <v>28411</v>
      </c>
      <c r="R29" s="312" t="s">
        <v>88</v>
      </c>
      <c r="S29" s="313">
        <v>44754.0</v>
      </c>
      <c r="T29" s="156"/>
      <c r="U29" s="65"/>
      <c r="V29" s="24" t="s">
        <v>89</v>
      </c>
      <c r="W29" s="5" t="s">
        <v>268</v>
      </c>
      <c r="X29" s="151" t="s">
        <v>149</v>
      </c>
      <c r="Y29" s="53" t="str">
        <f t="shared" si="3"/>
        <v>Ativo</v>
      </c>
      <c r="Z29" s="126"/>
      <c r="AA29" s="94" t="str">
        <f t="shared" si="4"/>
        <v/>
      </c>
      <c r="AB29" s="13" t="s">
        <v>91</v>
      </c>
      <c r="AC29" s="94"/>
      <c r="AD29" s="94" t="s">
        <v>2389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2376</v>
      </c>
      <c r="B30" s="225" t="s">
        <v>275</v>
      </c>
      <c r="C30" s="322" t="s">
        <v>2472</v>
      </c>
      <c r="D30" s="312" t="s">
        <v>18</v>
      </c>
      <c r="E30" s="312" t="s">
        <v>29</v>
      </c>
      <c r="F30" s="94" t="s">
        <v>333</v>
      </c>
      <c r="G30" s="47" t="str">
        <f t="shared" si="1"/>
        <v>Augusto</v>
      </c>
      <c r="H30" s="323" t="s">
        <v>157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162</v>
      </c>
      <c r="N30" s="325">
        <v>1.0E-4</v>
      </c>
      <c r="O30" s="312" t="s">
        <v>163</v>
      </c>
      <c r="P30" s="315">
        <v>0.2</v>
      </c>
      <c r="Q30" s="94" t="str">
        <f>IFERROR(VLOOKUP(F30,'Cadastro de assessores'!A:B,2,FALSE),"Não Cadastrado")</f>
        <v>18993</v>
      </c>
      <c r="R30" s="94" t="s">
        <v>2393</v>
      </c>
      <c r="S30" s="324">
        <v>43355.0</v>
      </c>
      <c r="T30" s="75"/>
      <c r="U30" s="156" t="s">
        <v>2473</v>
      </c>
      <c r="V30" s="24" t="s">
        <v>89</v>
      </c>
      <c r="W30" s="13" t="s">
        <v>277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2421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2396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2376</v>
      </c>
      <c r="B31" s="225" t="s">
        <v>2474</v>
      </c>
      <c r="C31" s="322" t="s">
        <v>2475</v>
      </c>
      <c r="D31" s="312" t="s">
        <v>18</v>
      </c>
      <c r="E31" s="312" t="s">
        <v>29</v>
      </c>
      <c r="F31" s="94" t="s">
        <v>333</v>
      </c>
      <c r="G31" s="47" t="str">
        <f t="shared" si="1"/>
        <v>Augusto</v>
      </c>
      <c r="H31" s="323" t="s">
        <v>157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162</v>
      </c>
      <c r="N31" s="325">
        <v>1.0E-4</v>
      </c>
      <c r="O31" s="312" t="s">
        <v>163</v>
      </c>
      <c r="P31" s="315">
        <v>0.2</v>
      </c>
      <c r="Q31" s="94" t="str">
        <f>IFERROR(VLOOKUP(F31,'Cadastro de assessores'!A:B,2,FALSE),"Não Cadastrado")</f>
        <v>18993</v>
      </c>
      <c r="R31" s="94" t="s">
        <v>2393</v>
      </c>
      <c r="S31" s="324">
        <v>43355.0</v>
      </c>
      <c r="T31" s="75"/>
      <c r="U31" s="156" t="s">
        <v>2473</v>
      </c>
      <c r="V31" s="24" t="s">
        <v>89</v>
      </c>
      <c r="W31" s="13" t="s">
        <v>277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2421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2396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2376</v>
      </c>
      <c r="B32" s="225" t="s">
        <v>2476</v>
      </c>
      <c r="C32" s="322" t="s">
        <v>2477</v>
      </c>
      <c r="D32" s="312" t="s">
        <v>2379</v>
      </c>
      <c r="E32" s="312" t="s">
        <v>29</v>
      </c>
      <c r="F32" s="94" t="s">
        <v>2392</v>
      </c>
      <c r="G32" s="47" t="str">
        <f t="shared" si="1"/>
        <v>Augusto</v>
      </c>
      <c r="H32" s="323" t="s">
        <v>157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111</v>
      </c>
      <c r="N32" s="325">
        <v>0.01</v>
      </c>
      <c r="O32" s="312" t="s">
        <v>46</v>
      </c>
      <c r="P32" s="315">
        <v>0.1</v>
      </c>
      <c r="Q32" s="94" t="str">
        <f>IFERROR(VLOOKUP(F32,'Cadastro de assessores'!A:B,2,FALSE),"Não Cadastrado")</f>
        <v>2971</v>
      </c>
      <c r="R32" s="94" t="s">
        <v>2393</v>
      </c>
      <c r="S32" s="324">
        <v>43685.0</v>
      </c>
      <c r="T32" s="156"/>
      <c r="U32" s="75"/>
      <c r="V32" s="24" t="s">
        <v>89</v>
      </c>
      <c r="W32" s="13" t="s">
        <v>2478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2432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2396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2376</v>
      </c>
      <c r="B33" s="63" t="s">
        <v>2479</v>
      </c>
      <c r="C33" s="24">
        <v>4694181.0</v>
      </c>
      <c r="D33" s="312" t="s">
        <v>18</v>
      </c>
      <c r="E33" s="312" t="s">
        <v>19</v>
      </c>
      <c r="F33" s="24" t="s">
        <v>230</v>
      </c>
      <c r="G33" s="47" t="str">
        <f t="shared" si="1"/>
        <v>Augusto</v>
      </c>
      <c r="H33" s="323" t="s">
        <v>157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111</v>
      </c>
      <c r="N33" s="325">
        <v>0.015</v>
      </c>
      <c r="O33" s="312" t="s">
        <v>46</v>
      </c>
      <c r="P33" s="315">
        <v>0.1</v>
      </c>
      <c r="Q33" s="94" t="str">
        <f>IFERROR(VLOOKUP(F33,'Cadastro de assessores'!A:B,2,FALSE),"Não Cadastrado")</f>
        <v>18009</v>
      </c>
      <c r="R33" s="94" t="s">
        <v>88</v>
      </c>
      <c r="S33" s="324">
        <v>44705.0</v>
      </c>
      <c r="T33" s="75"/>
      <c r="U33" s="156" t="s">
        <v>2480</v>
      </c>
      <c r="V33" s="24" t="s">
        <v>89</v>
      </c>
      <c r="W33" s="5" t="s">
        <v>2481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2482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2376</v>
      </c>
      <c r="B34" s="221" t="s">
        <v>2483</v>
      </c>
      <c r="C34" s="322" t="s">
        <v>2484</v>
      </c>
      <c r="D34" s="312" t="s">
        <v>2379</v>
      </c>
      <c r="E34" s="312" t="s">
        <v>29</v>
      </c>
      <c r="F34" s="94" t="s">
        <v>2380</v>
      </c>
      <c r="G34" s="47" t="str">
        <f t="shared" si="1"/>
        <v>Augusto</v>
      </c>
      <c r="H34" s="323" t="s">
        <v>157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111</v>
      </c>
      <c r="N34" s="325">
        <v>0.015</v>
      </c>
      <c r="O34" s="312" t="s">
        <v>46</v>
      </c>
      <c r="P34" s="315">
        <v>0.1</v>
      </c>
      <c r="Q34" s="94" t="str">
        <f>IFERROR(VLOOKUP(F34,'Cadastro de assessores'!A:B,2,FALSE),"Não Cadastrado")</f>
        <v>17573</v>
      </c>
      <c r="R34" s="94" t="s">
        <v>2393</v>
      </c>
      <c r="S34" s="324">
        <v>43867.0</v>
      </c>
      <c r="T34" s="75"/>
      <c r="U34" s="156"/>
      <c r="V34" s="24" t="s">
        <v>89</v>
      </c>
      <c r="W34" s="13" t="s">
        <v>2485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95</v>
      </c>
      <c r="AC34" s="94"/>
      <c r="AD34" s="94" t="s">
        <v>2486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2396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2376</v>
      </c>
      <c r="B35" s="225" t="s">
        <v>2487</v>
      </c>
      <c r="C35" s="322" t="s">
        <v>2488</v>
      </c>
      <c r="D35" s="312" t="s">
        <v>2489</v>
      </c>
      <c r="E35" s="312" t="s">
        <v>29</v>
      </c>
      <c r="F35" s="94" t="s">
        <v>2489</v>
      </c>
      <c r="G35" s="47" t="str">
        <f t="shared" si="1"/>
        <v>Augusto</v>
      </c>
      <c r="H35" s="323" t="s">
        <v>157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162</v>
      </c>
      <c r="N35" s="325">
        <v>0.01</v>
      </c>
      <c r="O35" s="312" t="s">
        <v>163</v>
      </c>
      <c r="P35" s="315">
        <v>0.2</v>
      </c>
      <c r="Q35" s="94" t="str">
        <f>IFERROR(VLOOKUP(F35,'Cadastro de assessores'!A:B,2,FALSE),"Não Cadastrado")</f>
        <v>22400</v>
      </c>
      <c r="R35" s="94" t="s">
        <v>2393</v>
      </c>
      <c r="S35" s="324">
        <v>43563.0</v>
      </c>
      <c r="T35" s="75"/>
      <c r="U35" s="156"/>
      <c r="V35" s="24" t="s">
        <v>89</v>
      </c>
      <c r="W35" s="13" t="s">
        <v>2490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2396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2376</v>
      </c>
      <c r="B36" s="225" t="s">
        <v>2491</v>
      </c>
      <c r="C36" s="322" t="s">
        <v>2492</v>
      </c>
      <c r="D36" s="312" t="s">
        <v>18</v>
      </c>
      <c r="E36" s="312" t="s">
        <v>29</v>
      </c>
      <c r="F36" s="94" t="s">
        <v>333</v>
      </c>
      <c r="G36" s="47" t="str">
        <f t="shared" si="1"/>
        <v>Augusto</v>
      </c>
      <c r="H36" s="323" t="s">
        <v>157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162</v>
      </c>
      <c r="N36" s="325">
        <v>0.02</v>
      </c>
      <c r="O36" s="312" t="s">
        <v>163</v>
      </c>
      <c r="P36" s="315">
        <v>0.2</v>
      </c>
      <c r="Q36" s="94" t="str">
        <f>IFERROR(VLOOKUP(F36,'Cadastro de assessores'!A:B,2,FALSE),"Não Cadastrado")</f>
        <v>18993</v>
      </c>
      <c r="R36" s="94" t="s">
        <v>2393</v>
      </c>
      <c r="S36" s="324">
        <v>43382.0</v>
      </c>
      <c r="T36" s="75"/>
      <c r="U36" s="156"/>
      <c r="V36" s="24" t="s">
        <v>89</v>
      </c>
      <c r="W36" s="13" t="s">
        <v>2493</v>
      </c>
      <c r="X36" s="151" t="s">
        <v>715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2494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2396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2376</v>
      </c>
      <c r="B37" s="225" t="s">
        <v>2495</v>
      </c>
      <c r="C37" s="322" t="s">
        <v>2496</v>
      </c>
      <c r="D37" s="312" t="s">
        <v>18</v>
      </c>
      <c r="E37" s="312" t="s">
        <v>145</v>
      </c>
      <c r="F37" s="94" t="s">
        <v>171</v>
      </c>
      <c r="G37" s="47" t="str">
        <f t="shared" si="1"/>
        <v>Augusto</v>
      </c>
      <c r="H37" s="323" t="s">
        <v>157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243</v>
      </c>
      <c r="N37" s="325">
        <v>0.02</v>
      </c>
      <c r="O37" s="312" t="s">
        <v>46</v>
      </c>
      <c r="P37" s="315">
        <v>0.2</v>
      </c>
      <c r="Q37" s="94" t="str">
        <f>IFERROR(VLOOKUP(F37,'Cadastro de assessores'!A:B,2,FALSE),"Não Cadastrado")</f>
        <v>28411</v>
      </c>
      <c r="R37" s="94" t="s">
        <v>2393</v>
      </c>
      <c r="S37" s="324">
        <v>44295.0</v>
      </c>
      <c r="T37" s="75"/>
      <c r="U37" s="52"/>
      <c r="V37" s="24" t="s">
        <v>89</v>
      </c>
      <c r="W37" s="13" t="s">
        <v>2497</v>
      </c>
      <c r="X37" s="151" t="s">
        <v>149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95</v>
      </c>
      <c r="AC37" s="94"/>
      <c r="AD37" s="94" t="s">
        <v>2439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2396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2376</v>
      </c>
      <c r="B38" s="221" t="s">
        <v>302</v>
      </c>
      <c r="C38" s="345" t="s">
        <v>2498</v>
      </c>
      <c r="D38" s="338" t="s">
        <v>18</v>
      </c>
      <c r="E38" s="338" t="s">
        <v>145</v>
      </c>
      <c r="F38" s="338" t="s">
        <v>146</v>
      </c>
      <c r="G38" s="47" t="str">
        <f t="shared" si="1"/>
        <v>Augusto</v>
      </c>
      <c r="H38" s="339" t="s">
        <v>116</v>
      </c>
      <c r="I38" s="53" t="s">
        <v>161</v>
      </c>
      <c r="J38" s="312" t="str">
        <f t="shared" si="2"/>
        <v>Não</v>
      </c>
      <c r="K38" s="340">
        <v>44267.0</v>
      </c>
      <c r="L38" s="341"/>
      <c r="M38" s="341" t="s">
        <v>111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88</v>
      </c>
      <c r="S38" s="313">
        <v>44267.0</v>
      </c>
      <c r="T38" s="156"/>
      <c r="U38" s="336" t="s">
        <v>2499</v>
      </c>
      <c r="V38" s="24" t="s">
        <v>89</v>
      </c>
      <c r="W38" s="13" t="s">
        <v>305</v>
      </c>
      <c r="X38" s="151" t="s">
        <v>121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91</v>
      </c>
      <c r="AC38" s="94"/>
      <c r="AD38" s="94" t="s">
        <v>2500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2376</v>
      </c>
      <c r="B39" s="225" t="s">
        <v>2501</v>
      </c>
      <c r="C39" s="322" t="s">
        <v>2502</v>
      </c>
      <c r="D39" s="312" t="s">
        <v>2379</v>
      </c>
      <c r="E39" s="312" t="s">
        <v>29</v>
      </c>
      <c r="F39" s="94" t="s">
        <v>2380</v>
      </c>
      <c r="G39" s="47" t="str">
        <f t="shared" si="1"/>
        <v>Augusto</v>
      </c>
      <c r="H39" s="323" t="s">
        <v>157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45</v>
      </c>
      <c r="N39" s="325">
        <v>0.005</v>
      </c>
      <c r="O39" s="312" t="s">
        <v>2381</v>
      </c>
      <c r="P39" s="315">
        <v>0.0</v>
      </c>
      <c r="Q39" s="94" t="str">
        <f>IFERROR(VLOOKUP(F39,'Cadastro de assessores'!A:B,2,FALSE),"Não Cadastrado")</f>
        <v>17573</v>
      </c>
      <c r="R39" s="94" t="s">
        <v>2393</v>
      </c>
      <c r="S39" s="324">
        <v>43620.0</v>
      </c>
      <c r="T39" s="75"/>
      <c r="U39" s="156" t="s">
        <v>2503</v>
      </c>
      <c r="V39" s="24" t="s">
        <v>89</v>
      </c>
      <c r="W39" s="13" t="s">
        <v>2504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2505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2396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2376</v>
      </c>
      <c r="B40" s="45" t="s">
        <v>2506</v>
      </c>
      <c r="C40" s="321">
        <v>4299371.0</v>
      </c>
      <c r="D40" s="312" t="s">
        <v>18</v>
      </c>
      <c r="E40" s="312" t="s">
        <v>145</v>
      </c>
      <c r="F40" s="94" t="s">
        <v>171</v>
      </c>
      <c r="G40" s="47" t="str">
        <f t="shared" si="1"/>
        <v>Augusto</v>
      </c>
      <c r="H40" s="323" t="s">
        <v>157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60</v>
      </c>
      <c r="N40" s="325">
        <v>0.007</v>
      </c>
      <c r="O40" s="312" t="s">
        <v>2381</v>
      </c>
      <c r="P40" s="315">
        <v>0.0</v>
      </c>
      <c r="Q40" s="312" t="str">
        <f>IFERROR(VLOOKUP(F40,'Cadastro de assessores'!A:B,2,FALSE),"Não Cadastrado")</f>
        <v>28411</v>
      </c>
      <c r="R40" s="312" t="s">
        <v>88</v>
      </c>
      <c r="S40" s="313">
        <v>44789.0</v>
      </c>
      <c r="T40" s="52"/>
      <c r="U40" s="52"/>
      <c r="V40" s="24" t="s">
        <v>89</v>
      </c>
      <c r="W40" s="5" t="s">
        <v>2507</v>
      </c>
      <c r="X40" s="151" t="s">
        <v>149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2508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2376</v>
      </c>
      <c r="B41" s="45" t="s">
        <v>310</v>
      </c>
      <c r="C41" s="321" t="s">
        <v>2509</v>
      </c>
      <c r="D41" s="312" t="s">
        <v>18</v>
      </c>
      <c r="E41" s="312" t="s">
        <v>145</v>
      </c>
      <c r="F41" s="312" t="s">
        <v>171</v>
      </c>
      <c r="G41" s="47" t="str">
        <f t="shared" si="1"/>
        <v>Augusto</v>
      </c>
      <c r="H41" s="152" t="s">
        <v>116</v>
      </c>
      <c r="I41" s="53" t="s">
        <v>161</v>
      </c>
      <c r="J41" s="312" t="str">
        <f t="shared" si="2"/>
        <v>Não</v>
      </c>
      <c r="K41" s="313">
        <v>44323.0</v>
      </c>
      <c r="L41" s="94"/>
      <c r="M41" s="94" t="s">
        <v>111</v>
      </c>
      <c r="N41" s="325">
        <v>0.015</v>
      </c>
      <c r="O41" s="312" t="s">
        <v>46</v>
      </c>
      <c r="P41" s="315">
        <v>0.1</v>
      </c>
      <c r="Q41" s="312" t="str">
        <f>IFERROR(VLOOKUP(F41,'Cadastro de assessores'!A:B,2,FALSE),"Não Cadastrado")</f>
        <v>28411</v>
      </c>
      <c r="R41" s="312" t="s">
        <v>88</v>
      </c>
      <c r="S41" s="313">
        <v>44323.0</v>
      </c>
      <c r="T41" s="52"/>
      <c r="U41" s="52"/>
      <c r="V41" s="24" t="s">
        <v>89</v>
      </c>
      <c r="W41" s="5" t="s">
        <v>312</v>
      </c>
      <c r="X41" s="151" t="s">
        <v>149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91</v>
      </c>
      <c r="AC41" s="94"/>
      <c r="AD41" s="94" t="s">
        <v>2439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2376</v>
      </c>
      <c r="B42" s="221" t="s">
        <v>2510</v>
      </c>
      <c r="C42" s="347" t="s">
        <v>2511</v>
      </c>
      <c r="D42" s="312" t="s">
        <v>18</v>
      </c>
      <c r="E42" s="312" t="s">
        <v>145</v>
      </c>
      <c r="F42" s="94" t="s">
        <v>2464</v>
      </c>
      <c r="G42" s="47" t="str">
        <f t="shared" si="1"/>
        <v>Augusto</v>
      </c>
      <c r="H42" s="323" t="s">
        <v>157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60</v>
      </c>
      <c r="N42" s="325">
        <v>0.007</v>
      </c>
      <c r="O42" s="312" t="s">
        <v>2381</v>
      </c>
      <c r="P42" s="315">
        <v>0.0</v>
      </c>
      <c r="Q42" s="94" t="str">
        <f>IFERROR(VLOOKUP(F42,'Cadastro de assessores'!A:B,2,FALSE),"Não Cadastrado")</f>
        <v>22066</v>
      </c>
      <c r="R42" s="94" t="s">
        <v>2393</v>
      </c>
      <c r="S42" s="324">
        <v>44263.0</v>
      </c>
      <c r="T42" s="75"/>
      <c r="U42" s="156" t="s">
        <v>2512</v>
      </c>
      <c r="V42" s="24" t="s">
        <v>89</v>
      </c>
      <c r="W42" s="13" t="s">
        <v>2513</v>
      </c>
      <c r="X42" s="151" t="s">
        <v>149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95</v>
      </c>
      <c r="AC42" s="94"/>
      <c r="AD42" s="94" t="s">
        <v>2439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2376</v>
      </c>
      <c r="B43" s="335" t="s">
        <v>319</v>
      </c>
      <c r="C43" s="322" t="s">
        <v>2514</v>
      </c>
      <c r="D43" s="312" t="s">
        <v>18</v>
      </c>
      <c r="E43" s="312" t="s">
        <v>145</v>
      </c>
      <c r="F43" s="312" t="s">
        <v>146</v>
      </c>
      <c r="G43" s="47" t="str">
        <f t="shared" si="1"/>
        <v>Augusto</v>
      </c>
      <c r="H43" s="152" t="s">
        <v>116</v>
      </c>
      <c r="I43" s="53" t="s">
        <v>161</v>
      </c>
      <c r="J43" s="312" t="str">
        <f t="shared" si="2"/>
        <v>Sim</v>
      </c>
      <c r="K43" s="324">
        <v>44263.0</v>
      </c>
      <c r="L43" s="94"/>
      <c r="M43" s="94" t="s">
        <v>111</v>
      </c>
      <c r="N43" s="325">
        <v>0.0075</v>
      </c>
      <c r="O43" s="312" t="s">
        <v>46</v>
      </c>
      <c r="P43" s="315">
        <v>0.15</v>
      </c>
      <c r="Q43" s="312" t="str">
        <f>IFERROR(VLOOKUP(F43,'Cadastro de assessores'!A:B,2,FALSE),"Não Cadastrado")</f>
        <v>250</v>
      </c>
      <c r="R43" s="312" t="s">
        <v>88</v>
      </c>
      <c r="S43" s="324">
        <v>44263.0</v>
      </c>
      <c r="T43" s="156" t="s">
        <v>2515</v>
      </c>
      <c r="U43" s="316"/>
      <c r="V43" s="24" t="s">
        <v>89</v>
      </c>
      <c r="W43" s="317" t="s">
        <v>321</v>
      </c>
      <c r="X43" s="151" t="s">
        <v>149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91</v>
      </c>
      <c r="AC43" s="94"/>
      <c r="AD43" s="94" t="s">
        <v>2439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2376</v>
      </c>
      <c r="B44" s="221" t="s">
        <v>2516</v>
      </c>
      <c r="C44" s="322" t="s">
        <v>2517</v>
      </c>
      <c r="D44" s="312" t="s">
        <v>18</v>
      </c>
      <c r="E44" s="312" t="s">
        <v>145</v>
      </c>
      <c r="F44" s="94" t="s">
        <v>146</v>
      </c>
      <c r="G44" s="47" t="str">
        <f t="shared" si="1"/>
        <v>Augusto</v>
      </c>
      <c r="H44" s="323" t="s">
        <v>157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162</v>
      </c>
      <c r="N44" s="325">
        <v>0.025</v>
      </c>
      <c r="O44" s="312" t="s">
        <v>163</v>
      </c>
      <c r="P44" s="315">
        <v>0.2</v>
      </c>
      <c r="Q44" s="94" t="str">
        <f>IFERROR(VLOOKUP(F44,'Cadastro de assessores'!A:B,2,FALSE),"Não Cadastrado")</f>
        <v>250</v>
      </c>
      <c r="R44" s="94" t="s">
        <v>2393</v>
      </c>
      <c r="S44" s="324">
        <v>44280.0</v>
      </c>
      <c r="T44" s="75"/>
      <c r="U44" s="156"/>
      <c r="V44" s="24" t="s">
        <v>329</v>
      </c>
      <c r="W44" s="13" t="s">
        <v>2518</v>
      </c>
      <c r="X44" s="151" t="s">
        <v>149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2439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2396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2376</v>
      </c>
      <c r="B45" s="149" t="s">
        <v>2519</v>
      </c>
      <c r="C45" s="333">
        <v>6274088.0</v>
      </c>
      <c r="D45" s="312" t="s">
        <v>18</v>
      </c>
      <c r="E45" s="312" t="s">
        <v>465</v>
      </c>
      <c r="F45" s="24" t="s">
        <v>2520</v>
      </c>
      <c r="G45" s="47" t="str">
        <f t="shared" si="1"/>
        <v>Augusto</v>
      </c>
      <c r="H45" s="152" t="s">
        <v>116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45</v>
      </c>
      <c r="N45" s="325">
        <v>0.012</v>
      </c>
      <c r="O45" s="312" t="s">
        <v>2381</v>
      </c>
      <c r="P45" s="315">
        <v>0.0</v>
      </c>
      <c r="Q45" s="312">
        <f>IFERROR(VLOOKUP(F45,'Cadastro de assessores'!A:B,2,FALSE),"Não Cadastrado")</f>
        <v>26542</v>
      </c>
      <c r="R45" s="348" t="s">
        <v>88</v>
      </c>
      <c r="S45" s="326">
        <v>44510.0</v>
      </c>
      <c r="T45" s="52"/>
      <c r="U45" s="52"/>
      <c r="V45" s="24" t="s">
        <v>89</v>
      </c>
      <c r="W45" s="11" t="s">
        <v>2521</v>
      </c>
      <c r="X45" s="24" t="s">
        <v>121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95</v>
      </c>
      <c r="AC45" s="94"/>
      <c r="AD45" s="24" t="s">
        <v>2449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2376</v>
      </c>
      <c r="B46" s="225" t="s">
        <v>2522</v>
      </c>
      <c r="C46" s="322" t="s">
        <v>2523</v>
      </c>
      <c r="D46" s="312" t="s">
        <v>2379</v>
      </c>
      <c r="E46" s="312" t="s">
        <v>29</v>
      </c>
      <c r="F46" s="94" t="s">
        <v>2380</v>
      </c>
      <c r="G46" s="47" t="str">
        <f t="shared" si="1"/>
        <v>Augusto</v>
      </c>
      <c r="H46" s="323" t="s">
        <v>157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162</v>
      </c>
      <c r="N46" s="325">
        <v>0.025</v>
      </c>
      <c r="O46" s="312" t="s">
        <v>163</v>
      </c>
      <c r="P46" s="315">
        <v>0.2</v>
      </c>
      <c r="Q46" s="94" t="str">
        <f>IFERROR(VLOOKUP(F46,'Cadastro de assessores'!A:B,2,FALSE),"Não Cadastrado")</f>
        <v>17573</v>
      </c>
      <c r="R46" s="94" t="s">
        <v>2393</v>
      </c>
      <c r="S46" s="324">
        <v>43567.0</v>
      </c>
      <c r="T46" s="75"/>
      <c r="U46" s="156"/>
      <c r="V46" s="24" t="s">
        <v>89</v>
      </c>
      <c r="W46" s="13" t="s">
        <v>2524</v>
      </c>
      <c r="X46" s="94" t="s">
        <v>121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2525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2396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2376</v>
      </c>
      <c r="B47" s="221" t="s">
        <v>2526</v>
      </c>
      <c r="C47" s="322" t="s">
        <v>2527</v>
      </c>
      <c r="D47" s="312" t="s">
        <v>2379</v>
      </c>
      <c r="E47" s="312" t="s">
        <v>29</v>
      </c>
      <c r="F47" s="94" t="s">
        <v>2380</v>
      </c>
      <c r="G47" s="47" t="str">
        <f t="shared" si="1"/>
        <v>Augusto</v>
      </c>
      <c r="H47" s="323" t="s">
        <v>157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111</v>
      </c>
      <c r="N47" s="325">
        <v>0.01</v>
      </c>
      <c r="O47" s="312" t="s">
        <v>46</v>
      </c>
      <c r="P47" s="315">
        <v>0.1</v>
      </c>
      <c r="Q47" s="94" t="str">
        <f>IFERROR(VLOOKUP(F47,'Cadastro de assessores'!A:B,2,FALSE),"Não Cadastrado")</f>
        <v>17573</v>
      </c>
      <c r="R47" s="94" t="s">
        <v>2393</v>
      </c>
      <c r="S47" s="324">
        <v>43725.0</v>
      </c>
      <c r="T47" s="156"/>
      <c r="U47" s="75"/>
      <c r="V47" s="24" t="s">
        <v>89</v>
      </c>
      <c r="W47" s="13" t="s">
        <v>2528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2421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2396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2376</v>
      </c>
      <c r="B48" s="63" t="s">
        <v>362</v>
      </c>
      <c r="C48" s="73" t="s">
        <v>2529</v>
      </c>
      <c r="D48" s="312" t="s">
        <v>18</v>
      </c>
      <c r="E48" s="312" t="s">
        <v>145</v>
      </c>
      <c r="F48" s="92" t="s">
        <v>146</v>
      </c>
      <c r="G48" s="47" t="str">
        <f t="shared" si="1"/>
        <v>Augusto</v>
      </c>
      <c r="H48" s="323" t="s">
        <v>116</v>
      </c>
      <c r="I48" s="53" t="s">
        <v>161</v>
      </c>
      <c r="J48" s="312" t="str">
        <f t="shared" si="2"/>
        <v>Não</v>
      </c>
      <c r="K48" s="74">
        <v>44421.0</v>
      </c>
      <c r="L48" s="94"/>
      <c r="M48" s="94" t="s">
        <v>111</v>
      </c>
      <c r="N48" s="325">
        <v>0.015</v>
      </c>
      <c r="O48" s="312" t="s">
        <v>46</v>
      </c>
      <c r="P48" s="315">
        <v>0.0</v>
      </c>
      <c r="Q48" s="92" t="str">
        <f>IFERROR(VLOOKUP(F48,'Cadastro de assessores'!A:B,2,FALSE),"Não Cadastrado")</f>
        <v>250</v>
      </c>
      <c r="R48" s="312" t="s">
        <v>88</v>
      </c>
      <c r="S48" s="74">
        <v>44420.0</v>
      </c>
      <c r="T48" s="52"/>
      <c r="U48" s="52"/>
      <c r="V48" s="24" t="s">
        <v>89</v>
      </c>
      <c r="W48" s="5" t="s">
        <v>364</v>
      </c>
      <c r="X48" s="151" t="s">
        <v>149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95</v>
      </c>
      <c r="AC48" s="94"/>
      <c r="AD48" s="24" t="s">
        <v>2530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2376</v>
      </c>
      <c r="B49" s="221" t="s">
        <v>2531</v>
      </c>
      <c r="C49" s="322" t="s">
        <v>2532</v>
      </c>
      <c r="D49" s="312" t="s">
        <v>18</v>
      </c>
      <c r="E49" s="312" t="s">
        <v>29</v>
      </c>
      <c r="F49" s="312" t="s">
        <v>137</v>
      </c>
      <c r="G49" s="47" t="str">
        <f t="shared" si="1"/>
        <v>Augusto</v>
      </c>
      <c r="H49" s="152" t="s">
        <v>88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111</v>
      </c>
      <c r="N49" s="325">
        <v>0.015</v>
      </c>
      <c r="O49" s="312" t="s">
        <v>2381</v>
      </c>
      <c r="P49" s="315">
        <v>0.0</v>
      </c>
      <c r="Q49" s="312">
        <f>IFERROR(VLOOKUP(F49,'Cadastro de assessores'!A:B,2,FALSE),"Não Cadastrado")</f>
        <v>12344</v>
      </c>
      <c r="R49" s="312" t="s">
        <v>88</v>
      </c>
      <c r="S49" s="313">
        <v>43899.0</v>
      </c>
      <c r="T49" s="156"/>
      <c r="U49" s="327" t="s">
        <v>2533</v>
      </c>
      <c r="V49" s="24" t="s">
        <v>89</v>
      </c>
      <c r="W49" s="13" t="s">
        <v>2534</v>
      </c>
      <c r="X49" s="94" t="s">
        <v>715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95</v>
      </c>
      <c r="AC49" s="94"/>
      <c r="AD49" s="94" t="s">
        <v>2494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2376</v>
      </c>
      <c r="B50" s="221" t="s">
        <v>56</v>
      </c>
      <c r="C50" s="349" t="s">
        <v>2535</v>
      </c>
      <c r="D50" s="338" t="s">
        <v>18</v>
      </c>
      <c r="E50" s="338" t="s">
        <v>29</v>
      </c>
      <c r="F50" s="338" t="s">
        <v>58</v>
      </c>
      <c r="G50" s="47" t="str">
        <f t="shared" si="1"/>
        <v>Augusto</v>
      </c>
      <c r="H50" s="350" t="s">
        <v>116</v>
      </c>
      <c r="I50" s="53" t="s">
        <v>161</v>
      </c>
      <c r="J50" s="312" t="str">
        <f t="shared" si="2"/>
        <v>Sim</v>
      </c>
      <c r="K50" s="340">
        <v>43928.0</v>
      </c>
      <c r="L50" s="341"/>
      <c r="M50" s="341" t="s">
        <v>111</v>
      </c>
      <c r="N50" s="351">
        <v>0.015</v>
      </c>
      <c r="O50" s="352" t="s">
        <v>46</v>
      </c>
      <c r="P50" s="353">
        <v>0.2</v>
      </c>
      <c r="Q50" s="312">
        <f>IFERROR(VLOOKUP(F50,'Cadastro de assessores'!A:B,2,FALSE),"Não Cadastrado")</f>
        <v>12359</v>
      </c>
      <c r="R50" s="312" t="s">
        <v>88</v>
      </c>
      <c r="S50" s="313">
        <v>43923.0</v>
      </c>
      <c r="T50" s="156" t="s">
        <v>2536</v>
      </c>
      <c r="U50" s="327" t="s">
        <v>2537</v>
      </c>
      <c r="V50" s="24" t="s">
        <v>89</v>
      </c>
      <c r="W50" s="13" t="s">
        <v>386</v>
      </c>
      <c r="X50" s="94" t="s">
        <v>412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95</v>
      </c>
      <c r="AC50" s="94"/>
      <c r="AD50" s="94" t="s">
        <v>2538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2376</v>
      </c>
      <c r="B51" s="225" t="s">
        <v>2539</v>
      </c>
      <c r="C51" s="322" t="s">
        <v>2540</v>
      </c>
      <c r="D51" s="312" t="s">
        <v>2379</v>
      </c>
      <c r="E51" s="312" t="s">
        <v>29</v>
      </c>
      <c r="F51" s="94" t="s">
        <v>2380</v>
      </c>
      <c r="G51" s="47" t="str">
        <f t="shared" si="1"/>
        <v>Augusto</v>
      </c>
      <c r="H51" s="323" t="s">
        <v>157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45</v>
      </c>
      <c r="N51" s="325">
        <v>0.01</v>
      </c>
      <c r="O51" s="312" t="s">
        <v>2381</v>
      </c>
      <c r="P51" s="315">
        <v>0.0</v>
      </c>
      <c r="Q51" s="94" t="str">
        <f>IFERROR(VLOOKUP(F51,'Cadastro de assessores'!A:B,2,FALSE),"Não Cadastrado")</f>
        <v>17573</v>
      </c>
      <c r="R51" s="94" t="s">
        <v>2393</v>
      </c>
      <c r="S51" s="329">
        <v>43769.0</v>
      </c>
      <c r="T51" s="75"/>
      <c r="U51" s="156" t="s">
        <v>2541</v>
      </c>
      <c r="V51" s="24" t="s">
        <v>89</v>
      </c>
      <c r="W51" s="13" t="s">
        <v>2542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2410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2396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2376</v>
      </c>
      <c r="B52" s="225" t="s">
        <v>2543</v>
      </c>
      <c r="C52" s="322" t="s">
        <v>2544</v>
      </c>
      <c r="D52" s="312" t="s">
        <v>2379</v>
      </c>
      <c r="E52" s="312" t="s">
        <v>29</v>
      </c>
      <c r="F52" s="94" t="s">
        <v>2380</v>
      </c>
      <c r="G52" s="47" t="str">
        <f t="shared" si="1"/>
        <v>Augusto</v>
      </c>
      <c r="H52" s="323" t="s">
        <v>157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111</v>
      </c>
      <c r="N52" s="325">
        <v>0.01</v>
      </c>
      <c r="O52" s="312" t="s">
        <v>46</v>
      </c>
      <c r="P52" s="315">
        <v>0.1</v>
      </c>
      <c r="Q52" s="94" t="str">
        <f>IFERROR(VLOOKUP(F52,'Cadastro de assessores'!A:B,2,FALSE),"Não Cadastrado")</f>
        <v>17573</v>
      </c>
      <c r="R52" s="94" t="s">
        <v>2393</v>
      </c>
      <c r="S52" s="324">
        <v>43665.0</v>
      </c>
      <c r="T52" s="156"/>
      <c r="U52" s="75"/>
      <c r="V52" s="24" t="s">
        <v>89</v>
      </c>
      <c r="W52" s="13" t="s">
        <v>2545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2432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2396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2376</v>
      </c>
      <c r="B53" s="225" t="s">
        <v>2546</v>
      </c>
      <c r="C53" s="322" t="s">
        <v>2547</v>
      </c>
      <c r="D53" s="312" t="s">
        <v>18</v>
      </c>
      <c r="E53" s="312" t="s">
        <v>29</v>
      </c>
      <c r="F53" s="94" t="s">
        <v>333</v>
      </c>
      <c r="G53" s="47" t="str">
        <f t="shared" si="1"/>
        <v>Augusto</v>
      </c>
      <c r="H53" s="323" t="s">
        <v>157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243</v>
      </c>
      <c r="N53" s="325">
        <v>0.0075</v>
      </c>
      <c r="O53" s="312" t="s">
        <v>46</v>
      </c>
      <c r="P53" s="315">
        <v>0.2</v>
      </c>
      <c r="Q53" s="94" t="str">
        <f>IFERROR(VLOOKUP(F53,'Cadastro de assessores'!A:B,2,FALSE),"Não Cadastrado")</f>
        <v>18993</v>
      </c>
      <c r="R53" s="94" t="s">
        <v>2393</v>
      </c>
      <c r="S53" s="324">
        <v>43509.0</v>
      </c>
      <c r="T53" s="316"/>
      <c r="U53" s="156" t="s">
        <v>2548</v>
      </c>
      <c r="V53" s="24" t="s">
        <v>89</v>
      </c>
      <c r="W53" s="13" t="s">
        <v>2549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2486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2396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2376</v>
      </c>
      <c r="B54" s="225" t="s">
        <v>2546</v>
      </c>
      <c r="C54" s="322" t="s">
        <v>2550</v>
      </c>
      <c r="D54" s="312" t="s">
        <v>18</v>
      </c>
      <c r="E54" s="312" t="s">
        <v>29</v>
      </c>
      <c r="F54" s="94" t="s">
        <v>333</v>
      </c>
      <c r="G54" s="47" t="str">
        <f t="shared" si="1"/>
        <v>Augusto</v>
      </c>
      <c r="H54" s="323" t="s">
        <v>157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162</v>
      </c>
      <c r="N54" s="325">
        <v>0.0125</v>
      </c>
      <c r="O54" s="312" t="s">
        <v>163</v>
      </c>
      <c r="P54" s="315">
        <v>0.2</v>
      </c>
      <c r="Q54" s="94" t="str">
        <f>IFERROR(VLOOKUP(F54,'Cadastro de assessores'!A:B,2,FALSE),"Não Cadastrado")</f>
        <v>18993</v>
      </c>
      <c r="R54" s="94" t="s">
        <v>2393</v>
      </c>
      <c r="S54" s="324">
        <v>43517.0</v>
      </c>
      <c r="T54" s="75"/>
      <c r="U54" s="156" t="s">
        <v>2551</v>
      </c>
      <c r="V54" s="24" t="s">
        <v>89</v>
      </c>
      <c r="W54" s="13" t="s">
        <v>2549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2486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2396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2376</v>
      </c>
      <c r="B55" s="63" t="s">
        <v>409</v>
      </c>
      <c r="C55" s="321" t="s">
        <v>2552</v>
      </c>
      <c r="D55" s="312" t="s">
        <v>18</v>
      </c>
      <c r="E55" s="312" t="s">
        <v>145</v>
      </c>
      <c r="F55" s="92" t="s">
        <v>146</v>
      </c>
      <c r="G55" s="47" t="str">
        <f t="shared" si="1"/>
        <v>Augusto</v>
      </c>
      <c r="H55" s="152" t="s">
        <v>116</v>
      </c>
      <c r="I55" s="53" t="s">
        <v>161</v>
      </c>
      <c r="J55" s="312" t="str">
        <f t="shared" si="2"/>
        <v>Não</v>
      </c>
      <c r="K55" s="74">
        <v>44420.0</v>
      </c>
      <c r="L55" s="24"/>
      <c r="M55" s="94" t="s">
        <v>243</v>
      </c>
      <c r="N55" s="325">
        <v>0.02</v>
      </c>
      <c r="O55" s="312" t="s">
        <v>46</v>
      </c>
      <c r="P55" s="315">
        <v>0.2</v>
      </c>
      <c r="Q55" s="92" t="str">
        <f>IFERROR(VLOOKUP(F55,'Cadastro de assessores'!A:B,2,FALSE),"Não Cadastrado")</f>
        <v>250</v>
      </c>
      <c r="R55" s="312" t="s">
        <v>88</v>
      </c>
      <c r="S55" s="74">
        <v>44419.0</v>
      </c>
      <c r="T55" s="65"/>
      <c r="U55" s="62" t="s">
        <v>2553</v>
      </c>
      <c r="V55" s="24" t="s">
        <v>89</v>
      </c>
      <c r="W55" s="5" t="s">
        <v>411</v>
      </c>
      <c r="X55" s="24" t="s">
        <v>412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95</v>
      </c>
      <c r="AC55" s="94"/>
      <c r="AD55" s="24" t="s">
        <v>2538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2376</v>
      </c>
      <c r="B56" s="310" t="s">
        <v>2554</v>
      </c>
      <c r="C56" s="322" t="s">
        <v>2555</v>
      </c>
      <c r="D56" s="312" t="s">
        <v>2379</v>
      </c>
      <c r="E56" s="312" t="s">
        <v>29</v>
      </c>
      <c r="F56" s="312" t="s">
        <v>2380</v>
      </c>
      <c r="G56" s="47" t="str">
        <f t="shared" si="1"/>
        <v>Augusto</v>
      </c>
      <c r="H56" s="323" t="s">
        <v>157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45</v>
      </c>
      <c r="N56" s="314">
        <v>0.01</v>
      </c>
      <c r="O56" s="312" t="s">
        <v>2381</v>
      </c>
      <c r="P56" s="315">
        <v>0.0</v>
      </c>
      <c r="Q56" s="312" t="str">
        <f>IFERROR(VLOOKUP(F56,'Cadastro de assessores'!A:B,2,FALSE),"Não Cadastrado")</f>
        <v>17573</v>
      </c>
      <c r="R56" s="312" t="s">
        <v>88</v>
      </c>
      <c r="S56" s="313">
        <v>43711.0</v>
      </c>
      <c r="T56" s="156"/>
      <c r="U56" s="156"/>
      <c r="V56" s="24" t="s">
        <v>89</v>
      </c>
      <c r="W56" s="317" t="s">
        <v>2556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95</v>
      </c>
      <c r="AC56" s="94"/>
      <c r="AD56" s="94" t="s">
        <v>2421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2376</v>
      </c>
      <c r="B57" s="221" t="s">
        <v>419</v>
      </c>
      <c r="C57" s="204" t="s">
        <v>2557</v>
      </c>
      <c r="D57" s="312" t="s">
        <v>18</v>
      </c>
      <c r="E57" s="312" t="s">
        <v>145</v>
      </c>
      <c r="F57" s="312" t="s">
        <v>171</v>
      </c>
      <c r="G57" s="47" t="str">
        <f t="shared" si="1"/>
        <v>Augusto</v>
      </c>
      <c r="H57" s="152" t="s">
        <v>116</v>
      </c>
      <c r="I57" s="53" t="s">
        <v>161</v>
      </c>
      <c r="J57" s="312" t="str">
        <f t="shared" si="2"/>
        <v>Não</v>
      </c>
      <c r="K57" s="313">
        <v>44291.0</v>
      </c>
      <c r="L57" s="94"/>
      <c r="M57" s="94" t="s">
        <v>111</v>
      </c>
      <c r="N57" s="314">
        <v>0.015</v>
      </c>
      <c r="O57" s="312" t="s">
        <v>46</v>
      </c>
      <c r="P57" s="315">
        <v>0.1</v>
      </c>
      <c r="Q57" s="312" t="str">
        <f>IFERROR(VLOOKUP(F57,'Cadastro de assessores'!A:B,2,FALSE),"Não Cadastrado")</f>
        <v>28411</v>
      </c>
      <c r="R57" s="312" t="s">
        <v>88</v>
      </c>
      <c r="S57" s="313">
        <v>44291.0</v>
      </c>
      <c r="T57" s="156"/>
      <c r="U57" s="156"/>
      <c r="V57" s="24" t="s">
        <v>89</v>
      </c>
      <c r="W57" s="13" t="s">
        <v>421</v>
      </c>
      <c r="X57" s="151" t="s">
        <v>149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95</v>
      </c>
      <c r="AC57" s="94"/>
      <c r="AD57" s="94" t="s">
        <v>2439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2376</v>
      </c>
      <c r="B58" s="45" t="s">
        <v>422</v>
      </c>
      <c r="C58" s="321" t="s">
        <v>2558</v>
      </c>
      <c r="D58" s="312" t="s">
        <v>18</v>
      </c>
      <c r="E58" s="312" t="s">
        <v>145</v>
      </c>
      <c r="F58" s="92" t="s">
        <v>146</v>
      </c>
      <c r="G58" s="47" t="str">
        <f t="shared" si="1"/>
        <v>Augusto</v>
      </c>
      <c r="H58" s="152" t="s">
        <v>116</v>
      </c>
      <c r="I58" s="53" t="s">
        <v>161</v>
      </c>
      <c r="J58" s="312" t="str">
        <f t="shared" si="2"/>
        <v>Não</v>
      </c>
      <c r="K58" s="74">
        <v>44358.0</v>
      </c>
      <c r="L58" s="94"/>
      <c r="M58" s="94" t="s">
        <v>111</v>
      </c>
      <c r="N58" s="314">
        <v>0.015</v>
      </c>
      <c r="O58" s="312" t="s">
        <v>46</v>
      </c>
      <c r="P58" s="315">
        <v>0.1</v>
      </c>
      <c r="Q58" s="92" t="str">
        <f>IFERROR(VLOOKUP(F58,'Cadastro de assessores'!A:B,2,FALSE),"Não Cadastrado")</f>
        <v>250</v>
      </c>
      <c r="R58" s="312" t="s">
        <v>88</v>
      </c>
      <c r="S58" s="74">
        <v>44358.0</v>
      </c>
      <c r="T58" s="52"/>
      <c r="U58" s="52"/>
      <c r="V58" s="24" t="s">
        <v>89</v>
      </c>
      <c r="W58" s="5" t="s">
        <v>2559</v>
      </c>
      <c r="X58" s="151" t="s">
        <v>149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91</v>
      </c>
      <c r="AC58" s="94"/>
      <c r="AD58" s="94" t="s">
        <v>2439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2376</v>
      </c>
      <c r="B59" s="45" t="s">
        <v>429</v>
      </c>
      <c r="C59" s="321" t="s">
        <v>2560</v>
      </c>
      <c r="D59" s="312" t="s">
        <v>18</v>
      </c>
      <c r="E59" s="312" t="s">
        <v>145</v>
      </c>
      <c r="F59" s="92" t="s">
        <v>171</v>
      </c>
      <c r="G59" s="47" t="str">
        <f t="shared" si="1"/>
        <v>Augusto</v>
      </c>
      <c r="H59" s="152" t="s">
        <v>116</v>
      </c>
      <c r="I59" s="53" t="s">
        <v>161</v>
      </c>
      <c r="J59" s="312" t="str">
        <f t="shared" si="2"/>
        <v>Não</v>
      </c>
      <c r="K59" s="355">
        <v>44333.0</v>
      </c>
      <c r="L59" s="94"/>
      <c r="M59" s="94" t="s">
        <v>45</v>
      </c>
      <c r="N59" s="325">
        <v>0.012</v>
      </c>
      <c r="O59" s="312" t="s">
        <v>2381</v>
      </c>
      <c r="P59" s="315">
        <v>0.0</v>
      </c>
      <c r="Q59" s="92" t="str">
        <f>IFERROR(VLOOKUP(F59,'Cadastro de assessores'!A:B,2,FALSE),"Não Cadastrado")</f>
        <v>28411</v>
      </c>
      <c r="R59" s="312" t="s">
        <v>88</v>
      </c>
      <c r="S59" s="355">
        <v>44333.0</v>
      </c>
      <c r="T59" s="65"/>
      <c r="U59" s="62" t="s">
        <v>2561</v>
      </c>
      <c r="V59" s="24" t="s">
        <v>89</v>
      </c>
      <c r="W59" s="5" t="s">
        <v>431</v>
      </c>
      <c r="X59" s="151" t="s">
        <v>149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95</v>
      </c>
      <c r="AC59" s="94"/>
      <c r="AD59" s="94" t="s">
        <v>2439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2376</v>
      </c>
      <c r="B60" s="57" t="s">
        <v>433</v>
      </c>
      <c r="C60" s="321" t="s">
        <v>2562</v>
      </c>
      <c r="D60" s="312" t="s">
        <v>18</v>
      </c>
      <c r="E60" s="312" t="s">
        <v>145</v>
      </c>
      <c r="F60" s="92" t="s">
        <v>171</v>
      </c>
      <c r="G60" s="47" t="str">
        <f t="shared" si="1"/>
        <v>Augusto</v>
      </c>
      <c r="H60" s="152" t="s">
        <v>116</v>
      </c>
      <c r="I60" s="53" t="s">
        <v>161</v>
      </c>
      <c r="J60" s="312" t="str">
        <f t="shared" si="2"/>
        <v>Não</v>
      </c>
      <c r="K60" s="74">
        <v>44364.0</v>
      </c>
      <c r="L60" s="94"/>
      <c r="M60" s="94" t="s">
        <v>111</v>
      </c>
      <c r="N60" s="314">
        <v>0.015</v>
      </c>
      <c r="O60" s="312" t="s">
        <v>46</v>
      </c>
      <c r="P60" s="315">
        <v>0.1</v>
      </c>
      <c r="Q60" s="92" t="str">
        <f>IFERROR(VLOOKUP(F60,'Cadastro de assessores'!A:B,2,FALSE),"Não Cadastrado")</f>
        <v>28411</v>
      </c>
      <c r="R60" s="312" t="s">
        <v>88</v>
      </c>
      <c r="S60" s="74">
        <v>44351.0</v>
      </c>
      <c r="T60" s="52"/>
      <c r="U60" s="52"/>
      <c r="V60" s="24" t="s">
        <v>89</v>
      </c>
      <c r="W60" s="5" t="s">
        <v>435</v>
      </c>
      <c r="X60" s="151" t="s">
        <v>149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95</v>
      </c>
      <c r="AC60" s="94"/>
      <c r="AD60" s="94" t="s">
        <v>2439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2376</v>
      </c>
      <c r="B61" s="221" t="s">
        <v>2563</v>
      </c>
      <c r="C61" s="347" t="s">
        <v>2564</v>
      </c>
      <c r="D61" s="312" t="s">
        <v>18</v>
      </c>
      <c r="E61" s="312" t="s">
        <v>145</v>
      </c>
      <c r="F61" s="94" t="s">
        <v>2464</v>
      </c>
      <c r="G61" s="47" t="str">
        <f t="shared" si="1"/>
        <v>Augusto</v>
      </c>
      <c r="H61" s="323" t="s">
        <v>157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111</v>
      </c>
      <c r="N61" s="325">
        <v>0.015</v>
      </c>
      <c r="O61" s="312" t="s">
        <v>46</v>
      </c>
      <c r="P61" s="315">
        <v>0.1</v>
      </c>
      <c r="Q61" s="94" t="str">
        <f>IFERROR(VLOOKUP(F61,'Cadastro de assessores'!A:B,2,FALSE),"Não Cadastrado")</f>
        <v>22066</v>
      </c>
      <c r="R61" s="94" t="s">
        <v>2393</v>
      </c>
      <c r="S61" s="324">
        <v>44260.0</v>
      </c>
      <c r="T61" s="75"/>
      <c r="U61" s="156"/>
      <c r="V61" s="24" t="s">
        <v>89</v>
      </c>
      <c r="W61" s="13" t="s">
        <v>2565</v>
      </c>
      <c r="X61" s="13" t="s">
        <v>180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2426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2396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2376</v>
      </c>
      <c r="B62" s="221" t="s">
        <v>2566</v>
      </c>
      <c r="C62" s="322" t="s">
        <v>2567</v>
      </c>
      <c r="D62" s="312" t="s">
        <v>2379</v>
      </c>
      <c r="E62" s="312" t="s">
        <v>29</v>
      </c>
      <c r="F62" s="94" t="s">
        <v>2380</v>
      </c>
      <c r="G62" s="47" t="str">
        <f t="shared" si="1"/>
        <v>Augusto</v>
      </c>
      <c r="H62" s="323" t="s">
        <v>157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162</v>
      </c>
      <c r="N62" s="325">
        <v>0.01</v>
      </c>
      <c r="O62" s="312" t="s">
        <v>163</v>
      </c>
      <c r="P62" s="315">
        <v>0.2</v>
      </c>
      <c r="Q62" s="94" t="str">
        <f>IFERROR(VLOOKUP(F62,'Cadastro de assessores'!A:B,2,FALSE),"Não Cadastrado")</f>
        <v>17573</v>
      </c>
      <c r="R62" s="94" t="s">
        <v>2393</v>
      </c>
      <c r="S62" s="324">
        <v>43707.0</v>
      </c>
      <c r="T62" s="75"/>
      <c r="U62" s="156" t="s">
        <v>2568</v>
      </c>
      <c r="V62" s="24" t="s">
        <v>89</v>
      </c>
      <c r="W62" s="13" t="s">
        <v>2569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95</v>
      </c>
      <c r="AC62" s="94"/>
      <c r="AD62" s="94" t="s">
        <v>2453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2376</v>
      </c>
      <c r="B63" s="221" t="s">
        <v>2570</v>
      </c>
      <c r="C63" s="322" t="s">
        <v>2571</v>
      </c>
      <c r="D63" s="312" t="s">
        <v>18</v>
      </c>
      <c r="E63" s="312" t="s">
        <v>145</v>
      </c>
      <c r="F63" s="94" t="s">
        <v>2464</v>
      </c>
      <c r="G63" s="47" t="str">
        <f t="shared" si="1"/>
        <v>Augusto</v>
      </c>
      <c r="H63" s="323" t="s">
        <v>157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111</v>
      </c>
      <c r="N63" s="325">
        <v>0.015</v>
      </c>
      <c r="O63" s="312" t="s">
        <v>46</v>
      </c>
      <c r="P63" s="315">
        <v>0.1</v>
      </c>
      <c r="Q63" s="94" t="str">
        <f>IFERROR(VLOOKUP(F63,'Cadastro de assessores'!A:B,2,FALSE),"Não Cadastrado")</f>
        <v>22066</v>
      </c>
      <c r="R63" s="94" t="s">
        <v>2393</v>
      </c>
      <c r="S63" s="324">
        <v>44273.0</v>
      </c>
      <c r="T63" s="75"/>
      <c r="U63" s="156"/>
      <c r="V63" s="24" t="s">
        <v>89</v>
      </c>
      <c r="W63" s="13" t="s">
        <v>2572</v>
      </c>
      <c r="X63" s="151" t="s">
        <v>149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2439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2396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2376</v>
      </c>
      <c r="B64" s="310" t="s">
        <v>2573</v>
      </c>
      <c r="C64" s="345" t="s">
        <v>2574</v>
      </c>
      <c r="D64" s="338" t="s">
        <v>2489</v>
      </c>
      <c r="E64" s="338" t="s">
        <v>29</v>
      </c>
      <c r="F64" s="338" t="s">
        <v>2489</v>
      </c>
      <c r="G64" s="47" t="str">
        <f t="shared" si="1"/>
        <v>Augusto</v>
      </c>
      <c r="H64" s="350" t="s">
        <v>116</v>
      </c>
      <c r="I64" s="53" t="s">
        <v>161</v>
      </c>
      <c r="J64" s="312" t="str">
        <f t="shared" si="2"/>
        <v>Não</v>
      </c>
      <c r="K64" s="340">
        <v>43370.0</v>
      </c>
      <c r="L64" s="341"/>
      <c r="M64" s="341" t="s">
        <v>162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88</v>
      </c>
      <c r="S64" s="313">
        <v>43370.0</v>
      </c>
      <c r="T64" s="65"/>
      <c r="U64" s="327" t="s">
        <v>2575</v>
      </c>
      <c r="V64" s="24" t="s">
        <v>89</v>
      </c>
      <c r="W64" s="317" t="s">
        <v>2576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95</v>
      </c>
      <c r="AC64" s="94"/>
      <c r="AD64" s="94" t="s">
        <v>2453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2376</v>
      </c>
      <c r="B65" s="63" t="s">
        <v>2577</v>
      </c>
      <c r="C65" s="321" t="s">
        <v>2578</v>
      </c>
      <c r="D65" s="312" t="s">
        <v>18</v>
      </c>
      <c r="E65" s="312" t="s">
        <v>145</v>
      </c>
      <c r="F65" s="92" t="s">
        <v>171</v>
      </c>
      <c r="G65" s="47" t="str">
        <f t="shared" si="1"/>
        <v>Augusto</v>
      </c>
      <c r="H65" s="152" t="s">
        <v>116</v>
      </c>
      <c r="I65" s="53" t="s">
        <v>161</v>
      </c>
      <c r="J65" s="312" t="str">
        <f t="shared" si="2"/>
        <v>Não</v>
      </c>
      <c r="K65" s="74">
        <v>44438.0</v>
      </c>
      <c r="L65" s="137"/>
      <c r="M65" s="94" t="s">
        <v>111</v>
      </c>
      <c r="N65" s="325">
        <v>0.01</v>
      </c>
      <c r="O65" s="312" t="s">
        <v>46</v>
      </c>
      <c r="P65" s="315">
        <v>0.1</v>
      </c>
      <c r="Q65" s="92" t="str">
        <f>IFERROR(VLOOKUP(F65,'Cadastro de assessores'!A:B,2,FALSE),"Não Cadastrado")</f>
        <v>28411</v>
      </c>
      <c r="R65" s="312" t="s">
        <v>88</v>
      </c>
      <c r="S65" s="74">
        <v>44432.0</v>
      </c>
      <c r="T65" s="65"/>
      <c r="U65" s="62" t="s">
        <v>2579</v>
      </c>
      <c r="V65" s="24" t="s">
        <v>89</v>
      </c>
      <c r="W65" s="5" t="s">
        <v>2580</v>
      </c>
      <c r="X65" s="151" t="s">
        <v>149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95</v>
      </c>
      <c r="AC65" s="94"/>
      <c r="AD65" s="24" t="s">
        <v>2581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2376</v>
      </c>
      <c r="B66" s="57" t="s">
        <v>2582</v>
      </c>
      <c r="C66" s="321" t="s">
        <v>2583</v>
      </c>
      <c r="D66" s="312" t="s">
        <v>18</v>
      </c>
      <c r="E66" s="312" t="s">
        <v>145</v>
      </c>
      <c r="F66" s="312" t="s">
        <v>171</v>
      </c>
      <c r="G66" s="47" t="str">
        <f t="shared" si="1"/>
        <v>Augusto</v>
      </c>
      <c r="H66" s="152" t="s">
        <v>116</v>
      </c>
      <c r="I66" s="53" t="s">
        <v>161</v>
      </c>
      <c r="J66" s="312" t="str">
        <f t="shared" si="2"/>
        <v>Não</v>
      </c>
      <c r="K66" s="313">
        <v>44319.0</v>
      </c>
      <c r="L66" s="94"/>
      <c r="M66" s="94" t="s">
        <v>111</v>
      </c>
      <c r="N66" s="325">
        <v>0.01</v>
      </c>
      <c r="O66" s="312" t="s">
        <v>46</v>
      </c>
      <c r="P66" s="315">
        <v>0.1</v>
      </c>
      <c r="Q66" s="312" t="str">
        <f>IFERROR(VLOOKUP(F66,'Cadastro de assessores'!A:B,2,FALSE),"Não Cadastrado")</f>
        <v>28411</v>
      </c>
      <c r="R66" s="312" t="s">
        <v>88</v>
      </c>
      <c r="S66" s="313">
        <v>44319.0</v>
      </c>
      <c r="T66" s="75"/>
      <c r="U66" s="52" t="s">
        <v>2584</v>
      </c>
      <c r="V66" s="24" t="s">
        <v>89</v>
      </c>
      <c r="W66" s="5" t="s">
        <v>2585</v>
      </c>
      <c r="X66" s="151" t="s">
        <v>149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91</v>
      </c>
      <c r="AC66" s="94"/>
      <c r="AD66" s="94" t="s">
        <v>2439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2376</v>
      </c>
      <c r="B67" s="221" t="s">
        <v>2586</v>
      </c>
      <c r="C67" s="322" t="s">
        <v>2587</v>
      </c>
      <c r="D67" s="312" t="s">
        <v>2379</v>
      </c>
      <c r="E67" s="312" t="s">
        <v>29</v>
      </c>
      <c r="F67" s="94" t="s">
        <v>2380</v>
      </c>
      <c r="G67" s="47" t="str">
        <f t="shared" si="1"/>
        <v>Augusto</v>
      </c>
      <c r="H67" s="323" t="s">
        <v>157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111</v>
      </c>
      <c r="N67" s="325">
        <v>0.015</v>
      </c>
      <c r="O67" s="312" t="s">
        <v>46</v>
      </c>
      <c r="P67" s="315">
        <v>0.1</v>
      </c>
      <c r="Q67" s="94" t="str">
        <f>IFERROR(VLOOKUP(F67,'Cadastro de assessores'!A:B,2,FALSE),"Não Cadastrado")</f>
        <v>17573</v>
      </c>
      <c r="R67" s="94" t="s">
        <v>2393</v>
      </c>
      <c r="S67" s="324">
        <v>43865.0</v>
      </c>
      <c r="T67" s="75"/>
      <c r="U67" s="156"/>
      <c r="V67" s="24" t="s">
        <v>89</v>
      </c>
      <c r="W67" s="13" t="s">
        <v>2588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2444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2396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2376</v>
      </c>
      <c r="B68" s="45" t="s">
        <v>476</v>
      </c>
      <c r="C68" s="357" t="s">
        <v>2589</v>
      </c>
      <c r="D68" s="312" t="s">
        <v>18</v>
      </c>
      <c r="E68" s="312" t="s">
        <v>145</v>
      </c>
      <c r="F68" s="94" t="s">
        <v>478</v>
      </c>
      <c r="G68" s="47" t="str">
        <f t="shared" si="1"/>
        <v>Augusto</v>
      </c>
      <c r="H68" s="323" t="s">
        <v>157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60</v>
      </c>
      <c r="N68" s="325">
        <v>0.007</v>
      </c>
      <c r="O68" s="312" t="s">
        <v>2381</v>
      </c>
      <c r="P68" s="315">
        <v>0.0</v>
      </c>
      <c r="Q68" s="94">
        <f>IFERROR(VLOOKUP(F68,'Cadastro de assessores'!A:B,2,FALSE),"Não Cadastrado")</f>
        <v>12362</v>
      </c>
      <c r="R68" s="94" t="s">
        <v>2393</v>
      </c>
      <c r="S68" s="24"/>
      <c r="T68" s="75"/>
      <c r="U68" s="156"/>
      <c r="V68" s="24" t="s">
        <v>89</v>
      </c>
      <c r="W68" s="5" t="s">
        <v>479</v>
      </c>
      <c r="X68" s="151" t="s">
        <v>180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2590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2396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2376</v>
      </c>
      <c r="B69" s="63" t="s">
        <v>476</v>
      </c>
      <c r="C69" s="321" t="s">
        <v>2591</v>
      </c>
      <c r="D69" s="312" t="s">
        <v>18</v>
      </c>
      <c r="E69" s="312" t="s">
        <v>145</v>
      </c>
      <c r="F69" s="92" t="s">
        <v>478</v>
      </c>
      <c r="G69" s="47" t="str">
        <f t="shared" si="1"/>
        <v>Augusto</v>
      </c>
      <c r="H69" s="152" t="s">
        <v>116</v>
      </c>
      <c r="I69" s="53" t="s">
        <v>161</v>
      </c>
      <c r="J69" s="312" t="str">
        <f t="shared" si="2"/>
        <v>Não</v>
      </c>
      <c r="K69" s="324">
        <v>44680.0</v>
      </c>
      <c r="L69" s="137"/>
      <c r="M69" s="94" t="s">
        <v>60</v>
      </c>
      <c r="N69" s="325">
        <v>0.007</v>
      </c>
      <c r="O69" s="312" t="s">
        <v>2381</v>
      </c>
      <c r="P69" s="315">
        <v>0.0</v>
      </c>
      <c r="Q69" s="312">
        <f>IFERROR(VLOOKUP(F69,'Cadastro de assessores'!A:B,2,FALSE),"Não Cadastrado")</f>
        <v>12362</v>
      </c>
      <c r="R69" s="312" t="s">
        <v>88</v>
      </c>
      <c r="S69" s="324">
        <v>44680.0</v>
      </c>
      <c r="T69" s="65"/>
      <c r="U69" s="336" t="s">
        <v>2579</v>
      </c>
      <c r="V69" s="24" t="s">
        <v>89</v>
      </c>
      <c r="W69" s="5" t="s">
        <v>479</v>
      </c>
      <c r="X69" s="151" t="s">
        <v>180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91</v>
      </c>
      <c r="AC69" s="94"/>
      <c r="AD69" s="94" t="s">
        <v>2590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2376</v>
      </c>
      <c r="B70" s="225" t="s">
        <v>2592</v>
      </c>
      <c r="C70" s="322" t="s">
        <v>2593</v>
      </c>
      <c r="D70" s="312" t="s">
        <v>2379</v>
      </c>
      <c r="E70" s="312" t="s">
        <v>29</v>
      </c>
      <c r="F70" s="94" t="s">
        <v>2380</v>
      </c>
      <c r="G70" s="47" t="str">
        <f t="shared" si="1"/>
        <v>Augusto</v>
      </c>
      <c r="H70" s="323" t="s">
        <v>157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111</v>
      </c>
      <c r="N70" s="325">
        <v>0.01</v>
      </c>
      <c r="O70" s="312" t="s">
        <v>46</v>
      </c>
      <c r="P70" s="315">
        <v>0.1</v>
      </c>
      <c r="Q70" s="94" t="str">
        <f>IFERROR(VLOOKUP(F70,'Cadastro de assessores'!A:B,2,FALSE),"Não Cadastrado")</f>
        <v>17573</v>
      </c>
      <c r="R70" s="94" t="s">
        <v>2393</v>
      </c>
      <c r="S70" s="324">
        <v>43613.0</v>
      </c>
      <c r="T70" s="156"/>
      <c r="U70" s="156"/>
      <c r="V70" s="24" t="s">
        <v>89</v>
      </c>
      <c r="W70" s="13" t="s">
        <v>2594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2595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2396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2376</v>
      </c>
      <c r="B71" s="335" t="s">
        <v>496</v>
      </c>
      <c r="C71" s="322" t="s">
        <v>2596</v>
      </c>
      <c r="D71" s="312" t="s">
        <v>18</v>
      </c>
      <c r="E71" s="312" t="s">
        <v>145</v>
      </c>
      <c r="F71" s="312" t="s">
        <v>2464</v>
      </c>
      <c r="G71" s="47" t="str">
        <f t="shared" si="1"/>
        <v>Augusto</v>
      </c>
      <c r="H71" s="323" t="s">
        <v>116</v>
      </c>
      <c r="I71" s="53" t="s">
        <v>161</v>
      </c>
      <c r="J71" s="312" t="str">
        <f t="shared" si="2"/>
        <v>Sim</v>
      </c>
      <c r="K71" s="324">
        <v>44260.0</v>
      </c>
      <c r="L71" s="94"/>
      <c r="M71" s="94" t="s">
        <v>45</v>
      </c>
      <c r="N71" s="325">
        <v>0.012</v>
      </c>
      <c r="O71" s="312" t="s">
        <v>2381</v>
      </c>
      <c r="P71" s="315">
        <v>0.0</v>
      </c>
      <c r="Q71" s="312" t="str">
        <f>IFERROR(VLOOKUP(F71,'Cadastro de assessores'!A:B,2,FALSE),"Não Cadastrado")</f>
        <v>22066</v>
      </c>
      <c r="R71" s="312" t="s">
        <v>88</v>
      </c>
      <c r="S71" s="324">
        <v>44260.0</v>
      </c>
      <c r="T71" s="156" t="s">
        <v>2597</v>
      </c>
      <c r="U71" s="156"/>
      <c r="V71" s="24" t="s">
        <v>89</v>
      </c>
      <c r="W71" s="317" t="s">
        <v>499</v>
      </c>
      <c r="X71" s="151" t="s">
        <v>149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95</v>
      </c>
      <c r="AC71" s="94"/>
      <c r="AD71" s="94" t="s">
        <v>2439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2376</v>
      </c>
      <c r="B72" s="45" t="s">
        <v>500</v>
      </c>
      <c r="C72" s="321">
        <v>4744391.0</v>
      </c>
      <c r="D72" s="312" t="s">
        <v>18</v>
      </c>
      <c r="E72" s="312" t="s">
        <v>145</v>
      </c>
      <c r="F72" s="94" t="s">
        <v>146</v>
      </c>
      <c r="G72" s="47" t="str">
        <f t="shared" si="1"/>
        <v>Augusto</v>
      </c>
      <c r="H72" s="152" t="s">
        <v>116</v>
      </c>
      <c r="I72" s="53" t="s">
        <v>161</v>
      </c>
      <c r="J72" s="312" t="str">
        <f t="shared" si="2"/>
        <v>Sim</v>
      </c>
      <c r="K72" s="313">
        <v>44615.0</v>
      </c>
      <c r="L72" s="94"/>
      <c r="M72" s="94" t="s">
        <v>60</v>
      </c>
      <c r="N72" s="314">
        <v>0.007</v>
      </c>
      <c r="O72" s="312" t="s">
        <v>2381</v>
      </c>
      <c r="P72" s="315">
        <v>0.0</v>
      </c>
      <c r="Q72" s="312" t="str">
        <f>IFERROR(VLOOKUP(F72,'Cadastro de assessores'!A:B,2,FALSE),"Não Cadastrado")</f>
        <v>250</v>
      </c>
      <c r="R72" s="312" t="s">
        <v>88</v>
      </c>
      <c r="S72" s="313">
        <v>44610.0</v>
      </c>
      <c r="T72" s="52" t="s">
        <v>2598</v>
      </c>
      <c r="U72" s="52"/>
      <c r="V72" s="24" t="s">
        <v>89</v>
      </c>
      <c r="W72" s="5" t="s">
        <v>502</v>
      </c>
      <c r="X72" s="24" t="s">
        <v>149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95</v>
      </c>
      <c r="AC72" s="94"/>
      <c r="AD72" s="24" t="s">
        <v>2599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2376</v>
      </c>
      <c r="B73" s="45" t="s">
        <v>2600</v>
      </c>
      <c r="C73" s="321" t="s">
        <v>2601</v>
      </c>
      <c r="D73" s="312" t="s">
        <v>18</v>
      </c>
      <c r="E73" s="312" t="s">
        <v>145</v>
      </c>
      <c r="F73" s="312" t="s">
        <v>146</v>
      </c>
      <c r="G73" s="47" t="str">
        <f t="shared" si="1"/>
        <v>Breno</v>
      </c>
      <c r="H73" s="152" t="s">
        <v>88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111</v>
      </c>
      <c r="N73" s="314">
        <v>0.015</v>
      </c>
      <c r="O73" s="312" t="s">
        <v>46</v>
      </c>
      <c r="P73" s="315">
        <v>0.1</v>
      </c>
      <c r="Q73" s="312" t="str">
        <f>IFERROR(VLOOKUP(F73,'Cadastro de assessores'!A:B,2,FALSE),"Não Cadastrado")</f>
        <v>250</v>
      </c>
      <c r="R73" s="312" t="s">
        <v>88</v>
      </c>
      <c r="S73" s="313">
        <v>44321.0</v>
      </c>
      <c r="T73" s="52"/>
      <c r="U73" s="52"/>
      <c r="V73" s="24" t="s">
        <v>89</v>
      </c>
      <c r="W73" s="5" t="s">
        <v>2602</v>
      </c>
      <c r="X73" s="151" t="s">
        <v>149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95</v>
      </c>
      <c r="AC73" s="94"/>
      <c r="AD73" s="94" t="s">
        <v>2439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2376</v>
      </c>
      <c r="B74" s="63" t="s">
        <v>517</v>
      </c>
      <c r="C74" s="321" t="s">
        <v>2603</v>
      </c>
      <c r="D74" s="312" t="s">
        <v>18</v>
      </c>
      <c r="E74" s="312" t="s">
        <v>145</v>
      </c>
      <c r="F74" s="312" t="s">
        <v>171</v>
      </c>
      <c r="G74" s="47" t="str">
        <f t="shared" si="1"/>
        <v>Augusto</v>
      </c>
      <c r="H74" s="152" t="s">
        <v>116</v>
      </c>
      <c r="I74" s="53" t="s">
        <v>161</v>
      </c>
      <c r="J74" s="312" t="str">
        <f t="shared" si="2"/>
        <v>Não</v>
      </c>
      <c r="K74" s="324">
        <v>44614.0</v>
      </c>
      <c r="L74" s="24"/>
      <c r="M74" s="94" t="s">
        <v>45</v>
      </c>
      <c r="N74" s="325">
        <v>0.012</v>
      </c>
      <c r="O74" s="312" t="s">
        <v>2381</v>
      </c>
      <c r="P74" s="315">
        <v>0.0</v>
      </c>
      <c r="Q74" s="312" t="str">
        <f>IFERROR(VLOOKUP(F74,'Cadastro de assessores'!A:B,2,FALSE),"Não Cadastrado")</f>
        <v>28411</v>
      </c>
      <c r="R74" s="312" t="s">
        <v>88</v>
      </c>
      <c r="S74" s="324">
        <v>44608.0</v>
      </c>
      <c r="T74" s="156"/>
      <c r="U74" s="156"/>
      <c r="V74" s="24" t="s">
        <v>89</v>
      </c>
      <c r="W74" s="5" t="s">
        <v>519</v>
      </c>
      <c r="X74" s="151" t="s">
        <v>149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95</v>
      </c>
      <c r="AC74" s="94"/>
      <c r="AD74" s="94" t="s">
        <v>2439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2376</v>
      </c>
      <c r="B75" s="221" t="s">
        <v>523</v>
      </c>
      <c r="C75" s="204" t="s">
        <v>2604</v>
      </c>
      <c r="D75" s="312" t="s">
        <v>18</v>
      </c>
      <c r="E75" s="312" t="s">
        <v>145</v>
      </c>
      <c r="F75" s="312" t="s">
        <v>146</v>
      </c>
      <c r="G75" s="47" t="str">
        <f t="shared" si="1"/>
        <v>Augusto</v>
      </c>
      <c r="H75" s="323" t="s">
        <v>116</v>
      </c>
      <c r="I75" s="53" t="s">
        <v>161</v>
      </c>
      <c r="J75" s="312" t="str">
        <f t="shared" si="2"/>
        <v>Não</v>
      </c>
      <c r="K75" s="324">
        <v>44273.0</v>
      </c>
      <c r="L75" s="24"/>
      <c r="M75" s="94" t="s">
        <v>111</v>
      </c>
      <c r="N75" s="325">
        <v>0.015</v>
      </c>
      <c r="O75" s="312" t="s">
        <v>46</v>
      </c>
      <c r="P75" s="315">
        <v>0.1</v>
      </c>
      <c r="Q75" s="312" t="str">
        <f>IFERROR(VLOOKUP(F75,'Cadastro de assessores'!A:B,2,FALSE),"Não Cadastrado")</f>
        <v>250</v>
      </c>
      <c r="R75" s="312" t="s">
        <v>88</v>
      </c>
      <c r="S75" s="324">
        <v>44267.0</v>
      </c>
      <c r="T75" s="156"/>
      <c r="U75" s="156"/>
      <c r="V75" s="24" t="s">
        <v>89</v>
      </c>
      <c r="W75" s="13" t="s">
        <v>525</v>
      </c>
      <c r="X75" s="151" t="s">
        <v>149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95</v>
      </c>
      <c r="AC75" s="94"/>
      <c r="AD75" s="94" t="s">
        <v>2439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2376</v>
      </c>
      <c r="B76" s="225" t="s">
        <v>2605</v>
      </c>
      <c r="C76" s="322" t="s">
        <v>2606</v>
      </c>
      <c r="D76" s="312" t="s">
        <v>2379</v>
      </c>
      <c r="E76" s="312" t="s">
        <v>29</v>
      </c>
      <c r="F76" s="94" t="s">
        <v>2392</v>
      </c>
      <c r="G76" s="47" t="str">
        <f t="shared" si="1"/>
        <v>Augusto</v>
      </c>
      <c r="H76" s="323" t="s">
        <v>157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162</v>
      </c>
      <c r="N76" s="325">
        <v>0.02</v>
      </c>
      <c r="O76" s="312" t="s">
        <v>163</v>
      </c>
      <c r="P76" s="315">
        <v>0.2</v>
      </c>
      <c r="Q76" s="94" t="str">
        <f>IFERROR(VLOOKUP(F76,'Cadastro de assessores'!A:B,2,FALSE),"Não Cadastrado")</f>
        <v>2971</v>
      </c>
      <c r="R76" s="94" t="s">
        <v>2393</v>
      </c>
      <c r="S76" s="324">
        <v>43609.0</v>
      </c>
      <c r="T76" s="156"/>
      <c r="U76" s="156"/>
      <c r="V76" s="24" t="s">
        <v>89</v>
      </c>
      <c r="W76" s="13" t="s">
        <v>2607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2432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2396</v>
      </c>
      <c r="BJ76" s="158">
        <v>0.0</v>
      </c>
      <c r="BK76" s="158" t="s">
        <v>2396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2376</v>
      </c>
      <c r="B77" s="225" t="s">
        <v>2605</v>
      </c>
      <c r="C77" s="322" t="s">
        <v>2608</v>
      </c>
      <c r="D77" s="312" t="s">
        <v>2379</v>
      </c>
      <c r="E77" s="312" t="s">
        <v>29</v>
      </c>
      <c r="F77" s="94" t="s">
        <v>2392</v>
      </c>
      <c r="G77" s="47" t="str">
        <f t="shared" si="1"/>
        <v>Augusto</v>
      </c>
      <c r="H77" s="323" t="s">
        <v>157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45</v>
      </c>
      <c r="N77" s="325">
        <v>0.005</v>
      </c>
      <c r="O77" s="312" t="s">
        <v>2381</v>
      </c>
      <c r="P77" s="315">
        <v>0.0</v>
      </c>
      <c r="Q77" s="94" t="str">
        <f>IFERROR(VLOOKUP(F77,'Cadastro de assessores'!A:B,2,FALSE),"Não Cadastrado")</f>
        <v>2971</v>
      </c>
      <c r="R77" s="94" t="s">
        <v>2393</v>
      </c>
      <c r="S77" s="324">
        <v>43609.0</v>
      </c>
      <c r="T77" s="156"/>
      <c r="U77" s="156"/>
      <c r="V77" s="24" t="s">
        <v>89</v>
      </c>
      <c r="W77" s="13" t="s">
        <v>2607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2432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2396</v>
      </c>
      <c r="BJ77" s="158">
        <v>0.0</v>
      </c>
      <c r="BK77" s="158" t="s">
        <v>2396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2376</v>
      </c>
      <c r="B78" s="45" t="s">
        <v>2609</v>
      </c>
      <c r="C78" s="321" t="s">
        <v>2610</v>
      </c>
      <c r="D78" s="312" t="s">
        <v>18</v>
      </c>
      <c r="E78" s="312" t="s">
        <v>145</v>
      </c>
      <c r="F78" s="94" t="s">
        <v>171</v>
      </c>
      <c r="G78" s="47" t="str">
        <f t="shared" si="1"/>
        <v>Augusto</v>
      </c>
      <c r="H78" s="323" t="s">
        <v>116</v>
      </c>
      <c r="I78" s="53" t="s">
        <v>161</v>
      </c>
      <c r="J78" s="312" t="str">
        <f t="shared" si="2"/>
        <v>Não</v>
      </c>
      <c r="K78" s="74">
        <v>44364.0</v>
      </c>
      <c r="L78" s="94"/>
      <c r="M78" s="94" t="s">
        <v>45</v>
      </c>
      <c r="N78" s="325">
        <v>0.012</v>
      </c>
      <c r="O78" s="312" t="s">
        <v>2381</v>
      </c>
      <c r="P78" s="315">
        <v>0.0</v>
      </c>
      <c r="Q78" s="92" t="str">
        <f>IFERROR(VLOOKUP(F78,'Cadastro de assessores'!A:B,2,FALSE),"Não Cadastrado")</f>
        <v>28411</v>
      </c>
      <c r="R78" s="312" t="s">
        <v>88</v>
      </c>
      <c r="S78" s="74">
        <v>44344.0</v>
      </c>
      <c r="T78" s="52"/>
      <c r="U78" s="52"/>
      <c r="V78" s="24" t="s">
        <v>89</v>
      </c>
      <c r="W78" s="5" t="s">
        <v>539</v>
      </c>
      <c r="X78" s="151" t="s">
        <v>149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95</v>
      </c>
      <c r="AC78" s="94"/>
      <c r="AD78" s="94" t="s">
        <v>2611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2376</v>
      </c>
      <c r="B79" s="225" t="s">
        <v>2612</v>
      </c>
      <c r="C79" s="322" t="s">
        <v>2613</v>
      </c>
      <c r="D79" s="312" t="s">
        <v>2379</v>
      </c>
      <c r="E79" s="312" t="s">
        <v>29</v>
      </c>
      <c r="F79" s="94" t="s">
        <v>2380</v>
      </c>
      <c r="G79" s="47" t="str">
        <f t="shared" si="1"/>
        <v>Augusto</v>
      </c>
      <c r="H79" s="323" t="s">
        <v>157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162</v>
      </c>
      <c r="N79" s="325">
        <v>0.025</v>
      </c>
      <c r="O79" s="312" t="s">
        <v>163</v>
      </c>
      <c r="P79" s="315">
        <v>0.2</v>
      </c>
      <c r="Q79" s="94" t="str">
        <f>IFERROR(VLOOKUP(F79,'Cadastro de assessores'!A:B,2,FALSE),"Não Cadastrado")</f>
        <v>17573</v>
      </c>
      <c r="R79" s="94" t="s">
        <v>2393</v>
      </c>
      <c r="S79" s="329">
        <v>43453.0</v>
      </c>
      <c r="T79" s="156"/>
      <c r="U79" s="156"/>
      <c r="V79" s="24" t="s">
        <v>89</v>
      </c>
      <c r="W79" s="13" t="s">
        <v>2614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2421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2396</v>
      </c>
      <c r="BJ79" s="158">
        <v>0.0</v>
      </c>
      <c r="BK79" s="158" t="s">
        <v>2396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2376</v>
      </c>
      <c r="B80" s="225" t="s">
        <v>2612</v>
      </c>
      <c r="C80" s="322" t="s">
        <v>2615</v>
      </c>
      <c r="D80" s="312" t="s">
        <v>2379</v>
      </c>
      <c r="E80" s="312" t="s">
        <v>29</v>
      </c>
      <c r="F80" s="94" t="s">
        <v>2380</v>
      </c>
      <c r="G80" s="47" t="str">
        <f t="shared" si="1"/>
        <v>Augusto</v>
      </c>
      <c r="H80" s="323" t="s">
        <v>157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111</v>
      </c>
      <c r="N80" s="325">
        <v>0.01</v>
      </c>
      <c r="O80" s="312" t="s">
        <v>46</v>
      </c>
      <c r="P80" s="315">
        <v>0.1</v>
      </c>
      <c r="Q80" s="94" t="str">
        <f>IFERROR(VLOOKUP(F80,'Cadastro de assessores'!A:B,2,FALSE),"Não Cadastrado")</f>
        <v>17573</v>
      </c>
      <c r="R80" s="94" t="s">
        <v>2393</v>
      </c>
      <c r="S80" s="324">
        <v>43997.0</v>
      </c>
      <c r="T80" s="156"/>
      <c r="U80" s="156"/>
      <c r="V80" s="24" t="s">
        <v>89</v>
      </c>
      <c r="W80" s="13" t="s">
        <v>2614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2421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2396</v>
      </c>
      <c r="BJ80" s="158">
        <v>0.0</v>
      </c>
      <c r="BK80" s="158" t="s">
        <v>2396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2376</v>
      </c>
      <c r="B81" s="45" t="s">
        <v>2616</v>
      </c>
      <c r="C81" s="24">
        <v>4410426.0</v>
      </c>
      <c r="D81" s="312" t="s">
        <v>18</v>
      </c>
      <c r="E81" s="312" t="s">
        <v>145</v>
      </c>
      <c r="F81" s="94" t="s">
        <v>146</v>
      </c>
      <c r="G81" s="47" t="str">
        <f t="shared" si="1"/>
        <v>Breno</v>
      </c>
      <c r="H81" s="323" t="s">
        <v>116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60</v>
      </c>
      <c r="N81" s="325">
        <v>0.007</v>
      </c>
      <c r="O81" s="312" t="s">
        <v>2381</v>
      </c>
      <c r="P81" s="315">
        <v>0.0</v>
      </c>
      <c r="Q81" s="312" t="str">
        <f>IFERROR(VLOOKUP(F81,'Cadastro de assessores'!A:B,2,FALSE),"Não Cadastrado")</f>
        <v>250</v>
      </c>
      <c r="R81" s="312" t="s">
        <v>88</v>
      </c>
      <c r="S81" s="74">
        <v>44593.0</v>
      </c>
      <c r="T81" s="52"/>
      <c r="U81" s="62" t="s">
        <v>2617</v>
      </c>
      <c r="V81" s="24" t="s">
        <v>89</v>
      </c>
      <c r="W81" s="5" t="s">
        <v>2618</v>
      </c>
      <c r="X81" s="151" t="s">
        <v>149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95</v>
      </c>
      <c r="AC81" s="94"/>
      <c r="AD81" s="94" t="s">
        <v>2439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2376</v>
      </c>
      <c r="B82" s="221" t="s">
        <v>2619</v>
      </c>
      <c r="C82" s="322" t="s">
        <v>2620</v>
      </c>
      <c r="D82" s="312" t="s">
        <v>2379</v>
      </c>
      <c r="E82" s="312" t="s">
        <v>29</v>
      </c>
      <c r="F82" s="94" t="s">
        <v>2380</v>
      </c>
      <c r="G82" s="47" t="str">
        <f t="shared" si="1"/>
        <v>Augusto</v>
      </c>
      <c r="H82" s="323" t="s">
        <v>157</v>
      </c>
      <c r="I82" s="48" t="s">
        <v>24</v>
      </c>
      <c r="J82" s="312" t="str">
        <f t="shared" si="2"/>
        <v>Não</v>
      </c>
      <c r="K82" s="94" t="s">
        <v>2429</v>
      </c>
      <c r="L82" s="324">
        <v>44312.0</v>
      </c>
      <c r="M82" s="94" t="s">
        <v>111</v>
      </c>
      <c r="N82" s="325">
        <v>0.015</v>
      </c>
      <c r="O82" s="312" t="s">
        <v>46</v>
      </c>
      <c r="P82" s="315">
        <v>0.1</v>
      </c>
      <c r="Q82" s="94" t="str">
        <f>IFERROR(VLOOKUP(F82,'Cadastro de assessores'!A:B,2,FALSE),"Não Cadastrado")</f>
        <v>17573</v>
      </c>
      <c r="R82" s="94" t="s">
        <v>2393</v>
      </c>
      <c r="S82" s="94"/>
      <c r="T82" s="156"/>
      <c r="U82" s="156"/>
      <c r="V82" s="24" t="s">
        <v>89</v>
      </c>
      <c r="W82" s="13" t="s">
        <v>2621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2396</v>
      </c>
      <c r="BJ82" s="158">
        <v>0.0</v>
      </c>
      <c r="BK82" s="158" t="s">
        <v>2396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2376</v>
      </c>
      <c r="B83" s="221" t="s">
        <v>2622</v>
      </c>
      <c r="C83" s="322" t="s">
        <v>2623</v>
      </c>
      <c r="D83" s="312" t="s">
        <v>2379</v>
      </c>
      <c r="E83" s="312" t="s">
        <v>29</v>
      </c>
      <c r="F83" s="94" t="s">
        <v>2380</v>
      </c>
      <c r="G83" s="47" t="str">
        <f t="shared" si="1"/>
        <v>Augusto</v>
      </c>
      <c r="H83" s="323" t="s">
        <v>157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45</v>
      </c>
      <c r="N83" s="325">
        <v>0.012</v>
      </c>
      <c r="O83" s="312" t="s">
        <v>2381</v>
      </c>
      <c r="P83" s="315">
        <v>0.0</v>
      </c>
      <c r="Q83" s="94" t="str">
        <f>IFERROR(VLOOKUP(F83,'Cadastro de assessores'!A:B,2,FALSE),"Não Cadastrado")</f>
        <v>17573</v>
      </c>
      <c r="R83" s="94" t="s">
        <v>2393</v>
      </c>
      <c r="S83" s="329">
        <v>43822.0</v>
      </c>
      <c r="T83" s="156"/>
      <c r="U83" s="156"/>
      <c r="V83" s="24" t="s">
        <v>89</v>
      </c>
      <c r="W83" s="13" t="s">
        <v>2624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2453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2396</v>
      </c>
      <c r="BJ83" s="158">
        <v>0.0</v>
      </c>
      <c r="BK83" s="158" t="s">
        <v>2396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2376</v>
      </c>
      <c r="B84" s="359" t="s">
        <v>576</v>
      </c>
      <c r="C84" s="321" t="s">
        <v>2625</v>
      </c>
      <c r="D84" s="312" t="s">
        <v>18</v>
      </c>
      <c r="E84" s="312" t="s">
        <v>145</v>
      </c>
      <c r="F84" s="94" t="s">
        <v>146</v>
      </c>
      <c r="G84" s="47" t="str">
        <f t="shared" si="1"/>
        <v>Augusto</v>
      </c>
      <c r="H84" s="152" t="s">
        <v>116</v>
      </c>
      <c r="I84" s="53" t="s">
        <v>161</v>
      </c>
      <c r="J84" s="312" t="str">
        <f t="shared" si="2"/>
        <v>Não</v>
      </c>
      <c r="K84" s="313">
        <v>44383.0</v>
      </c>
      <c r="L84" s="94"/>
      <c r="M84" s="94" t="s">
        <v>45</v>
      </c>
      <c r="N84" s="325">
        <v>0.012</v>
      </c>
      <c r="O84" s="312" t="s">
        <v>2381</v>
      </c>
      <c r="P84" s="315">
        <v>0.0</v>
      </c>
      <c r="Q84" s="92" t="str">
        <f>IFERROR(VLOOKUP(F84,'Cadastro de assessores'!A:B,2,FALSE),"Não Cadastrado")</f>
        <v>250</v>
      </c>
      <c r="R84" s="312" t="s">
        <v>88</v>
      </c>
      <c r="S84" s="313">
        <v>44368.0</v>
      </c>
      <c r="T84" s="52"/>
      <c r="U84" s="52"/>
      <c r="V84" s="24" t="s">
        <v>89</v>
      </c>
      <c r="W84" s="5" t="s">
        <v>2626</v>
      </c>
      <c r="X84" s="151" t="s">
        <v>149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95</v>
      </c>
      <c r="AC84" s="94"/>
      <c r="AD84" s="24" t="s">
        <v>2439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2376</v>
      </c>
      <c r="B85" s="359" t="s">
        <v>576</v>
      </c>
      <c r="C85" s="360" t="s">
        <v>2627</v>
      </c>
      <c r="D85" s="312" t="s">
        <v>18</v>
      </c>
      <c r="E85" s="312" t="s">
        <v>145</v>
      </c>
      <c r="F85" s="94" t="s">
        <v>146</v>
      </c>
      <c r="G85" s="47" t="str">
        <f t="shared" si="1"/>
        <v>Augusto</v>
      </c>
      <c r="H85" s="152" t="s">
        <v>116</v>
      </c>
      <c r="I85" s="53" t="s">
        <v>161</v>
      </c>
      <c r="J85" s="312" t="str">
        <f t="shared" si="2"/>
        <v>Não</v>
      </c>
      <c r="K85" s="324">
        <v>44860.0</v>
      </c>
      <c r="L85" s="94"/>
      <c r="M85" s="94" t="s">
        <v>166</v>
      </c>
      <c r="N85" s="325">
        <v>0.008</v>
      </c>
      <c r="O85" s="312" t="s">
        <v>167</v>
      </c>
      <c r="P85" s="315">
        <v>0.1</v>
      </c>
      <c r="Q85" s="92" t="str">
        <f>IFERROR(VLOOKUP(F85,'Cadastro de assessores'!A:B,2,FALSE),"Não Cadastrado")</f>
        <v>250</v>
      </c>
      <c r="R85" s="312" t="s">
        <v>88</v>
      </c>
      <c r="S85" s="324">
        <v>44858.0</v>
      </c>
      <c r="T85" s="52"/>
      <c r="U85" s="361"/>
      <c r="V85" s="24" t="s">
        <v>89</v>
      </c>
      <c r="W85" s="13" t="s">
        <v>579</v>
      </c>
      <c r="X85" s="5" t="s">
        <v>149</v>
      </c>
      <c r="Y85" s="53" t="str">
        <f t="shared" si="3"/>
        <v>Ativo</v>
      </c>
      <c r="Z85" s="126"/>
      <c r="AA85" s="94" t="str">
        <f t="shared" si="4"/>
        <v/>
      </c>
      <c r="AB85" s="13" t="s">
        <v>95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2376</v>
      </c>
      <c r="B86" s="221" t="s">
        <v>582</v>
      </c>
      <c r="C86" s="204" t="s">
        <v>2628</v>
      </c>
      <c r="D86" s="312" t="s">
        <v>18</v>
      </c>
      <c r="E86" s="312" t="s">
        <v>145</v>
      </c>
      <c r="F86" s="312" t="s">
        <v>146</v>
      </c>
      <c r="G86" s="47" t="str">
        <f t="shared" si="1"/>
        <v>Augusto</v>
      </c>
      <c r="H86" s="323" t="s">
        <v>116</v>
      </c>
      <c r="I86" s="53" t="s">
        <v>161</v>
      </c>
      <c r="J86" s="312" t="str">
        <f t="shared" si="2"/>
        <v>Sim</v>
      </c>
      <c r="K86" s="324">
        <v>44280.0</v>
      </c>
      <c r="L86" s="94"/>
      <c r="M86" s="94" t="s">
        <v>111</v>
      </c>
      <c r="N86" s="325">
        <v>0.015</v>
      </c>
      <c r="O86" s="312" t="s">
        <v>46</v>
      </c>
      <c r="P86" s="315">
        <v>0.1</v>
      </c>
      <c r="Q86" s="312" t="str">
        <f>IFERROR(VLOOKUP(F86,'Cadastro de assessores'!A:B,2,FALSE),"Não Cadastrado")</f>
        <v>250</v>
      </c>
      <c r="R86" s="312" t="s">
        <v>88</v>
      </c>
      <c r="S86" s="324">
        <v>44257.0</v>
      </c>
      <c r="T86" s="52" t="s">
        <v>2629</v>
      </c>
      <c r="U86" s="361"/>
      <c r="V86" s="24" t="s">
        <v>89</v>
      </c>
      <c r="W86" s="13" t="s">
        <v>584</v>
      </c>
      <c r="X86" s="151" t="s">
        <v>149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95</v>
      </c>
      <c r="AC86" s="94"/>
      <c r="AD86" s="94" t="s">
        <v>2439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2376</v>
      </c>
      <c r="B87" s="63" t="s">
        <v>582</v>
      </c>
      <c r="C87" s="321" t="s">
        <v>2630</v>
      </c>
      <c r="D87" s="312" t="s">
        <v>18</v>
      </c>
      <c r="E87" s="312" t="s">
        <v>145</v>
      </c>
      <c r="F87" s="312" t="s">
        <v>146</v>
      </c>
      <c r="G87" s="47" t="str">
        <f t="shared" si="1"/>
        <v>Augusto</v>
      </c>
      <c r="H87" s="152" t="s">
        <v>116</v>
      </c>
      <c r="I87" s="53" t="s">
        <v>161</v>
      </c>
      <c r="J87" s="312" t="str">
        <f t="shared" si="2"/>
        <v>Não</v>
      </c>
      <c r="K87" s="74">
        <v>44607.0</v>
      </c>
      <c r="L87" s="94"/>
      <c r="M87" s="94" t="s">
        <v>60</v>
      </c>
      <c r="N87" s="325">
        <v>0.007</v>
      </c>
      <c r="O87" s="312" t="s">
        <v>2381</v>
      </c>
      <c r="P87" s="315">
        <v>0.0</v>
      </c>
      <c r="Q87" s="312" t="str">
        <f>IFERROR(VLOOKUP(F87,'Cadastro de assessores'!A:B,2,FALSE),"Não Cadastrado")</f>
        <v>250</v>
      </c>
      <c r="R87" s="312" t="s">
        <v>88</v>
      </c>
      <c r="S87" s="74">
        <v>44607.0</v>
      </c>
      <c r="T87" s="156"/>
      <c r="U87" s="156"/>
      <c r="V87" s="24" t="s">
        <v>89</v>
      </c>
      <c r="W87" s="5" t="s">
        <v>584</v>
      </c>
      <c r="X87" s="151" t="s">
        <v>149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95</v>
      </c>
      <c r="AC87" s="94"/>
      <c r="AD87" s="94" t="s">
        <v>2439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2376</v>
      </c>
      <c r="B88" s="310" t="s">
        <v>2631</v>
      </c>
      <c r="C88" s="311" t="s">
        <v>2632</v>
      </c>
      <c r="D88" s="312" t="s">
        <v>18</v>
      </c>
      <c r="E88" s="312" t="s">
        <v>29</v>
      </c>
      <c r="F88" s="312" t="s">
        <v>2633</v>
      </c>
      <c r="G88" s="47" t="str">
        <f t="shared" si="1"/>
        <v>Augusto</v>
      </c>
      <c r="H88" s="152" t="s">
        <v>116</v>
      </c>
      <c r="I88" s="53" t="s">
        <v>161</v>
      </c>
      <c r="J88" s="312" t="str">
        <f t="shared" si="2"/>
        <v>Não</v>
      </c>
      <c r="K88" s="326">
        <v>43416.0</v>
      </c>
      <c r="L88" s="94"/>
      <c r="M88" s="94" t="s">
        <v>162</v>
      </c>
      <c r="N88" s="314">
        <v>0.03</v>
      </c>
      <c r="O88" s="312" t="s">
        <v>163</v>
      </c>
      <c r="P88" s="315">
        <v>0.2</v>
      </c>
      <c r="Q88" s="312" t="str">
        <f>IFERROR(VLOOKUP(F88,'Cadastro de assessores'!A:B,2,FALSE),"Não Cadastrado")</f>
        <v>18236</v>
      </c>
      <c r="R88" s="362" t="s">
        <v>116</v>
      </c>
      <c r="S88" s="326">
        <v>43416.0</v>
      </c>
      <c r="T88" s="156"/>
      <c r="U88" s="156"/>
      <c r="V88" s="24" t="s">
        <v>329</v>
      </c>
      <c r="W88" s="317" t="s">
        <v>2634</v>
      </c>
      <c r="X88" s="13" t="s">
        <v>180</v>
      </c>
      <c r="Y88" s="53" t="str">
        <f t="shared" si="3"/>
        <v>Inativo</v>
      </c>
      <c r="Z88" s="126"/>
      <c r="AA88" s="94" t="str">
        <f t="shared" si="4"/>
        <v/>
      </c>
      <c r="AB88" s="13" t="s">
        <v>95</v>
      </c>
      <c r="AC88" s="94"/>
      <c r="AD88" s="94" t="s">
        <v>2426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2396</v>
      </c>
      <c r="BJ88" s="319">
        <v>0.0</v>
      </c>
      <c r="BK88" s="319" t="s">
        <v>2396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2376</v>
      </c>
      <c r="B89" s="221" t="s">
        <v>2635</v>
      </c>
      <c r="C89" s="322" t="s">
        <v>2636</v>
      </c>
      <c r="D89" s="312" t="s">
        <v>18</v>
      </c>
      <c r="E89" s="312" t="s">
        <v>145</v>
      </c>
      <c r="F89" s="94" t="s">
        <v>146</v>
      </c>
      <c r="G89" s="47" t="str">
        <f t="shared" si="1"/>
        <v>Augusto</v>
      </c>
      <c r="H89" s="323" t="s">
        <v>157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162</v>
      </c>
      <c r="N89" s="325">
        <v>0.025</v>
      </c>
      <c r="O89" s="312" t="s">
        <v>163</v>
      </c>
      <c r="P89" s="315">
        <v>0.2</v>
      </c>
      <c r="Q89" s="94" t="str">
        <f>IFERROR(VLOOKUP(F89,'Cadastro de assessores'!A:B,2,FALSE),"Não Cadastrado")</f>
        <v>250</v>
      </c>
      <c r="R89" s="94" t="s">
        <v>2393</v>
      </c>
      <c r="S89" s="324">
        <v>44263.0</v>
      </c>
      <c r="T89" s="156"/>
      <c r="U89" s="156"/>
      <c r="V89" s="24" t="s">
        <v>89</v>
      </c>
      <c r="W89" s="13" t="s">
        <v>2637</v>
      </c>
      <c r="X89" s="151" t="s">
        <v>149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95</v>
      </c>
      <c r="AC89" s="94"/>
      <c r="AD89" s="94" t="s">
        <v>2439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2396</v>
      </c>
      <c r="BJ89" s="158">
        <v>0.0</v>
      </c>
      <c r="BK89" s="158" t="s">
        <v>2396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2376</v>
      </c>
      <c r="B90" s="225" t="s">
        <v>2638</v>
      </c>
      <c r="C90" s="322" t="s">
        <v>2639</v>
      </c>
      <c r="D90" s="312" t="s">
        <v>2379</v>
      </c>
      <c r="E90" s="312" t="s">
        <v>29</v>
      </c>
      <c r="F90" s="94" t="s">
        <v>2379</v>
      </c>
      <c r="G90" s="47" t="str">
        <f t="shared" si="1"/>
        <v>Augusto</v>
      </c>
      <c r="H90" s="323" t="s">
        <v>157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111</v>
      </c>
      <c r="N90" s="325">
        <v>0.015</v>
      </c>
      <c r="O90" s="312" t="s">
        <v>46</v>
      </c>
      <c r="P90" s="315">
        <v>0.1</v>
      </c>
      <c r="Q90" s="94" t="str">
        <f>IFERROR(VLOOKUP(F90,'Cadastro de assessores'!A:B,2,FALSE),"Não Cadastrado")</f>
        <v>18986</v>
      </c>
      <c r="R90" s="94" t="s">
        <v>2393</v>
      </c>
      <c r="S90" s="329">
        <v>44124.0</v>
      </c>
      <c r="T90" s="156"/>
      <c r="U90" s="156"/>
      <c r="V90" s="24" t="s">
        <v>329</v>
      </c>
      <c r="W90" s="13" t="s">
        <v>2640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95</v>
      </c>
      <c r="AC90" s="94"/>
      <c r="AD90" s="94" t="s">
        <v>2641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2396</v>
      </c>
      <c r="BJ90" s="158">
        <v>0.0</v>
      </c>
      <c r="BK90" s="158" t="s">
        <v>2396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2376</v>
      </c>
      <c r="B91" s="225" t="s">
        <v>2642</v>
      </c>
      <c r="C91" s="322" t="s">
        <v>2643</v>
      </c>
      <c r="D91" s="312" t="s">
        <v>2379</v>
      </c>
      <c r="E91" s="312" t="s">
        <v>29</v>
      </c>
      <c r="F91" s="94" t="s">
        <v>2379</v>
      </c>
      <c r="G91" s="47" t="str">
        <f t="shared" si="1"/>
        <v>Augusto</v>
      </c>
      <c r="H91" s="323" t="s">
        <v>157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111</v>
      </c>
      <c r="N91" s="325">
        <v>0.015</v>
      </c>
      <c r="O91" s="312" t="s">
        <v>46</v>
      </c>
      <c r="P91" s="315">
        <v>0.1</v>
      </c>
      <c r="Q91" s="94" t="str">
        <f>IFERROR(VLOOKUP(F91,'Cadastro de assessores'!A:B,2,FALSE),"Não Cadastrado")</f>
        <v>18986</v>
      </c>
      <c r="R91" s="94" t="s">
        <v>2393</v>
      </c>
      <c r="S91" s="329">
        <v>44118.0</v>
      </c>
      <c r="T91" s="156"/>
      <c r="U91" s="156"/>
      <c r="V91" s="24" t="s">
        <v>329</v>
      </c>
      <c r="W91" s="13" t="s">
        <v>2644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95</v>
      </c>
      <c r="AC91" s="94"/>
      <c r="AD91" s="94" t="s">
        <v>2641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2396</v>
      </c>
      <c r="BJ91" s="158">
        <v>0.0</v>
      </c>
      <c r="BK91" s="158" t="s">
        <v>2396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2376</v>
      </c>
      <c r="B92" s="225" t="s">
        <v>2645</v>
      </c>
      <c r="C92" s="322" t="s">
        <v>2646</v>
      </c>
      <c r="D92" s="312" t="s">
        <v>18</v>
      </c>
      <c r="E92" s="312" t="s">
        <v>145</v>
      </c>
      <c r="F92" s="94" t="s">
        <v>146</v>
      </c>
      <c r="G92" s="47" t="str">
        <f t="shared" si="1"/>
        <v>Augusto</v>
      </c>
      <c r="H92" s="323" t="s">
        <v>157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111</v>
      </c>
      <c r="N92" s="325">
        <v>0.015</v>
      </c>
      <c r="O92" s="312" t="s">
        <v>46</v>
      </c>
      <c r="P92" s="315">
        <v>0.1</v>
      </c>
      <c r="Q92" s="94" t="str">
        <f>IFERROR(VLOOKUP(F92,'Cadastro de assessores'!A:B,2,FALSE),"Não Cadastrado")</f>
        <v>250</v>
      </c>
      <c r="R92" s="94" t="s">
        <v>2393</v>
      </c>
      <c r="S92" s="329">
        <v>44328.0</v>
      </c>
      <c r="T92" s="52"/>
      <c r="U92" s="52"/>
      <c r="V92" s="24" t="s">
        <v>89</v>
      </c>
      <c r="W92" s="13" t="s">
        <v>2647</v>
      </c>
      <c r="X92" s="151" t="s">
        <v>149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95</v>
      </c>
      <c r="AC92" s="94"/>
      <c r="AD92" s="94" t="s">
        <v>2439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2396</v>
      </c>
      <c r="BJ92" s="158">
        <v>0.0</v>
      </c>
      <c r="BK92" s="158" t="s">
        <v>2396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2376</v>
      </c>
      <c r="B93" s="225" t="s">
        <v>2648</v>
      </c>
      <c r="C93" s="322" t="s">
        <v>2649</v>
      </c>
      <c r="D93" s="312" t="s">
        <v>2489</v>
      </c>
      <c r="E93" s="312" t="s">
        <v>29</v>
      </c>
      <c r="F93" s="94" t="s">
        <v>2489</v>
      </c>
      <c r="G93" s="47" t="str">
        <f t="shared" si="1"/>
        <v>Breno</v>
      </c>
      <c r="H93" s="152" t="s">
        <v>88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162</v>
      </c>
      <c r="N93" s="325">
        <v>0.01</v>
      </c>
      <c r="O93" s="312" t="s">
        <v>2381</v>
      </c>
      <c r="P93" s="315">
        <v>0.0</v>
      </c>
      <c r="Q93" s="94" t="str">
        <f>IFERROR(VLOOKUP(F93,'Cadastro de assessores'!A:B,2,FALSE),"Não Cadastrado")</f>
        <v>22400</v>
      </c>
      <c r="R93" s="94" t="s">
        <v>88</v>
      </c>
      <c r="S93" s="329">
        <v>43384.0</v>
      </c>
      <c r="T93" s="156"/>
      <c r="U93" s="156"/>
      <c r="V93" s="24" t="s">
        <v>89</v>
      </c>
      <c r="W93" s="13" t="s">
        <v>2650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95</v>
      </c>
      <c r="AC93" s="94"/>
      <c r="AD93" s="94" t="s">
        <v>2432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2376</v>
      </c>
      <c r="B94" s="45" t="s">
        <v>2651</v>
      </c>
      <c r="C94" s="357" t="s">
        <v>2652</v>
      </c>
      <c r="D94" s="312" t="s">
        <v>18</v>
      </c>
      <c r="E94" s="312" t="s">
        <v>145</v>
      </c>
      <c r="F94" s="151" t="s">
        <v>171</v>
      </c>
      <c r="G94" s="47" t="str">
        <f t="shared" si="1"/>
        <v>Augusto</v>
      </c>
      <c r="H94" s="323" t="s">
        <v>157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54</v>
      </c>
      <c r="N94" s="325">
        <v>0.003</v>
      </c>
      <c r="O94" s="312" t="s">
        <v>2381</v>
      </c>
      <c r="P94" s="315">
        <v>0.0</v>
      </c>
      <c r="Q94" s="151" t="str">
        <f>IFERROR(VLOOKUP(F94,'Cadastro de assessores'!A:B,2,FALSE),"Não Cadastrado")</f>
        <v>28411</v>
      </c>
      <c r="R94" s="94" t="s">
        <v>2393</v>
      </c>
      <c r="S94" s="74">
        <v>44393.0</v>
      </c>
      <c r="T94" s="52"/>
      <c r="U94" s="52"/>
      <c r="V94" s="24" t="s">
        <v>329</v>
      </c>
      <c r="W94" s="5" t="s">
        <v>2653</v>
      </c>
      <c r="X94" s="151" t="s">
        <v>149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2439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2396</v>
      </c>
      <c r="BJ94" s="158">
        <v>0.0</v>
      </c>
      <c r="BK94" s="158" t="s">
        <v>2396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2376</v>
      </c>
      <c r="B95" s="221" t="s">
        <v>2654</v>
      </c>
      <c r="C95" s="322" t="s">
        <v>2655</v>
      </c>
      <c r="D95" s="312" t="s">
        <v>18</v>
      </c>
      <c r="E95" s="312" t="s">
        <v>29</v>
      </c>
      <c r="F95" s="312" t="s">
        <v>137</v>
      </c>
      <c r="G95" s="47" t="str">
        <f t="shared" si="1"/>
        <v>Breno</v>
      </c>
      <c r="H95" s="323" t="s">
        <v>157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45</v>
      </c>
      <c r="N95" s="314">
        <v>0.01</v>
      </c>
      <c r="O95" s="312" t="s">
        <v>2381</v>
      </c>
      <c r="P95" s="315">
        <v>0.0</v>
      </c>
      <c r="Q95" s="312">
        <f>IFERROR(VLOOKUP(F95,'Cadastro de assessores'!A:B,2,FALSE),"Não Cadastrado")</f>
        <v>12344</v>
      </c>
      <c r="R95" s="312" t="s">
        <v>88</v>
      </c>
      <c r="S95" s="313">
        <v>43713.0</v>
      </c>
      <c r="T95" s="156"/>
      <c r="U95" s="327" t="s">
        <v>2656</v>
      </c>
      <c r="V95" s="24" t="s">
        <v>89</v>
      </c>
      <c r="W95" s="13" t="s">
        <v>2657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95</v>
      </c>
      <c r="AC95" s="94"/>
      <c r="AD95" s="94" t="s">
        <v>2421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2376</v>
      </c>
      <c r="B96" s="221" t="s">
        <v>2658</v>
      </c>
      <c r="C96" s="204" t="s">
        <v>2659</v>
      </c>
      <c r="D96" s="312" t="s">
        <v>18</v>
      </c>
      <c r="E96" s="312" t="s">
        <v>145</v>
      </c>
      <c r="F96" s="94" t="s">
        <v>146</v>
      </c>
      <c r="G96" s="47" t="str">
        <f t="shared" si="1"/>
        <v>Augusto</v>
      </c>
      <c r="H96" s="152" t="s">
        <v>116</v>
      </c>
      <c r="I96" s="53" t="s">
        <v>161</v>
      </c>
      <c r="J96" s="312" t="str">
        <f t="shared" si="2"/>
        <v>Não</v>
      </c>
      <c r="K96" s="313">
        <v>44838.0</v>
      </c>
      <c r="L96" s="94"/>
      <c r="M96" s="94" t="s">
        <v>60</v>
      </c>
      <c r="N96" s="325">
        <v>0.01</v>
      </c>
      <c r="O96" s="312" t="s">
        <v>2381</v>
      </c>
      <c r="P96" s="315">
        <v>0.0</v>
      </c>
      <c r="Q96" s="94" t="str">
        <f>IFERROR(VLOOKUP(F96,'Cadastro de assessores'!A:B,2,FALSE),"Não Cadastrado")</f>
        <v>250</v>
      </c>
      <c r="R96" s="312" t="s">
        <v>88</v>
      </c>
      <c r="S96" s="313">
        <v>44831.0</v>
      </c>
      <c r="T96" s="75"/>
      <c r="U96" s="156" t="s">
        <v>2660</v>
      </c>
      <c r="V96" s="24" t="s">
        <v>89</v>
      </c>
      <c r="W96" s="13" t="s">
        <v>2661</v>
      </c>
      <c r="X96" s="5" t="s">
        <v>149</v>
      </c>
      <c r="Y96" s="53" t="str">
        <f t="shared" si="3"/>
        <v>Ativo</v>
      </c>
      <c r="Z96" s="126"/>
      <c r="AA96" s="94" t="str">
        <f t="shared" si="4"/>
        <v/>
      </c>
      <c r="AB96" s="13" t="s">
        <v>95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2376</v>
      </c>
      <c r="B97" s="221" t="s">
        <v>669</v>
      </c>
      <c r="C97" s="204" t="s">
        <v>2662</v>
      </c>
      <c r="D97" s="312" t="s">
        <v>18</v>
      </c>
      <c r="E97" s="312" t="s">
        <v>145</v>
      </c>
      <c r="F97" s="312" t="s">
        <v>2464</v>
      </c>
      <c r="G97" s="47" t="str">
        <f t="shared" si="1"/>
        <v>Augusto</v>
      </c>
      <c r="H97" s="152" t="s">
        <v>116</v>
      </c>
      <c r="I97" s="53" t="s">
        <v>161</v>
      </c>
      <c r="J97" s="312" t="str">
        <f t="shared" si="2"/>
        <v>Não</v>
      </c>
      <c r="K97" s="313">
        <v>44299.0</v>
      </c>
      <c r="L97" s="94"/>
      <c r="M97" s="94" t="s">
        <v>111</v>
      </c>
      <c r="N97" s="325">
        <v>0.015</v>
      </c>
      <c r="O97" s="312" t="s">
        <v>46</v>
      </c>
      <c r="P97" s="315">
        <v>0.1</v>
      </c>
      <c r="Q97" s="312" t="str">
        <f>IFERROR(VLOOKUP(F97,'Cadastro de assessores'!A:B,2,FALSE),"Não Cadastrado")</f>
        <v>22066</v>
      </c>
      <c r="R97" s="312" t="s">
        <v>88</v>
      </c>
      <c r="S97" s="313">
        <v>44299.0</v>
      </c>
      <c r="T97" s="75"/>
      <c r="U97" s="156" t="s">
        <v>2663</v>
      </c>
      <c r="V97" s="24" t="s">
        <v>89</v>
      </c>
      <c r="W97" s="13" t="s">
        <v>671</v>
      </c>
      <c r="X97" s="151" t="s">
        <v>149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95</v>
      </c>
      <c r="AC97" s="94"/>
      <c r="AD97" s="94" t="s">
        <v>2439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2376</v>
      </c>
      <c r="B98" s="221" t="s">
        <v>2664</v>
      </c>
      <c r="C98" s="322" t="s">
        <v>2665</v>
      </c>
      <c r="D98" s="312" t="s">
        <v>2379</v>
      </c>
      <c r="E98" s="312" t="s">
        <v>29</v>
      </c>
      <c r="F98" s="312" t="s">
        <v>2380</v>
      </c>
      <c r="G98" s="47" t="str">
        <f t="shared" si="1"/>
        <v>Augusto</v>
      </c>
      <c r="H98" s="152" t="s">
        <v>116</v>
      </c>
      <c r="I98" s="53" t="s">
        <v>161</v>
      </c>
      <c r="J98" s="312" t="str">
        <f t="shared" si="2"/>
        <v>Não</v>
      </c>
      <c r="K98" s="313">
        <v>43895.0</v>
      </c>
      <c r="L98" s="94"/>
      <c r="M98" s="94" t="s">
        <v>45</v>
      </c>
      <c r="N98" s="325">
        <v>0.012</v>
      </c>
      <c r="O98" s="312" t="s">
        <v>2381</v>
      </c>
      <c r="P98" s="315">
        <v>0.0</v>
      </c>
      <c r="Q98" s="312" t="str">
        <f>IFERROR(VLOOKUP(F98,'Cadastro de assessores'!A:B,2,FALSE),"Não Cadastrado")</f>
        <v>17573</v>
      </c>
      <c r="R98" s="312" t="s">
        <v>88</v>
      </c>
      <c r="S98" s="313">
        <v>43894.0</v>
      </c>
      <c r="T98" s="156"/>
      <c r="U98" s="156" t="s">
        <v>2666</v>
      </c>
      <c r="V98" s="24" t="s">
        <v>89</v>
      </c>
      <c r="W98" s="13" t="s">
        <v>2667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95</v>
      </c>
      <c r="AC98" s="94"/>
      <c r="AD98" s="94" t="s">
        <v>2432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2376</v>
      </c>
      <c r="B99" s="221" t="s">
        <v>2668</v>
      </c>
      <c r="C99" s="322" t="s">
        <v>2669</v>
      </c>
      <c r="D99" s="312" t="s">
        <v>2379</v>
      </c>
      <c r="E99" s="312" t="s">
        <v>29</v>
      </c>
      <c r="F99" s="94" t="s">
        <v>2392</v>
      </c>
      <c r="G99" s="47" t="str">
        <f t="shared" si="1"/>
        <v>Augusto</v>
      </c>
      <c r="H99" s="323" t="s">
        <v>157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111</v>
      </c>
      <c r="N99" s="325">
        <v>0.015</v>
      </c>
      <c r="O99" s="312" t="s">
        <v>46</v>
      </c>
      <c r="P99" s="315">
        <v>0.1</v>
      </c>
      <c r="Q99" s="94" t="str">
        <f>IFERROR(VLOOKUP(F99,'Cadastro de assessores'!A:B,2,FALSE),"Não Cadastrado")</f>
        <v>2971</v>
      </c>
      <c r="R99" s="94" t="s">
        <v>2393</v>
      </c>
      <c r="S99" s="324">
        <v>43913.0</v>
      </c>
      <c r="T99" s="156"/>
      <c r="U99" s="156"/>
      <c r="V99" s="24" t="s">
        <v>89</v>
      </c>
      <c r="W99" s="13" t="s">
        <v>2670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2671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2396</v>
      </c>
      <c r="BJ99" s="158">
        <v>0.0</v>
      </c>
      <c r="BK99" s="158" t="s">
        <v>2396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2376</v>
      </c>
      <c r="B100" s="221" t="s">
        <v>2672</v>
      </c>
      <c r="C100" s="322" t="s">
        <v>2673</v>
      </c>
      <c r="D100" s="312" t="s">
        <v>18</v>
      </c>
      <c r="E100" s="312" t="s">
        <v>29</v>
      </c>
      <c r="F100" s="312" t="s">
        <v>137</v>
      </c>
      <c r="G100" s="47" t="str">
        <f t="shared" si="1"/>
        <v>Augusto</v>
      </c>
      <c r="H100" s="152" t="s">
        <v>116</v>
      </c>
      <c r="I100" s="53" t="s">
        <v>161</v>
      </c>
      <c r="J100" s="312" t="str">
        <f t="shared" si="2"/>
        <v>Não</v>
      </c>
      <c r="K100" s="313">
        <v>43860.0</v>
      </c>
      <c r="L100" s="94"/>
      <c r="M100" s="94" t="s">
        <v>111</v>
      </c>
      <c r="N100" s="325">
        <v>0.015</v>
      </c>
      <c r="O100" s="312" t="s">
        <v>2381</v>
      </c>
      <c r="P100" s="315">
        <v>0.0</v>
      </c>
      <c r="Q100" s="312">
        <f>IFERROR(VLOOKUP(F100,'Cadastro de assessores'!A:B,2,FALSE),"Não Cadastrado")</f>
        <v>12344</v>
      </c>
      <c r="R100" s="312" t="s">
        <v>88</v>
      </c>
      <c r="S100" s="313">
        <v>43860.0</v>
      </c>
      <c r="T100" s="65"/>
      <c r="U100" s="327" t="s">
        <v>2674</v>
      </c>
      <c r="V100" s="24" t="s">
        <v>89</v>
      </c>
      <c r="W100" s="13" t="s">
        <v>2675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91</v>
      </c>
      <c r="AC100" s="94"/>
      <c r="AD100" s="94" t="s">
        <v>2432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2376</v>
      </c>
      <c r="B101" s="149" t="s">
        <v>691</v>
      </c>
      <c r="C101" s="321" t="s">
        <v>2676</v>
      </c>
      <c r="D101" s="312" t="s">
        <v>18</v>
      </c>
      <c r="E101" s="312" t="s">
        <v>145</v>
      </c>
      <c r="F101" s="312" t="s">
        <v>146</v>
      </c>
      <c r="G101" s="47" t="str">
        <f t="shared" si="1"/>
        <v>Augusto</v>
      </c>
      <c r="H101" s="152" t="s">
        <v>116</v>
      </c>
      <c r="I101" s="53" t="s">
        <v>161</v>
      </c>
      <c r="J101" s="312" t="str">
        <f t="shared" si="2"/>
        <v>Não</v>
      </c>
      <c r="K101" s="313">
        <v>44321.0</v>
      </c>
      <c r="L101" s="94"/>
      <c r="M101" s="94" t="s">
        <v>111</v>
      </c>
      <c r="N101" s="116">
        <v>0.015</v>
      </c>
      <c r="O101" s="312" t="s">
        <v>46</v>
      </c>
      <c r="P101" s="315">
        <v>0.1</v>
      </c>
      <c r="Q101" s="312" t="str">
        <f>IFERROR(VLOOKUP(F101,'Cadastro de assessores'!A:B,2,FALSE),"Não Cadastrado")</f>
        <v>250</v>
      </c>
      <c r="R101" s="312" t="s">
        <v>88</v>
      </c>
      <c r="S101" s="313">
        <v>44321.0</v>
      </c>
      <c r="T101" s="52"/>
      <c r="U101" s="52"/>
      <c r="V101" s="24" t="s">
        <v>89</v>
      </c>
      <c r="W101" s="11" t="s">
        <v>693</v>
      </c>
      <c r="X101" s="151" t="s">
        <v>149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91</v>
      </c>
      <c r="AC101" s="94"/>
      <c r="AD101" s="94" t="s">
        <v>2439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2376</v>
      </c>
      <c r="B102" s="45" t="s">
        <v>695</v>
      </c>
      <c r="C102" s="24">
        <v>323749.0</v>
      </c>
      <c r="D102" s="312" t="s">
        <v>18</v>
      </c>
      <c r="E102" s="312" t="s">
        <v>145</v>
      </c>
      <c r="F102" s="94" t="s">
        <v>171</v>
      </c>
      <c r="G102" s="47" t="str">
        <f t="shared" si="1"/>
        <v>Augusto</v>
      </c>
      <c r="H102" s="152" t="s">
        <v>88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60</v>
      </c>
      <c r="N102" s="325">
        <v>0.007</v>
      </c>
      <c r="O102" s="312" t="s">
        <v>2381</v>
      </c>
      <c r="P102" s="315">
        <v>0.0</v>
      </c>
      <c r="Q102" s="312" t="str">
        <f>IFERROR(VLOOKUP(F102,'Cadastro de assessores'!A:B,2,FALSE),"Não Cadastrado")</f>
        <v>28411</v>
      </c>
      <c r="R102" s="312" t="s">
        <v>88</v>
      </c>
      <c r="S102" s="74">
        <v>44586.0</v>
      </c>
      <c r="T102" s="363"/>
      <c r="U102" s="363"/>
      <c r="V102" s="24" t="s">
        <v>89</v>
      </c>
      <c r="W102" s="5" t="s">
        <v>697</v>
      </c>
      <c r="X102" s="151" t="s">
        <v>149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95</v>
      </c>
      <c r="AC102" s="94"/>
      <c r="AD102" s="94" t="s">
        <v>2439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2376</v>
      </c>
      <c r="B103" s="63" t="s">
        <v>702</v>
      </c>
      <c r="C103" s="24">
        <v>6496617.0</v>
      </c>
      <c r="D103" s="312" t="s">
        <v>18</v>
      </c>
      <c r="E103" s="312" t="s">
        <v>145</v>
      </c>
      <c r="F103" s="92" t="s">
        <v>146</v>
      </c>
      <c r="G103" s="47" t="str">
        <f t="shared" si="1"/>
        <v>Augusto</v>
      </c>
      <c r="H103" s="323" t="s">
        <v>157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45</v>
      </c>
      <c r="N103" s="325">
        <v>0.012</v>
      </c>
      <c r="O103" s="312" t="s">
        <v>2381</v>
      </c>
      <c r="P103" s="315">
        <v>0.0</v>
      </c>
      <c r="Q103" s="312">
        <v>250.0</v>
      </c>
      <c r="R103" s="312" t="s">
        <v>88</v>
      </c>
      <c r="S103" s="74">
        <v>44711.0</v>
      </c>
      <c r="T103" s="156"/>
      <c r="U103" s="156"/>
      <c r="V103" s="24" t="s">
        <v>89</v>
      </c>
      <c r="W103" s="5" t="s">
        <v>705</v>
      </c>
      <c r="X103" s="24" t="s">
        <v>149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2459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2376</v>
      </c>
      <c r="B104" s="63" t="s">
        <v>702</v>
      </c>
      <c r="C104" s="322" t="s">
        <v>2677</v>
      </c>
      <c r="D104" s="312" t="s">
        <v>18</v>
      </c>
      <c r="E104" s="312" t="s">
        <v>145</v>
      </c>
      <c r="F104" s="94" t="s">
        <v>2678</v>
      </c>
      <c r="G104" s="47" t="str">
        <f t="shared" si="1"/>
        <v>Augusto</v>
      </c>
      <c r="H104" s="323" t="s">
        <v>157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704</v>
      </c>
      <c r="N104" s="325">
        <v>0.02</v>
      </c>
      <c r="O104" s="312" t="s">
        <v>163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89</v>
      </c>
      <c r="W104" s="5" t="s">
        <v>705</v>
      </c>
      <c r="X104" s="13" t="s">
        <v>149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2376</v>
      </c>
      <c r="B105" s="221" t="s">
        <v>2679</v>
      </c>
      <c r="C105" s="322" t="s">
        <v>2680</v>
      </c>
      <c r="D105" s="312" t="s">
        <v>2379</v>
      </c>
      <c r="E105" s="312" t="s">
        <v>29</v>
      </c>
      <c r="F105" s="94" t="s">
        <v>2379</v>
      </c>
      <c r="G105" s="47" t="str">
        <f t="shared" si="1"/>
        <v>Augusto</v>
      </c>
      <c r="H105" s="323" t="s">
        <v>157</v>
      </c>
      <c r="I105" s="48" t="s">
        <v>24</v>
      </c>
      <c r="J105" s="312" t="str">
        <f t="shared" si="2"/>
        <v>Não</v>
      </c>
      <c r="K105" s="94" t="s">
        <v>2429</v>
      </c>
      <c r="L105" s="329">
        <v>44482.0</v>
      </c>
      <c r="M105" s="94" t="s">
        <v>111</v>
      </c>
      <c r="N105" s="325">
        <v>0.015</v>
      </c>
      <c r="O105" s="312" t="s">
        <v>46</v>
      </c>
      <c r="P105" s="315">
        <v>0.1</v>
      </c>
      <c r="Q105" s="94" t="str">
        <f>IFERROR(VLOOKUP(F105,'Cadastro de assessores'!A:B,2,FALSE),"Não Cadastrado")</f>
        <v>18986</v>
      </c>
      <c r="R105" s="94" t="s">
        <v>2393</v>
      </c>
      <c r="S105" s="94"/>
      <c r="T105" s="156"/>
      <c r="U105" s="156"/>
      <c r="V105" s="24" t="s">
        <v>89</v>
      </c>
      <c r="W105" s="13" t="s">
        <v>2681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2505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2396</v>
      </c>
      <c r="BJ105" s="158">
        <v>0.0</v>
      </c>
      <c r="BK105" s="158" t="s">
        <v>2396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2376</v>
      </c>
      <c r="B106" s="310" t="s">
        <v>752</v>
      </c>
      <c r="C106" s="73" t="s">
        <v>2682</v>
      </c>
      <c r="D106" s="312" t="s">
        <v>18</v>
      </c>
      <c r="E106" s="312" t="s">
        <v>145</v>
      </c>
      <c r="F106" s="92" t="s">
        <v>146</v>
      </c>
      <c r="G106" s="47" t="str">
        <f t="shared" si="1"/>
        <v>Augusto</v>
      </c>
      <c r="H106" s="152" t="s">
        <v>116</v>
      </c>
      <c r="I106" s="53" t="s">
        <v>161</v>
      </c>
      <c r="J106" s="312" t="str">
        <f t="shared" si="2"/>
        <v>Não</v>
      </c>
      <c r="K106" s="326">
        <v>44844.0</v>
      </c>
      <c r="L106" s="94"/>
      <c r="M106" s="94" t="s">
        <v>60</v>
      </c>
      <c r="N106" s="314">
        <v>0.01</v>
      </c>
      <c r="O106" s="312" t="s">
        <v>2381</v>
      </c>
      <c r="P106" s="315">
        <v>0.0</v>
      </c>
      <c r="Q106" s="312" t="str">
        <f>IFERROR(VLOOKUP(F106,'Cadastro de assessores'!A:B,2,FALSE),"Não Cadastrado")</f>
        <v>250</v>
      </c>
      <c r="R106" s="312" t="s">
        <v>88</v>
      </c>
      <c r="S106" s="313">
        <v>44826.0</v>
      </c>
      <c r="T106" s="156"/>
      <c r="U106" s="156"/>
      <c r="V106" s="24" t="s">
        <v>89</v>
      </c>
      <c r="W106" s="317" t="s">
        <v>755</v>
      </c>
      <c r="X106" s="13" t="s">
        <v>149</v>
      </c>
      <c r="Y106" s="53" t="str">
        <f t="shared" si="3"/>
        <v>Ativo</v>
      </c>
      <c r="Z106" s="126"/>
      <c r="AA106" s="94" t="str">
        <f t="shared" si="4"/>
        <v/>
      </c>
      <c r="AB106" s="13" t="s">
        <v>95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2376</v>
      </c>
      <c r="B107" s="63" t="s">
        <v>756</v>
      </c>
      <c r="C107" s="321" t="s">
        <v>2683</v>
      </c>
      <c r="D107" s="312" t="s">
        <v>18</v>
      </c>
      <c r="E107" s="312" t="s">
        <v>145</v>
      </c>
      <c r="F107" s="92" t="s">
        <v>171</v>
      </c>
      <c r="G107" s="47" t="str">
        <f t="shared" si="1"/>
        <v>Augusto</v>
      </c>
      <c r="H107" s="152" t="s">
        <v>116</v>
      </c>
      <c r="I107" s="53" t="s">
        <v>161</v>
      </c>
      <c r="J107" s="312" t="str">
        <f t="shared" si="2"/>
        <v>Não</v>
      </c>
      <c r="K107" s="313">
        <v>44328.0</v>
      </c>
      <c r="L107" s="24"/>
      <c r="M107" s="94" t="s">
        <v>243</v>
      </c>
      <c r="N107" s="325">
        <v>0.02</v>
      </c>
      <c r="O107" s="312" t="s">
        <v>46</v>
      </c>
      <c r="P107" s="315">
        <v>0.2</v>
      </c>
      <c r="Q107" s="92" t="str">
        <f>IFERROR(VLOOKUP(F107,'Cadastro de assessores'!A:B,2,FALSE),"Não Cadastrado")</f>
        <v>28411</v>
      </c>
      <c r="R107" s="312" t="s">
        <v>88</v>
      </c>
      <c r="S107" s="313">
        <v>44328.0</v>
      </c>
      <c r="T107" s="75"/>
      <c r="U107" s="52" t="s">
        <v>2684</v>
      </c>
      <c r="V107" s="24" t="s">
        <v>89</v>
      </c>
      <c r="W107" s="5" t="s">
        <v>758</v>
      </c>
      <c r="X107" s="151" t="s">
        <v>149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91</v>
      </c>
      <c r="AC107" s="94"/>
      <c r="AD107" s="94" t="s">
        <v>2389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2376</v>
      </c>
      <c r="B108" s="63" t="s">
        <v>2685</v>
      </c>
      <c r="C108" s="137">
        <v>351246.0</v>
      </c>
      <c r="D108" s="312" t="s">
        <v>18</v>
      </c>
      <c r="E108" s="312" t="s">
        <v>145</v>
      </c>
      <c r="F108" s="312" t="s">
        <v>146</v>
      </c>
      <c r="G108" s="47" t="str">
        <f t="shared" si="1"/>
        <v>Augusto</v>
      </c>
      <c r="H108" s="323" t="s">
        <v>157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111</v>
      </c>
      <c r="N108" s="325">
        <v>0.015</v>
      </c>
      <c r="O108" s="312" t="s">
        <v>46</v>
      </c>
      <c r="P108" s="315">
        <v>0.1</v>
      </c>
      <c r="Q108" s="92" t="str">
        <f>IFERROR(VLOOKUP(F108,'Cadastro de assessores'!A:B,2,FALSE),"Não Cadastrado")</f>
        <v>250</v>
      </c>
      <c r="R108" s="312" t="s">
        <v>88</v>
      </c>
      <c r="S108" s="324">
        <v>44594.0</v>
      </c>
      <c r="T108" s="75"/>
      <c r="U108" s="316"/>
      <c r="V108" s="24" t="s">
        <v>89</v>
      </c>
      <c r="W108" s="5" t="s">
        <v>2686</v>
      </c>
      <c r="X108" s="151" t="s">
        <v>149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95</v>
      </c>
      <c r="AC108" s="94"/>
      <c r="AD108" s="94" t="s">
        <v>2439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2376</v>
      </c>
      <c r="B109" s="310" t="s">
        <v>2687</v>
      </c>
      <c r="C109" s="311" t="s">
        <v>2688</v>
      </c>
      <c r="D109" s="312" t="s">
        <v>18</v>
      </c>
      <c r="E109" s="312" t="s">
        <v>29</v>
      </c>
      <c r="F109" s="317" t="s">
        <v>569</v>
      </c>
      <c r="G109" s="47" t="str">
        <f t="shared" si="1"/>
        <v>Bruno</v>
      </c>
      <c r="H109" s="152" t="s">
        <v>88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45</v>
      </c>
      <c r="N109" s="325">
        <v>0.012</v>
      </c>
      <c r="O109" s="312" t="s">
        <v>2381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88</v>
      </c>
      <c r="S109" s="313">
        <v>43882.0</v>
      </c>
      <c r="T109" s="156" t="s">
        <v>2689</v>
      </c>
      <c r="U109" s="327" t="s">
        <v>2690</v>
      </c>
      <c r="V109" s="24" t="s">
        <v>89</v>
      </c>
      <c r="W109" s="317" t="s">
        <v>2691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95</v>
      </c>
      <c r="AC109" s="94"/>
      <c r="AD109" s="312" t="s">
        <v>2444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2376</v>
      </c>
      <c r="B110" s="310" t="s">
        <v>2692</v>
      </c>
      <c r="C110" s="311" t="s">
        <v>2693</v>
      </c>
      <c r="D110" s="312" t="s">
        <v>18</v>
      </c>
      <c r="E110" s="312" t="s">
        <v>29</v>
      </c>
      <c r="F110" s="312" t="s">
        <v>110</v>
      </c>
      <c r="G110" s="47" t="str">
        <f t="shared" si="1"/>
        <v>Augusto</v>
      </c>
      <c r="H110" s="152" t="s">
        <v>116</v>
      </c>
      <c r="I110" s="53" t="s">
        <v>161</v>
      </c>
      <c r="J110" s="312" t="str">
        <f t="shared" si="2"/>
        <v>Não</v>
      </c>
      <c r="K110" s="326">
        <v>43398.0</v>
      </c>
      <c r="L110" s="94"/>
      <c r="M110" s="94" t="s">
        <v>162</v>
      </c>
      <c r="N110" s="314">
        <v>0.018</v>
      </c>
      <c r="O110" s="312" t="s">
        <v>163</v>
      </c>
      <c r="P110" s="315">
        <v>0.2</v>
      </c>
      <c r="Q110" s="312">
        <f>IFERROR(VLOOKUP(F110,'Cadastro de assessores'!A:B,2,FALSE),"Não Cadastrado")</f>
        <v>12332</v>
      </c>
      <c r="R110" s="312" t="s">
        <v>116</v>
      </c>
      <c r="S110" s="326">
        <v>43397.0</v>
      </c>
      <c r="T110" s="156"/>
      <c r="U110" s="156"/>
      <c r="V110" s="24" t="s">
        <v>89</v>
      </c>
      <c r="W110" s="317" t="s">
        <v>2694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95</v>
      </c>
      <c r="AC110" s="94"/>
      <c r="AD110" s="94" t="s">
        <v>2444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2396</v>
      </c>
      <c r="BJ110" s="319">
        <v>0.0</v>
      </c>
      <c r="BK110" s="319" t="s">
        <v>2396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2376</v>
      </c>
      <c r="B111" s="63" t="s">
        <v>2695</v>
      </c>
      <c r="C111" s="137">
        <v>2541803.0</v>
      </c>
      <c r="D111" s="312" t="s">
        <v>18</v>
      </c>
      <c r="E111" s="312" t="s">
        <v>145</v>
      </c>
      <c r="F111" s="94" t="s">
        <v>171</v>
      </c>
      <c r="G111" s="47" t="str">
        <f t="shared" si="1"/>
        <v>Augusto</v>
      </c>
      <c r="H111" s="152" t="s">
        <v>88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60</v>
      </c>
      <c r="N111" s="314">
        <v>0.007</v>
      </c>
      <c r="O111" s="312" t="s">
        <v>2381</v>
      </c>
      <c r="P111" s="315">
        <v>0.0</v>
      </c>
      <c r="Q111" s="312" t="str">
        <f>IFERROR(VLOOKUP(F111,'Cadastro de assessores'!A:B,2,FALSE),"Não Cadastrado")</f>
        <v>28411</v>
      </c>
      <c r="R111" s="312" t="s">
        <v>88</v>
      </c>
      <c r="S111" s="120">
        <v>44524.0</v>
      </c>
      <c r="T111" s="52" t="s">
        <v>2696</v>
      </c>
      <c r="U111" s="52"/>
      <c r="V111" s="24" t="s">
        <v>89</v>
      </c>
      <c r="W111" s="5" t="s">
        <v>2697</v>
      </c>
      <c r="X111" s="151" t="s">
        <v>149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95</v>
      </c>
      <c r="AC111" s="94"/>
      <c r="AD111" s="94" t="s">
        <v>2439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2376</v>
      </c>
      <c r="B112" s="310" t="s">
        <v>2698</v>
      </c>
      <c r="C112" s="311" t="s">
        <v>2699</v>
      </c>
      <c r="D112" s="312" t="s">
        <v>18</v>
      </c>
      <c r="E112" s="312" t="s">
        <v>29</v>
      </c>
      <c r="F112" s="312" t="s">
        <v>110</v>
      </c>
      <c r="G112" s="47" t="str">
        <f t="shared" si="1"/>
        <v>Breno</v>
      </c>
      <c r="H112" s="152" t="s">
        <v>88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60</v>
      </c>
      <c r="N112" s="314">
        <v>0.01</v>
      </c>
      <c r="O112" s="312" t="s">
        <v>2381</v>
      </c>
      <c r="P112" s="315">
        <v>0.0</v>
      </c>
      <c r="Q112" s="312">
        <f>IFERROR(VLOOKUP(F112,'Cadastro de assessores'!A:B,2,FALSE),"Não Cadastrado")</f>
        <v>12332</v>
      </c>
      <c r="R112" s="312" t="s">
        <v>88</v>
      </c>
      <c r="S112" s="313">
        <v>43563.0</v>
      </c>
      <c r="T112" s="156"/>
      <c r="U112" s="156"/>
      <c r="V112" s="24" t="s">
        <v>89</v>
      </c>
      <c r="W112" s="317" t="s">
        <v>2700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95</v>
      </c>
      <c r="AC112" s="94"/>
      <c r="AD112" s="94" t="s">
        <v>2432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2376</v>
      </c>
      <c r="B113" s="310" t="s">
        <v>2698</v>
      </c>
      <c r="C113" s="311" t="s">
        <v>2701</v>
      </c>
      <c r="D113" s="312" t="s">
        <v>18</v>
      </c>
      <c r="E113" s="312" t="s">
        <v>29</v>
      </c>
      <c r="F113" s="312" t="s">
        <v>110</v>
      </c>
      <c r="G113" s="47" t="str">
        <f t="shared" si="1"/>
        <v>Breno</v>
      </c>
      <c r="H113" s="323" t="s">
        <v>116</v>
      </c>
      <c r="I113" s="53" t="s">
        <v>609</v>
      </c>
      <c r="J113" s="312" t="str">
        <f t="shared" si="2"/>
        <v>Sim</v>
      </c>
      <c r="K113" s="313">
        <v>43564.0</v>
      </c>
      <c r="L113" s="94"/>
      <c r="M113" s="94" t="s">
        <v>162</v>
      </c>
      <c r="N113" s="314">
        <v>0.02</v>
      </c>
      <c r="O113" s="312" t="s">
        <v>163</v>
      </c>
      <c r="P113" s="315">
        <v>0.2</v>
      </c>
      <c r="Q113" s="312">
        <f>IFERROR(VLOOKUP(F113,'Cadastro de assessores'!A:B,2,FALSE),"Não Cadastrado")</f>
        <v>12332</v>
      </c>
      <c r="R113" s="312" t="s">
        <v>88</v>
      </c>
      <c r="S113" s="313">
        <v>43564.0</v>
      </c>
      <c r="T113" s="156" t="s">
        <v>2702</v>
      </c>
      <c r="U113" s="156"/>
      <c r="V113" s="24" t="s">
        <v>89</v>
      </c>
      <c r="W113" s="317" t="s">
        <v>2700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95</v>
      </c>
      <c r="AC113" s="94"/>
      <c r="AD113" s="94" t="s">
        <v>2432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2376</v>
      </c>
      <c r="B114" s="225" t="s">
        <v>2703</v>
      </c>
      <c r="C114" s="73" t="s">
        <v>2704</v>
      </c>
      <c r="D114" s="312" t="s">
        <v>18</v>
      </c>
      <c r="E114" s="312" t="s">
        <v>29</v>
      </c>
      <c r="F114" s="94" t="s">
        <v>137</v>
      </c>
      <c r="G114" s="47" t="str">
        <f t="shared" si="1"/>
        <v>Augusto</v>
      </c>
      <c r="H114" s="323" t="s">
        <v>88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60</v>
      </c>
      <c r="N114" s="325">
        <v>0.0</v>
      </c>
      <c r="O114" s="312" t="s">
        <v>2381</v>
      </c>
      <c r="P114" s="315">
        <v>0.0</v>
      </c>
      <c r="Q114" s="312">
        <f>IFERROR(VLOOKUP(F114,'Cadastro de assessores'!A:B,2,FALSE),"Não Cadastrado")</f>
        <v>12344</v>
      </c>
      <c r="R114" s="312" t="s">
        <v>116</v>
      </c>
      <c r="S114" s="324">
        <v>44888.0</v>
      </c>
      <c r="T114" s="156"/>
      <c r="U114" s="156"/>
      <c r="V114" s="24" t="s">
        <v>89</v>
      </c>
      <c r="W114" s="13" t="s">
        <v>848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95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2376</v>
      </c>
      <c r="B115" s="225" t="s">
        <v>2705</v>
      </c>
      <c r="C115" s="322" t="s">
        <v>2706</v>
      </c>
      <c r="D115" s="312" t="s">
        <v>2379</v>
      </c>
      <c r="E115" s="312" t="s">
        <v>29</v>
      </c>
      <c r="F115" s="94" t="s">
        <v>2380</v>
      </c>
      <c r="G115" s="47" t="str">
        <f t="shared" si="1"/>
        <v>Augusto</v>
      </c>
      <c r="H115" s="323" t="s">
        <v>157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111</v>
      </c>
      <c r="N115" s="325">
        <v>0.015</v>
      </c>
      <c r="O115" s="312" t="s">
        <v>46</v>
      </c>
      <c r="P115" s="315">
        <v>0.1</v>
      </c>
      <c r="Q115" s="94" t="str">
        <f>IFERROR(VLOOKUP(F115,'Cadastro de assessores'!A:B,2,FALSE),"Não Cadastrado")</f>
        <v>17573</v>
      </c>
      <c r="R115" s="94" t="s">
        <v>2393</v>
      </c>
      <c r="S115" s="324">
        <v>43675.0</v>
      </c>
      <c r="T115" s="156"/>
      <c r="U115" s="156"/>
      <c r="V115" s="24" t="s">
        <v>89</v>
      </c>
      <c r="W115" s="13" t="s">
        <v>2707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2595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2396</v>
      </c>
      <c r="BJ115" s="158">
        <v>0.0</v>
      </c>
      <c r="BK115" s="158" t="s">
        <v>2396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2376</v>
      </c>
      <c r="B116" s="45" t="s">
        <v>2708</v>
      </c>
      <c r="C116" s="357" t="s">
        <v>2709</v>
      </c>
      <c r="D116" s="312" t="s">
        <v>18</v>
      </c>
      <c r="E116" s="312" t="s">
        <v>145</v>
      </c>
      <c r="F116" s="151" t="s">
        <v>146</v>
      </c>
      <c r="G116" s="47" t="str">
        <f t="shared" si="1"/>
        <v>Augusto</v>
      </c>
      <c r="H116" s="323" t="s">
        <v>157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111</v>
      </c>
      <c r="N116" s="325">
        <v>0.015</v>
      </c>
      <c r="O116" s="312" t="s">
        <v>46</v>
      </c>
      <c r="P116" s="315">
        <v>0.1</v>
      </c>
      <c r="Q116" s="151" t="str">
        <f>IFERROR(VLOOKUP(F116,'Cadastro de assessores'!A:B,2,FALSE),"Não Cadastrado")</f>
        <v>250</v>
      </c>
      <c r="R116" s="94" t="s">
        <v>2393</v>
      </c>
      <c r="S116" s="74">
        <v>44365.0</v>
      </c>
      <c r="T116" s="52"/>
      <c r="U116" s="52"/>
      <c r="V116" s="24" t="s">
        <v>89</v>
      </c>
      <c r="W116" s="5" t="s">
        <v>2710</v>
      </c>
      <c r="X116" s="151" t="s">
        <v>149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95</v>
      </c>
      <c r="AC116" s="94"/>
      <c r="AD116" s="94" t="s">
        <v>2389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2376</v>
      </c>
      <c r="B117" s="63" t="s">
        <v>2711</v>
      </c>
      <c r="C117" s="24">
        <v>334341.0</v>
      </c>
      <c r="D117" s="312" t="s">
        <v>18</v>
      </c>
      <c r="E117" s="312" t="s">
        <v>145</v>
      </c>
      <c r="F117" s="94" t="s">
        <v>146</v>
      </c>
      <c r="G117" s="47" t="str">
        <f t="shared" si="1"/>
        <v>Breno</v>
      </c>
      <c r="H117" s="152" t="s">
        <v>88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60</v>
      </c>
      <c r="N117" s="325">
        <v>0.007</v>
      </c>
      <c r="O117" s="312" t="s">
        <v>2381</v>
      </c>
      <c r="P117" s="315">
        <v>0.0</v>
      </c>
      <c r="Q117" s="92" t="str">
        <f>IFERROR(VLOOKUP(F117,'Cadastro de assessores'!A:B,2,FALSE),"Não Cadastrado")</f>
        <v>250</v>
      </c>
      <c r="R117" s="94" t="s">
        <v>88</v>
      </c>
      <c r="S117" s="324">
        <v>44727.0</v>
      </c>
      <c r="T117" s="156"/>
      <c r="U117" s="156"/>
      <c r="V117" s="24" t="s">
        <v>89</v>
      </c>
      <c r="W117" s="5" t="s">
        <v>2712</v>
      </c>
      <c r="X117" s="151" t="s">
        <v>149</v>
      </c>
      <c r="Y117" s="53" t="str">
        <f t="shared" si="3"/>
        <v>Ativo</v>
      </c>
      <c r="Z117" s="126"/>
      <c r="AA117" s="94" t="str">
        <f t="shared" si="4"/>
        <v/>
      </c>
      <c r="AB117" s="13" t="s">
        <v>95</v>
      </c>
      <c r="AC117" s="94"/>
      <c r="AD117" s="94" t="s">
        <v>2439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2376</v>
      </c>
      <c r="B118" s="221" t="s">
        <v>2713</v>
      </c>
      <c r="C118" s="322" t="s">
        <v>2714</v>
      </c>
      <c r="D118" s="312" t="s">
        <v>2379</v>
      </c>
      <c r="E118" s="312" t="s">
        <v>29</v>
      </c>
      <c r="F118" s="94" t="s">
        <v>2392</v>
      </c>
      <c r="G118" s="47" t="str">
        <f t="shared" si="1"/>
        <v>Augusto</v>
      </c>
      <c r="H118" s="323" t="s">
        <v>157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111</v>
      </c>
      <c r="N118" s="325">
        <v>0.01</v>
      </c>
      <c r="O118" s="312" t="s">
        <v>46</v>
      </c>
      <c r="P118" s="315">
        <v>0.1</v>
      </c>
      <c r="Q118" s="94" t="str">
        <f>IFERROR(VLOOKUP(F118,'Cadastro de assessores'!A:B,2,FALSE),"Não Cadastrado")</f>
        <v>2971</v>
      </c>
      <c r="R118" s="94" t="s">
        <v>2393</v>
      </c>
      <c r="S118" s="324">
        <v>43699.0</v>
      </c>
      <c r="T118" s="156"/>
      <c r="U118" s="156"/>
      <c r="V118" s="24" t="s">
        <v>89</v>
      </c>
      <c r="W118" s="13" t="s">
        <v>2715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2505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2396</v>
      </c>
      <c r="BJ118" s="158">
        <v>0.0</v>
      </c>
      <c r="BK118" s="158" t="s">
        <v>2396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2376</v>
      </c>
      <c r="B119" s="335" t="s">
        <v>856</v>
      </c>
      <c r="C119" s="322" t="s">
        <v>2716</v>
      </c>
      <c r="D119" s="312" t="s">
        <v>18</v>
      </c>
      <c r="E119" s="312" t="s">
        <v>145</v>
      </c>
      <c r="F119" s="312" t="s">
        <v>146</v>
      </c>
      <c r="G119" s="47" t="str">
        <f t="shared" si="1"/>
        <v>Augusto</v>
      </c>
      <c r="H119" s="323" t="s">
        <v>116</v>
      </c>
      <c r="I119" s="53" t="s">
        <v>161</v>
      </c>
      <c r="J119" s="312" t="str">
        <f t="shared" si="2"/>
        <v>Não</v>
      </c>
      <c r="K119" s="313">
        <v>44263.0</v>
      </c>
      <c r="L119" s="24"/>
      <c r="M119" s="94" t="s">
        <v>243</v>
      </c>
      <c r="N119" s="325">
        <v>0.02</v>
      </c>
      <c r="O119" s="312" t="s">
        <v>46</v>
      </c>
      <c r="P119" s="315">
        <v>0.2</v>
      </c>
      <c r="Q119" s="312" t="str">
        <f>IFERROR(VLOOKUP(F119,'Cadastro de assessores'!A:B,2,FALSE),"Não Cadastrado")</f>
        <v>250</v>
      </c>
      <c r="R119" s="94" t="s">
        <v>88</v>
      </c>
      <c r="S119" s="313">
        <v>44263.0</v>
      </c>
      <c r="T119" s="124"/>
      <c r="U119" s="327" t="s">
        <v>2717</v>
      </c>
      <c r="V119" s="24" t="s">
        <v>89</v>
      </c>
      <c r="W119" s="317" t="s">
        <v>859</v>
      </c>
      <c r="X119" s="151" t="s">
        <v>149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91</v>
      </c>
      <c r="AC119" s="94"/>
      <c r="AD119" s="94" t="s">
        <v>2439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2376</v>
      </c>
      <c r="B120" s="221" t="s">
        <v>2718</v>
      </c>
      <c r="C120" s="204" t="s">
        <v>2719</v>
      </c>
      <c r="D120" s="312" t="s">
        <v>18</v>
      </c>
      <c r="E120" s="312" t="s">
        <v>145</v>
      </c>
      <c r="F120" s="312" t="s">
        <v>171</v>
      </c>
      <c r="G120" s="47" t="str">
        <f t="shared" si="1"/>
        <v>Augusto</v>
      </c>
      <c r="H120" s="152" t="s">
        <v>88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111</v>
      </c>
      <c r="N120" s="325">
        <v>0.015</v>
      </c>
      <c r="O120" s="312" t="s">
        <v>46</v>
      </c>
      <c r="P120" s="315">
        <v>0.1</v>
      </c>
      <c r="Q120" s="312" t="str">
        <f>IFERROR(VLOOKUP(F120,'Cadastro de assessores'!A:B,2,FALSE),"Não Cadastrado")</f>
        <v>28411</v>
      </c>
      <c r="R120" s="94" t="s">
        <v>88</v>
      </c>
      <c r="S120" s="313">
        <v>44291.0</v>
      </c>
      <c r="T120" s="327" t="s">
        <v>2720</v>
      </c>
      <c r="U120" s="327" t="s">
        <v>2721</v>
      </c>
      <c r="V120" s="24" t="s">
        <v>89</v>
      </c>
      <c r="W120" s="13" t="s">
        <v>2722</v>
      </c>
      <c r="X120" s="151" t="s">
        <v>149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95</v>
      </c>
      <c r="AC120" s="94"/>
      <c r="AD120" s="94" t="s">
        <v>2389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2376</v>
      </c>
      <c r="B121" s="221" t="s">
        <v>868</v>
      </c>
      <c r="C121" s="204" t="s">
        <v>2723</v>
      </c>
      <c r="D121" s="312" t="s">
        <v>18</v>
      </c>
      <c r="E121" s="312" t="s">
        <v>145</v>
      </c>
      <c r="F121" s="312" t="s">
        <v>146</v>
      </c>
      <c r="G121" s="47" t="str">
        <f t="shared" si="1"/>
        <v>Augusto</v>
      </c>
      <c r="H121" s="152" t="s">
        <v>116</v>
      </c>
      <c r="I121" s="53" t="s">
        <v>161</v>
      </c>
      <c r="J121" s="312" t="str">
        <f t="shared" si="2"/>
        <v>Não</v>
      </c>
      <c r="K121" s="313">
        <v>44263.0</v>
      </c>
      <c r="L121" s="94"/>
      <c r="M121" s="94" t="s">
        <v>243</v>
      </c>
      <c r="N121" s="325">
        <v>0.025</v>
      </c>
      <c r="O121" s="312" t="s">
        <v>46</v>
      </c>
      <c r="P121" s="315">
        <v>0.2</v>
      </c>
      <c r="Q121" s="312" t="str">
        <f>IFERROR(VLOOKUP(F121,'Cadastro de assessores'!A:B,2,FALSE),"Não Cadastrado")</f>
        <v>250</v>
      </c>
      <c r="R121" s="94" t="s">
        <v>88</v>
      </c>
      <c r="S121" s="313">
        <v>44263.0</v>
      </c>
      <c r="T121" s="75"/>
      <c r="U121" s="156"/>
      <c r="V121" s="24" t="s">
        <v>89</v>
      </c>
      <c r="W121" s="13" t="s">
        <v>871</v>
      </c>
      <c r="X121" s="151" t="s">
        <v>149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95</v>
      </c>
      <c r="AC121" s="94"/>
      <c r="AD121" s="94" t="s">
        <v>2439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2376</v>
      </c>
      <c r="B122" s="221" t="s">
        <v>2724</v>
      </c>
      <c r="C122" s="322" t="s">
        <v>2725</v>
      </c>
      <c r="D122" s="312" t="s">
        <v>2489</v>
      </c>
      <c r="E122" s="312" t="s">
        <v>29</v>
      </c>
      <c r="F122" s="94" t="s">
        <v>2489</v>
      </c>
      <c r="G122" s="47" t="str">
        <f t="shared" si="1"/>
        <v>Augusto</v>
      </c>
      <c r="H122" s="323" t="s">
        <v>157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162</v>
      </c>
      <c r="N122" s="325">
        <v>0.025</v>
      </c>
      <c r="O122" s="312" t="s">
        <v>163</v>
      </c>
      <c r="P122" s="315">
        <v>0.2</v>
      </c>
      <c r="Q122" s="94" t="str">
        <f>IFERROR(VLOOKUP(F122,'Cadastro de assessores'!A:B,2,FALSE),"Não Cadastrado")</f>
        <v>22400</v>
      </c>
      <c r="R122" s="94" t="s">
        <v>2393</v>
      </c>
      <c r="S122" s="329">
        <v>43829.0</v>
      </c>
      <c r="T122" s="156"/>
      <c r="U122" s="156"/>
      <c r="V122" s="24" t="s">
        <v>89</v>
      </c>
      <c r="W122" s="13" t="s">
        <v>2726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2453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2396</v>
      </c>
      <c r="BJ122" s="158">
        <v>0.0</v>
      </c>
      <c r="BK122" s="158" t="s">
        <v>2396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2376</v>
      </c>
      <c r="B123" s="63" t="s">
        <v>2727</v>
      </c>
      <c r="C123" s="321">
        <v>4398183.0</v>
      </c>
      <c r="D123" s="312" t="s">
        <v>18</v>
      </c>
      <c r="E123" s="312" t="s">
        <v>145</v>
      </c>
      <c r="F123" s="312" t="s">
        <v>171</v>
      </c>
      <c r="G123" s="47" t="str">
        <f t="shared" si="1"/>
        <v>Augusto</v>
      </c>
      <c r="H123" s="152" t="s">
        <v>116</v>
      </c>
      <c r="I123" s="53" t="s">
        <v>161</v>
      </c>
      <c r="J123" s="312" t="str">
        <f t="shared" si="2"/>
        <v>Não</v>
      </c>
      <c r="K123" s="324">
        <v>44602.0</v>
      </c>
      <c r="L123" s="24"/>
      <c r="M123" s="94" t="s">
        <v>111</v>
      </c>
      <c r="N123" s="325">
        <v>0.015</v>
      </c>
      <c r="O123" s="312" t="s">
        <v>46</v>
      </c>
      <c r="P123" s="315">
        <v>0.1</v>
      </c>
      <c r="Q123" s="312" t="str">
        <f>IFERROR(VLOOKUP(F123,'Cadastro de assessores'!A:B,2,FALSE),"Não Cadastrado")</f>
        <v>28411</v>
      </c>
      <c r="R123" s="94" t="s">
        <v>88</v>
      </c>
      <c r="S123" s="324">
        <v>44602.0</v>
      </c>
      <c r="T123" s="75"/>
      <c r="U123" s="156" t="s">
        <v>2728</v>
      </c>
      <c r="V123" s="24" t="s">
        <v>89</v>
      </c>
      <c r="W123" s="5" t="s">
        <v>2729</v>
      </c>
      <c r="X123" s="151" t="s">
        <v>149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95</v>
      </c>
      <c r="AC123" s="94"/>
      <c r="AD123" s="94" t="s">
        <v>2439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2376</v>
      </c>
      <c r="B124" s="221" t="s">
        <v>2730</v>
      </c>
      <c r="C124" s="322" t="s">
        <v>2731</v>
      </c>
      <c r="D124" s="312" t="s">
        <v>18</v>
      </c>
      <c r="E124" s="312" t="s">
        <v>145</v>
      </c>
      <c r="F124" s="94" t="s">
        <v>171</v>
      </c>
      <c r="G124" s="47" t="str">
        <f t="shared" si="1"/>
        <v>Augusto</v>
      </c>
      <c r="H124" s="323" t="s">
        <v>157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111</v>
      </c>
      <c r="N124" s="325">
        <v>0.015</v>
      </c>
      <c r="O124" s="312" t="s">
        <v>46</v>
      </c>
      <c r="P124" s="315">
        <v>0.1</v>
      </c>
      <c r="Q124" s="94" t="str">
        <f>IFERROR(VLOOKUP(F124,'Cadastro de assessores'!A:B,2,FALSE),"Não Cadastrado")</f>
        <v>28411</v>
      </c>
      <c r="R124" s="94" t="s">
        <v>2393</v>
      </c>
      <c r="S124" s="329">
        <v>44298.0</v>
      </c>
      <c r="T124" s="156"/>
      <c r="U124" s="156"/>
      <c r="V124" s="24" t="s">
        <v>89</v>
      </c>
      <c r="W124" s="13" t="s">
        <v>2732</v>
      </c>
      <c r="X124" s="94" t="s">
        <v>149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95</v>
      </c>
      <c r="AC124" s="94"/>
      <c r="AD124" s="94" t="s">
        <v>2439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2396</v>
      </c>
      <c r="BJ124" s="158">
        <v>0.0</v>
      </c>
      <c r="BK124" s="158" t="s">
        <v>2396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2376</v>
      </c>
      <c r="B125" s="45" t="s">
        <v>2730</v>
      </c>
      <c r="C125" s="321" t="s">
        <v>2733</v>
      </c>
      <c r="D125" s="312" t="s">
        <v>18</v>
      </c>
      <c r="E125" s="312" t="s">
        <v>145</v>
      </c>
      <c r="F125" s="92" t="s">
        <v>171</v>
      </c>
      <c r="G125" s="47" t="str">
        <f t="shared" si="1"/>
        <v>Augusto</v>
      </c>
      <c r="H125" s="152" t="s">
        <v>116</v>
      </c>
      <c r="I125" s="53" t="s">
        <v>161</v>
      </c>
      <c r="J125" s="312" t="str">
        <f t="shared" si="2"/>
        <v>Não</v>
      </c>
      <c r="K125" s="313">
        <v>44383.0</v>
      </c>
      <c r="L125" s="24"/>
      <c r="M125" s="94" t="s">
        <v>162</v>
      </c>
      <c r="N125" s="325">
        <v>0.025</v>
      </c>
      <c r="O125" s="312" t="s">
        <v>163</v>
      </c>
      <c r="P125" s="315">
        <v>0.2</v>
      </c>
      <c r="Q125" s="92" t="str">
        <f>IFERROR(VLOOKUP(F125,'Cadastro de assessores'!A:B,2,FALSE),"Não Cadastrado")</f>
        <v>28411</v>
      </c>
      <c r="R125" s="312" t="s">
        <v>88</v>
      </c>
      <c r="S125" s="313">
        <v>44382.0</v>
      </c>
      <c r="T125" s="52"/>
      <c r="U125" s="52"/>
      <c r="V125" s="24" t="s">
        <v>89</v>
      </c>
      <c r="W125" s="5" t="s">
        <v>2732</v>
      </c>
      <c r="X125" s="151" t="s">
        <v>149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95</v>
      </c>
      <c r="AC125" s="94"/>
      <c r="AD125" s="24" t="s">
        <v>2439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2396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2376</v>
      </c>
      <c r="B126" s="45" t="s">
        <v>2734</v>
      </c>
      <c r="C126" s="321" t="s">
        <v>2735</v>
      </c>
      <c r="D126" s="312" t="s">
        <v>18</v>
      </c>
      <c r="E126" s="312" t="s">
        <v>145</v>
      </c>
      <c r="F126" s="312" t="s">
        <v>146</v>
      </c>
      <c r="G126" s="47" t="str">
        <f t="shared" si="1"/>
        <v>Augusto</v>
      </c>
      <c r="H126" s="152" t="s">
        <v>116</v>
      </c>
      <c r="I126" s="53" t="s">
        <v>161</v>
      </c>
      <c r="J126" s="312" t="str">
        <f t="shared" si="2"/>
        <v>Não</v>
      </c>
      <c r="K126" s="313">
        <v>44322.0</v>
      </c>
      <c r="L126" s="94"/>
      <c r="M126" s="94" t="s">
        <v>111</v>
      </c>
      <c r="N126" s="325">
        <v>0.015</v>
      </c>
      <c r="O126" s="312" t="s">
        <v>46</v>
      </c>
      <c r="P126" s="315">
        <v>0.1</v>
      </c>
      <c r="Q126" s="312" t="str">
        <f>IFERROR(VLOOKUP(F126,'Cadastro de assessores'!A:B,2,FALSE),"Não Cadastrado")</f>
        <v>250</v>
      </c>
      <c r="R126" s="312" t="s">
        <v>116</v>
      </c>
      <c r="S126" s="313">
        <v>44322.0</v>
      </c>
      <c r="T126" s="52"/>
      <c r="U126" s="52"/>
      <c r="V126" s="24" t="s">
        <v>89</v>
      </c>
      <c r="W126" s="5" t="s">
        <v>2736</v>
      </c>
      <c r="X126" s="151" t="s">
        <v>149</v>
      </c>
      <c r="Y126" s="53" t="str">
        <f t="shared" si="3"/>
        <v>Inativo</v>
      </c>
      <c r="Z126" s="126"/>
      <c r="AA126" s="94" t="str">
        <f t="shared" si="4"/>
        <v/>
      </c>
      <c r="AB126" s="13" t="s">
        <v>95</v>
      </c>
      <c r="AC126" s="94"/>
      <c r="AD126" s="94" t="s">
        <v>2530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2396</v>
      </c>
      <c r="BJ126" s="319">
        <v>0.0</v>
      </c>
      <c r="BK126" s="319" t="s">
        <v>2396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2376</v>
      </c>
      <c r="B127" s="45" t="s">
        <v>894</v>
      </c>
      <c r="C127" s="46" t="s">
        <v>2737</v>
      </c>
      <c r="D127" s="312" t="s">
        <v>18</v>
      </c>
      <c r="E127" s="312" t="s">
        <v>145</v>
      </c>
      <c r="F127" s="312" t="s">
        <v>146</v>
      </c>
      <c r="G127" s="47" t="str">
        <f t="shared" si="1"/>
        <v>Augusto</v>
      </c>
      <c r="H127" s="152" t="s">
        <v>116</v>
      </c>
      <c r="I127" s="53" t="s">
        <v>161</v>
      </c>
      <c r="J127" s="312" t="str">
        <f t="shared" si="2"/>
        <v>Não</v>
      </c>
      <c r="K127" s="313">
        <v>44844.0</v>
      </c>
      <c r="L127" s="94"/>
      <c r="M127" s="94" t="s">
        <v>60</v>
      </c>
      <c r="N127" s="325">
        <v>0.01</v>
      </c>
      <c r="O127" s="312" t="s">
        <v>2381</v>
      </c>
      <c r="P127" s="315">
        <v>0.0</v>
      </c>
      <c r="Q127" s="312" t="str">
        <f>IFERROR(VLOOKUP(F127,'Cadastro de assessores'!A:B,2,FALSE),"Não Cadastrado")</f>
        <v>250</v>
      </c>
      <c r="R127" s="94" t="s">
        <v>88</v>
      </c>
      <c r="S127" s="313">
        <v>44826.0</v>
      </c>
      <c r="T127" s="65"/>
      <c r="U127" s="364" t="s">
        <v>2738</v>
      </c>
      <c r="V127" s="24" t="s">
        <v>89</v>
      </c>
      <c r="W127" s="5" t="s">
        <v>896</v>
      </c>
      <c r="X127" s="5" t="s">
        <v>149</v>
      </c>
      <c r="Y127" s="53" t="str">
        <f t="shared" si="3"/>
        <v>Ativo</v>
      </c>
      <c r="Z127" s="126"/>
      <c r="AA127" s="94" t="str">
        <f t="shared" si="4"/>
        <v/>
      </c>
      <c r="AB127" s="13" t="s">
        <v>95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2376</v>
      </c>
      <c r="B128" s="45" t="s">
        <v>897</v>
      </c>
      <c r="C128" s="46" t="s">
        <v>2739</v>
      </c>
      <c r="D128" s="312" t="s">
        <v>18</v>
      </c>
      <c r="E128" s="312" t="s">
        <v>145</v>
      </c>
      <c r="F128" s="92" t="s">
        <v>146</v>
      </c>
      <c r="G128" s="47" t="str">
        <f t="shared" si="1"/>
        <v>Augusto</v>
      </c>
      <c r="H128" s="152" t="s">
        <v>116</v>
      </c>
      <c r="I128" s="53" t="s">
        <v>161</v>
      </c>
      <c r="J128" s="312" t="str">
        <f t="shared" si="2"/>
        <v>Não</v>
      </c>
      <c r="K128" s="313">
        <v>44340.0</v>
      </c>
      <c r="L128" s="94"/>
      <c r="M128" s="94" t="s">
        <v>45</v>
      </c>
      <c r="N128" s="325">
        <v>0.012</v>
      </c>
      <c r="O128" s="312" t="s">
        <v>2381</v>
      </c>
      <c r="P128" s="315">
        <v>0.0</v>
      </c>
      <c r="Q128" s="92" t="str">
        <f>IFERROR(VLOOKUP(F128,'Cadastro de assessores'!A:B,2,FALSE),"Não Cadastrado")</f>
        <v>250</v>
      </c>
      <c r="R128" s="94" t="s">
        <v>88</v>
      </c>
      <c r="S128" s="313">
        <v>44340.0</v>
      </c>
      <c r="T128" s="52"/>
      <c r="U128" s="52"/>
      <c r="V128" s="24" t="s">
        <v>89</v>
      </c>
      <c r="W128" s="5" t="s">
        <v>900</v>
      </c>
      <c r="X128" s="151" t="s">
        <v>149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95</v>
      </c>
      <c r="AC128" s="94"/>
      <c r="AD128" s="94" t="s">
        <v>2439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2376</v>
      </c>
      <c r="B129" s="335" t="s">
        <v>2740</v>
      </c>
      <c r="C129" s="204" t="s">
        <v>2741</v>
      </c>
      <c r="D129" s="312" t="s">
        <v>18</v>
      </c>
      <c r="E129" s="312" t="s">
        <v>145</v>
      </c>
      <c r="F129" s="312" t="s">
        <v>171</v>
      </c>
      <c r="G129" s="47" t="str">
        <f t="shared" si="1"/>
        <v>Augusto</v>
      </c>
      <c r="H129" s="152" t="s">
        <v>116</v>
      </c>
      <c r="I129" s="53" t="s">
        <v>161</v>
      </c>
      <c r="J129" s="312" t="str">
        <f t="shared" si="2"/>
        <v>Não</v>
      </c>
      <c r="K129" s="313">
        <v>44280.0</v>
      </c>
      <c r="L129" s="24"/>
      <c r="M129" s="94" t="s">
        <v>243</v>
      </c>
      <c r="N129" s="325">
        <v>0.02</v>
      </c>
      <c r="O129" s="312" t="s">
        <v>46</v>
      </c>
      <c r="P129" s="315">
        <v>0.2</v>
      </c>
      <c r="Q129" s="312" t="str">
        <f>IFERROR(VLOOKUP(F129,'Cadastro de assessores'!A:B,2,FALSE),"Não Cadastrado")</f>
        <v>28411</v>
      </c>
      <c r="R129" s="94" t="s">
        <v>88</v>
      </c>
      <c r="S129" s="313">
        <v>44272.0</v>
      </c>
      <c r="T129" s="52"/>
      <c r="U129" s="156"/>
      <c r="V129" s="24" t="s">
        <v>89</v>
      </c>
      <c r="W129" s="317" t="s">
        <v>913</v>
      </c>
      <c r="X129" s="13" t="s">
        <v>180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95</v>
      </c>
      <c r="AC129" s="94"/>
      <c r="AD129" s="94" t="s">
        <v>2426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2376</v>
      </c>
      <c r="B130" s="335" t="s">
        <v>914</v>
      </c>
      <c r="C130" s="321" t="s">
        <v>2742</v>
      </c>
      <c r="D130" s="312" t="s">
        <v>18</v>
      </c>
      <c r="E130" s="312" t="s">
        <v>145</v>
      </c>
      <c r="F130" s="312" t="s">
        <v>146</v>
      </c>
      <c r="G130" s="47" t="str">
        <f t="shared" si="1"/>
        <v>Augusto</v>
      </c>
      <c r="H130" s="323" t="s">
        <v>157</v>
      </c>
      <c r="I130" s="48" t="s">
        <v>24</v>
      </c>
      <c r="J130" s="312" t="str">
        <f t="shared" si="2"/>
        <v>Não</v>
      </c>
      <c r="K130" s="94" t="s">
        <v>2430</v>
      </c>
      <c r="L130" s="120">
        <v>44858.0</v>
      </c>
      <c r="M130" s="24" t="s">
        <v>2743</v>
      </c>
      <c r="N130" s="325">
        <v>0.01</v>
      </c>
      <c r="O130" s="312" t="s">
        <v>2381</v>
      </c>
      <c r="P130" s="315">
        <v>0.0</v>
      </c>
      <c r="Q130" s="312" t="str">
        <f>IFERROR(VLOOKUP(F130,'Cadastro de assessores'!A:B,2,FALSE),"Não Cadastrado")</f>
        <v>250</v>
      </c>
      <c r="R130" s="312" t="s">
        <v>116</v>
      </c>
      <c r="S130" s="94" t="s">
        <v>2430</v>
      </c>
      <c r="T130" s="156"/>
      <c r="U130" s="156"/>
      <c r="V130" s="24" t="s">
        <v>89</v>
      </c>
      <c r="W130" s="317" t="s">
        <v>2732</v>
      </c>
      <c r="X130" s="151" t="s">
        <v>149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2439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2396</v>
      </c>
      <c r="BJ130" s="319">
        <v>0.0</v>
      </c>
      <c r="BK130" s="319" t="s">
        <v>2396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2376</v>
      </c>
      <c r="B131" s="335" t="s">
        <v>2744</v>
      </c>
      <c r="C131" s="322" t="s">
        <v>2745</v>
      </c>
      <c r="D131" s="312" t="s">
        <v>18</v>
      </c>
      <c r="E131" s="312" t="s">
        <v>145</v>
      </c>
      <c r="F131" s="312" t="s">
        <v>146</v>
      </c>
      <c r="G131" s="47" t="str">
        <f t="shared" si="1"/>
        <v>Augusto</v>
      </c>
      <c r="H131" s="323" t="s">
        <v>116</v>
      </c>
      <c r="I131" s="53" t="s">
        <v>161</v>
      </c>
      <c r="J131" s="312" t="str">
        <f t="shared" si="2"/>
        <v>Não</v>
      </c>
      <c r="K131" s="313">
        <v>44266.0</v>
      </c>
      <c r="L131" s="24"/>
      <c r="M131" s="94" t="s">
        <v>243</v>
      </c>
      <c r="N131" s="325">
        <v>0.02</v>
      </c>
      <c r="O131" s="312" t="s">
        <v>46</v>
      </c>
      <c r="P131" s="315">
        <v>0.2</v>
      </c>
      <c r="Q131" s="312" t="str">
        <f>IFERROR(VLOOKUP(F131,'Cadastro de assessores'!A:B,2,FALSE),"Não Cadastrado")</f>
        <v>250</v>
      </c>
      <c r="R131" s="94" t="s">
        <v>88</v>
      </c>
      <c r="S131" s="313">
        <v>44252.0</v>
      </c>
      <c r="T131" s="65"/>
      <c r="U131" s="327" t="s">
        <v>2746</v>
      </c>
      <c r="V131" s="24" t="s">
        <v>89</v>
      </c>
      <c r="W131" s="317" t="s">
        <v>2732</v>
      </c>
      <c r="X131" s="151" t="s">
        <v>149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95</v>
      </c>
      <c r="AC131" s="94"/>
      <c r="AD131" s="94" t="s">
        <v>2439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2376</v>
      </c>
      <c r="B132" s="221" t="s">
        <v>2747</v>
      </c>
      <c r="C132" s="322" t="s">
        <v>2748</v>
      </c>
      <c r="D132" s="312" t="s">
        <v>18</v>
      </c>
      <c r="E132" s="312" t="s">
        <v>145</v>
      </c>
      <c r="F132" s="94" t="s">
        <v>146</v>
      </c>
      <c r="G132" s="47" t="str">
        <f t="shared" si="1"/>
        <v>Augusto</v>
      </c>
      <c r="H132" s="323" t="s">
        <v>157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243</v>
      </c>
      <c r="N132" s="325">
        <v>0.02</v>
      </c>
      <c r="O132" s="312" t="s">
        <v>46</v>
      </c>
      <c r="P132" s="315">
        <v>0.2</v>
      </c>
      <c r="Q132" s="94" t="str">
        <f>IFERROR(VLOOKUP(F132,'Cadastro de assessores'!A:B,2,FALSE),"Não Cadastrado")</f>
        <v>250</v>
      </c>
      <c r="R132" s="94" t="s">
        <v>2393</v>
      </c>
      <c r="S132" s="324">
        <v>44280.0</v>
      </c>
      <c r="T132" s="156"/>
      <c r="U132" s="156"/>
      <c r="V132" s="24" t="s">
        <v>89</v>
      </c>
      <c r="W132" s="13" t="s">
        <v>2749</v>
      </c>
      <c r="X132" s="94" t="s">
        <v>180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2750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2396</v>
      </c>
      <c r="BJ132" s="158">
        <v>0.0</v>
      </c>
      <c r="BK132" s="158" t="s">
        <v>2396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2376</v>
      </c>
      <c r="B133" s="359" t="s">
        <v>2751</v>
      </c>
      <c r="C133" s="73" t="s">
        <v>2752</v>
      </c>
      <c r="D133" s="312" t="s">
        <v>18</v>
      </c>
      <c r="E133" s="312" t="s">
        <v>29</v>
      </c>
      <c r="F133" s="312" t="s">
        <v>2435</v>
      </c>
      <c r="G133" s="47" t="str">
        <f t="shared" si="1"/>
        <v>Breno</v>
      </c>
      <c r="H133" s="152" t="s">
        <v>88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60</v>
      </c>
      <c r="N133" s="325">
        <v>0.01</v>
      </c>
      <c r="O133" s="312" t="s">
        <v>2381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89</v>
      </c>
      <c r="W133" s="365" t="s">
        <v>2753</v>
      </c>
      <c r="X133" s="5" t="s">
        <v>715</v>
      </c>
      <c r="Y133" s="53" t="str">
        <f t="shared" si="3"/>
        <v>Ativo</v>
      </c>
      <c r="Z133" s="126"/>
      <c r="AA133" s="94" t="str">
        <f t="shared" si="4"/>
        <v/>
      </c>
      <c r="AB133" s="13" t="s">
        <v>95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2376</v>
      </c>
      <c r="B134" s="221" t="s">
        <v>2754</v>
      </c>
      <c r="C134" s="204" t="s">
        <v>2755</v>
      </c>
      <c r="D134" s="312" t="s">
        <v>18</v>
      </c>
      <c r="E134" s="312" t="s">
        <v>145</v>
      </c>
      <c r="F134" s="312" t="s">
        <v>171</v>
      </c>
      <c r="G134" s="47" t="str">
        <f t="shared" si="1"/>
        <v>Augusto</v>
      </c>
      <c r="H134" s="323" t="s">
        <v>157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60</v>
      </c>
      <c r="N134" s="325">
        <v>0.007</v>
      </c>
      <c r="O134" s="312" t="s">
        <v>2381</v>
      </c>
      <c r="P134" s="315">
        <v>0.0</v>
      </c>
      <c r="Q134" s="312" t="str">
        <f>IFERROR(VLOOKUP(F134,'Cadastro de assessores'!A:B,2,FALSE),"Não Cadastrado")</f>
        <v>28411</v>
      </c>
      <c r="R134" s="94" t="s">
        <v>88</v>
      </c>
      <c r="S134" s="324">
        <v>44239.0</v>
      </c>
      <c r="T134" s="75"/>
      <c r="U134" s="156" t="s">
        <v>2756</v>
      </c>
      <c r="V134" s="24" t="s">
        <v>329</v>
      </c>
      <c r="W134" s="13" t="s">
        <v>2757</v>
      </c>
      <c r="X134" s="151" t="s">
        <v>149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95</v>
      </c>
      <c r="AC134" s="94"/>
      <c r="AD134" s="94" t="s">
        <v>2599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2376</v>
      </c>
      <c r="B135" s="63" t="s">
        <v>2758</v>
      </c>
      <c r="C135" s="137" t="s">
        <v>2759</v>
      </c>
      <c r="D135" s="312" t="s">
        <v>18</v>
      </c>
      <c r="E135" s="312" t="s">
        <v>29</v>
      </c>
      <c r="F135" s="312" t="s">
        <v>2760</v>
      </c>
      <c r="G135" s="47" t="str">
        <f t="shared" si="1"/>
        <v>Augusto</v>
      </c>
      <c r="H135" s="152" t="s">
        <v>116</v>
      </c>
      <c r="I135" s="53" t="s">
        <v>161</v>
      </c>
      <c r="J135" s="312" t="str">
        <f t="shared" si="2"/>
        <v>Não</v>
      </c>
      <c r="K135" s="324">
        <v>45021.0</v>
      </c>
      <c r="L135" s="94"/>
      <c r="M135" s="94" t="s">
        <v>111</v>
      </c>
      <c r="N135" s="314">
        <v>0.015</v>
      </c>
      <c r="O135" s="312" t="s">
        <v>46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89</v>
      </c>
      <c r="W135" s="5" t="s">
        <v>2761</v>
      </c>
      <c r="X135" s="5" t="s">
        <v>121</v>
      </c>
      <c r="Y135" s="53" t="str">
        <f t="shared" si="3"/>
        <v>Ativo</v>
      </c>
      <c r="Z135" s="126"/>
      <c r="AA135" s="94" t="str">
        <f t="shared" si="4"/>
        <v/>
      </c>
      <c r="AB135" s="13" t="s">
        <v>95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2376</v>
      </c>
      <c r="B136" s="221" t="s">
        <v>928</v>
      </c>
      <c r="C136" s="204" t="s">
        <v>2762</v>
      </c>
      <c r="D136" s="312" t="s">
        <v>18</v>
      </c>
      <c r="E136" s="312" t="s">
        <v>145</v>
      </c>
      <c r="F136" s="312" t="s">
        <v>478</v>
      </c>
      <c r="G136" s="47" t="str">
        <f t="shared" si="1"/>
        <v>Bruno</v>
      </c>
      <c r="H136" s="323" t="s">
        <v>88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60</v>
      </c>
      <c r="N136" s="325">
        <v>0.007</v>
      </c>
      <c r="O136" s="312" t="s">
        <v>2381</v>
      </c>
      <c r="P136" s="315">
        <v>0.0</v>
      </c>
      <c r="Q136" s="312">
        <f>IFERROR(VLOOKUP(F136,'Cadastro de assessores'!A:B,2,FALSE),"Não Cadastrado")</f>
        <v>12362</v>
      </c>
      <c r="R136" s="94" t="s">
        <v>88</v>
      </c>
      <c r="S136" s="324">
        <v>44622.0</v>
      </c>
      <c r="T136" s="327" t="s">
        <v>2763</v>
      </c>
      <c r="U136" s="156"/>
      <c r="V136" s="24" t="s">
        <v>89</v>
      </c>
      <c r="W136" s="13" t="s">
        <v>931</v>
      </c>
      <c r="X136" s="151" t="s">
        <v>180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91</v>
      </c>
      <c r="AC136" s="94"/>
      <c r="AD136" s="94" t="s">
        <v>2590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2376</v>
      </c>
      <c r="B137" s="63" t="s">
        <v>928</v>
      </c>
      <c r="C137" s="357" t="s">
        <v>2764</v>
      </c>
      <c r="D137" s="312" t="s">
        <v>18</v>
      </c>
      <c r="E137" s="312" t="s">
        <v>145</v>
      </c>
      <c r="F137" s="94" t="s">
        <v>478</v>
      </c>
      <c r="G137" s="47" t="str">
        <f t="shared" si="1"/>
        <v>Augusto</v>
      </c>
      <c r="H137" s="323" t="s">
        <v>157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60</v>
      </c>
      <c r="N137" s="325">
        <v>0.007</v>
      </c>
      <c r="O137" s="312" t="s">
        <v>2381</v>
      </c>
      <c r="P137" s="315">
        <v>0.0</v>
      </c>
      <c r="Q137" s="94">
        <f>IFERROR(VLOOKUP(F137,'Cadastro de assessores'!A:B,2,FALSE),"Não Cadastrado")</f>
        <v>12362</v>
      </c>
      <c r="R137" s="94" t="s">
        <v>2393</v>
      </c>
      <c r="S137" s="324">
        <v>44603.0</v>
      </c>
      <c r="T137" s="156"/>
      <c r="U137" s="156"/>
      <c r="V137" s="24" t="s">
        <v>89</v>
      </c>
      <c r="W137" s="5" t="s">
        <v>931</v>
      </c>
      <c r="X137" s="151" t="s">
        <v>180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2590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2396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2376</v>
      </c>
      <c r="B138" s="63" t="s">
        <v>928</v>
      </c>
      <c r="C138" s="357" t="s">
        <v>2765</v>
      </c>
      <c r="D138" s="312" t="s">
        <v>18</v>
      </c>
      <c r="E138" s="312" t="s">
        <v>145</v>
      </c>
      <c r="F138" s="94" t="s">
        <v>478</v>
      </c>
      <c r="G138" s="47" t="str">
        <f t="shared" si="1"/>
        <v>Augusto</v>
      </c>
      <c r="H138" s="323" t="s">
        <v>157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2743</v>
      </c>
      <c r="N138" s="325">
        <v>0.01</v>
      </c>
      <c r="O138" s="312" t="s">
        <v>2381</v>
      </c>
      <c r="P138" s="315">
        <v>0.0</v>
      </c>
      <c r="Q138" s="94">
        <f>IFERROR(VLOOKUP(F138,'Cadastro de assessores'!A:B,2,FALSE),"Não Cadastrado")</f>
        <v>12362</v>
      </c>
      <c r="R138" s="94" t="s">
        <v>2393</v>
      </c>
      <c r="S138" s="324">
        <v>44603.0</v>
      </c>
      <c r="T138" s="156"/>
      <c r="U138" s="156"/>
      <c r="V138" s="24" t="s">
        <v>89</v>
      </c>
      <c r="W138" s="5" t="s">
        <v>931</v>
      </c>
      <c r="X138" s="151" t="s">
        <v>180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2590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2396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2376</v>
      </c>
      <c r="B139" s="335" t="s">
        <v>2766</v>
      </c>
      <c r="C139" s="322" t="s">
        <v>2767</v>
      </c>
      <c r="D139" s="312" t="s">
        <v>18</v>
      </c>
      <c r="E139" s="312" t="s">
        <v>145</v>
      </c>
      <c r="F139" s="312" t="s">
        <v>146</v>
      </c>
      <c r="G139" s="47" t="str">
        <f t="shared" si="1"/>
        <v>Augusto</v>
      </c>
      <c r="H139" s="323" t="s">
        <v>157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243</v>
      </c>
      <c r="N139" s="325">
        <v>0.02</v>
      </c>
      <c r="O139" s="312" t="s">
        <v>46</v>
      </c>
      <c r="P139" s="315">
        <v>0.2</v>
      </c>
      <c r="Q139" s="312" t="str">
        <f>IFERROR(VLOOKUP(F139,'Cadastro de assessores'!A:B,2,FALSE),"Não Cadastrado")</f>
        <v>250</v>
      </c>
      <c r="R139" s="94" t="s">
        <v>88</v>
      </c>
      <c r="S139" s="313">
        <v>44260.0</v>
      </c>
      <c r="T139" s="156"/>
      <c r="U139" s="156"/>
      <c r="V139" s="24" t="s">
        <v>89</v>
      </c>
      <c r="W139" s="317" t="s">
        <v>2768</v>
      </c>
      <c r="X139" s="151" t="s">
        <v>149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95</v>
      </c>
      <c r="AC139" s="94"/>
      <c r="AD139" s="94" t="s">
        <v>2439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2376</v>
      </c>
      <c r="B140" s="221" t="s">
        <v>2769</v>
      </c>
      <c r="C140" s="322" t="s">
        <v>2770</v>
      </c>
      <c r="D140" s="312" t="s">
        <v>2379</v>
      </c>
      <c r="E140" s="312" t="s">
        <v>29</v>
      </c>
      <c r="F140" s="94" t="s">
        <v>2380</v>
      </c>
      <c r="G140" s="47" t="str">
        <f t="shared" si="1"/>
        <v>Augusto</v>
      </c>
      <c r="H140" s="323" t="s">
        <v>157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111</v>
      </c>
      <c r="N140" s="325">
        <v>0.012</v>
      </c>
      <c r="O140" s="312" t="s">
        <v>46</v>
      </c>
      <c r="P140" s="315">
        <v>0.1</v>
      </c>
      <c r="Q140" s="94" t="str">
        <f>IFERROR(VLOOKUP(F140,'Cadastro de assessores'!A:B,2,FALSE),"Não Cadastrado")</f>
        <v>17573</v>
      </c>
      <c r="R140" s="94" t="s">
        <v>2393</v>
      </c>
      <c r="S140" s="324">
        <v>43888.0</v>
      </c>
      <c r="T140" s="156"/>
      <c r="U140" s="156"/>
      <c r="V140" s="24" t="s">
        <v>89</v>
      </c>
      <c r="W140" s="13" t="s">
        <v>2644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2771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2396</v>
      </c>
      <c r="BJ140" s="158">
        <v>0.0</v>
      </c>
      <c r="BK140" s="158" t="s">
        <v>2396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2376</v>
      </c>
      <c r="B141" s="221" t="s">
        <v>2772</v>
      </c>
      <c r="C141" s="322" t="s">
        <v>2773</v>
      </c>
      <c r="D141" s="312" t="s">
        <v>18</v>
      </c>
      <c r="E141" s="312" t="s">
        <v>145</v>
      </c>
      <c r="F141" s="94" t="s">
        <v>146</v>
      </c>
      <c r="G141" s="47" t="str">
        <f t="shared" si="1"/>
        <v>Augusto</v>
      </c>
      <c r="H141" s="323" t="s">
        <v>157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2774</v>
      </c>
      <c r="N141" s="325">
        <v>0.02</v>
      </c>
      <c r="O141" s="312" t="s">
        <v>46</v>
      </c>
      <c r="P141" s="315">
        <v>0.2</v>
      </c>
      <c r="Q141" s="94" t="str">
        <f>IFERROR(VLOOKUP(F141,'Cadastro de assessores'!A:B,2,FALSE),"Não Cadastrado")</f>
        <v>250</v>
      </c>
      <c r="R141" s="94" t="s">
        <v>2393</v>
      </c>
      <c r="S141" s="324">
        <v>44272.0</v>
      </c>
      <c r="T141" s="316"/>
      <c r="U141" s="156"/>
      <c r="V141" s="24" t="s">
        <v>89</v>
      </c>
      <c r="W141" s="13" t="s">
        <v>2775</v>
      </c>
      <c r="X141" s="94" t="s">
        <v>149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2439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2396</v>
      </c>
      <c r="BJ141" s="158">
        <v>0.0</v>
      </c>
      <c r="BK141" s="158" t="s">
        <v>2396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2376</v>
      </c>
      <c r="B142" s="225" t="s">
        <v>2776</v>
      </c>
      <c r="C142" s="322" t="s">
        <v>2777</v>
      </c>
      <c r="D142" s="312" t="s">
        <v>2379</v>
      </c>
      <c r="E142" s="312" t="s">
        <v>29</v>
      </c>
      <c r="F142" s="94" t="s">
        <v>2392</v>
      </c>
      <c r="G142" s="47" t="str">
        <f t="shared" si="1"/>
        <v>Augusto</v>
      </c>
      <c r="H142" s="323" t="s">
        <v>157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162</v>
      </c>
      <c r="N142" s="325">
        <v>0.02</v>
      </c>
      <c r="O142" s="312" t="s">
        <v>163</v>
      </c>
      <c r="P142" s="315">
        <v>0.2</v>
      </c>
      <c r="Q142" s="94" t="str">
        <f>IFERROR(VLOOKUP(F142,'Cadastro de assessores'!A:B,2,FALSE),"Não Cadastrado")</f>
        <v>2971</v>
      </c>
      <c r="R142" s="94" t="s">
        <v>2393</v>
      </c>
      <c r="S142" s="324">
        <v>43531.0</v>
      </c>
      <c r="T142" s="156"/>
      <c r="U142" s="156"/>
      <c r="V142" s="24" t="s">
        <v>89</v>
      </c>
      <c r="W142" s="13" t="s">
        <v>2778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2453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2396</v>
      </c>
      <c r="BJ142" s="158">
        <v>0.0</v>
      </c>
      <c r="BK142" s="158" t="s">
        <v>2396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2376</v>
      </c>
      <c r="B143" s="221" t="s">
        <v>2776</v>
      </c>
      <c r="C143" s="311" t="s">
        <v>2779</v>
      </c>
      <c r="D143" s="312" t="s">
        <v>2379</v>
      </c>
      <c r="E143" s="312" t="s">
        <v>29</v>
      </c>
      <c r="F143" s="312" t="s">
        <v>2392</v>
      </c>
      <c r="G143" s="47" t="str">
        <f t="shared" si="1"/>
        <v>Augusto</v>
      </c>
      <c r="H143" s="323" t="s">
        <v>116</v>
      </c>
      <c r="I143" s="53" t="s">
        <v>161</v>
      </c>
      <c r="J143" s="312" t="str">
        <f t="shared" si="2"/>
        <v>Sim</v>
      </c>
      <c r="K143" s="313">
        <v>43531.0</v>
      </c>
      <c r="L143" s="94"/>
      <c r="M143" s="13" t="s">
        <v>652</v>
      </c>
      <c r="N143" s="325">
        <v>0.015</v>
      </c>
      <c r="O143" s="312" t="s">
        <v>2381</v>
      </c>
      <c r="P143" s="315">
        <v>0.0</v>
      </c>
      <c r="Q143" s="312" t="str">
        <f>IFERROR(VLOOKUP(F143,'Cadastro de assessores'!A:B,2,FALSE),"Não Cadastrado")</f>
        <v>2971</v>
      </c>
      <c r="R143" s="94" t="s">
        <v>88</v>
      </c>
      <c r="S143" s="313">
        <v>43531.0</v>
      </c>
      <c r="T143" s="327" t="s">
        <v>2780</v>
      </c>
      <c r="U143" s="336" t="s">
        <v>2781</v>
      </c>
      <c r="V143" s="24" t="s">
        <v>89</v>
      </c>
      <c r="W143" s="13" t="s">
        <v>2778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91</v>
      </c>
      <c r="AC143" s="94"/>
      <c r="AD143" s="94" t="s">
        <v>2453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2376</v>
      </c>
      <c r="B144" s="225" t="s">
        <v>2776</v>
      </c>
      <c r="C144" s="322" t="s">
        <v>2782</v>
      </c>
      <c r="D144" s="312" t="s">
        <v>2379</v>
      </c>
      <c r="E144" s="312" t="s">
        <v>29</v>
      </c>
      <c r="F144" s="94" t="s">
        <v>2392</v>
      </c>
      <c r="G144" s="47" t="str">
        <f t="shared" si="1"/>
        <v>Augusto</v>
      </c>
      <c r="H144" s="323" t="s">
        <v>157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162</v>
      </c>
      <c r="N144" s="325">
        <v>0.025</v>
      </c>
      <c r="O144" s="312" t="s">
        <v>163</v>
      </c>
      <c r="P144" s="315">
        <v>0.2</v>
      </c>
      <c r="Q144" s="94" t="str">
        <f>IFERROR(VLOOKUP(F144,'Cadastro de assessores'!A:B,2,FALSE),"Não Cadastrado")</f>
        <v>2971</v>
      </c>
      <c r="R144" s="94" t="s">
        <v>2393</v>
      </c>
      <c r="S144" s="324">
        <v>43550.0</v>
      </c>
      <c r="T144" s="156"/>
      <c r="U144" s="156"/>
      <c r="V144" s="24" t="s">
        <v>89</v>
      </c>
      <c r="W144" s="13" t="s">
        <v>2778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2453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2396</v>
      </c>
      <c r="BJ144" s="158">
        <v>0.0</v>
      </c>
      <c r="BK144" s="158" t="s">
        <v>2396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2376</v>
      </c>
      <c r="B145" s="225" t="s">
        <v>2783</v>
      </c>
      <c r="C145" s="322" t="s">
        <v>2784</v>
      </c>
      <c r="D145" s="312" t="s">
        <v>2489</v>
      </c>
      <c r="E145" s="312" t="s">
        <v>29</v>
      </c>
      <c r="F145" s="94" t="s">
        <v>2489</v>
      </c>
      <c r="G145" s="47" t="str">
        <f t="shared" si="1"/>
        <v>Augusto</v>
      </c>
      <c r="H145" s="323" t="s">
        <v>157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162</v>
      </c>
      <c r="N145" s="325">
        <v>0.025</v>
      </c>
      <c r="O145" s="312" t="s">
        <v>163</v>
      </c>
      <c r="P145" s="315">
        <v>0.2</v>
      </c>
      <c r="Q145" s="94" t="str">
        <f>IFERROR(VLOOKUP(F145,'Cadastro de assessores'!A:B,2,FALSE),"Não Cadastrado")</f>
        <v>22400</v>
      </c>
      <c r="R145" s="94" t="s">
        <v>2393</v>
      </c>
      <c r="S145" s="324">
        <v>43875.0</v>
      </c>
      <c r="T145" s="156"/>
      <c r="U145" s="156"/>
      <c r="V145" s="24" t="s">
        <v>89</v>
      </c>
      <c r="W145" s="13" t="s">
        <v>2785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95</v>
      </c>
      <c r="AC145" s="94"/>
      <c r="AD145" s="94" t="s">
        <v>2432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2396</v>
      </c>
      <c r="BJ145" s="158">
        <v>0.0</v>
      </c>
      <c r="BK145" s="158" t="s">
        <v>2396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2376</v>
      </c>
      <c r="B146" s="63" t="s">
        <v>954</v>
      </c>
      <c r="C146" s="321" t="s">
        <v>2786</v>
      </c>
      <c r="D146" s="312" t="s">
        <v>18</v>
      </c>
      <c r="E146" s="312" t="s">
        <v>145</v>
      </c>
      <c r="F146" s="92" t="s">
        <v>171</v>
      </c>
      <c r="G146" s="47" t="str">
        <f t="shared" si="1"/>
        <v>Augusto</v>
      </c>
      <c r="H146" s="152" t="s">
        <v>116</v>
      </c>
      <c r="I146" s="53" t="s">
        <v>161</v>
      </c>
      <c r="J146" s="312" t="str">
        <f t="shared" si="2"/>
        <v>Não</v>
      </c>
      <c r="K146" s="74">
        <v>44421.0</v>
      </c>
      <c r="L146" s="94"/>
      <c r="M146" s="94" t="s">
        <v>111</v>
      </c>
      <c r="N146" s="325">
        <v>0.015</v>
      </c>
      <c r="O146" s="312" t="s">
        <v>46</v>
      </c>
      <c r="P146" s="315">
        <v>0.1</v>
      </c>
      <c r="Q146" s="92" t="str">
        <f>IFERROR(VLOOKUP(F146,'Cadastro de assessores'!A:B,2,FALSE),"Não Cadastrado")</f>
        <v>28411</v>
      </c>
      <c r="R146" s="94" t="s">
        <v>88</v>
      </c>
      <c r="S146" s="74">
        <v>44418.0</v>
      </c>
      <c r="T146" s="65"/>
      <c r="U146" s="62" t="s">
        <v>2787</v>
      </c>
      <c r="V146" s="24" t="s">
        <v>89</v>
      </c>
      <c r="W146" s="5" t="s">
        <v>957</v>
      </c>
      <c r="X146" s="151" t="s">
        <v>149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95</v>
      </c>
      <c r="AC146" s="94"/>
      <c r="AD146" s="94" t="s">
        <v>2439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2376</v>
      </c>
      <c r="B147" s="63" t="s">
        <v>2788</v>
      </c>
      <c r="C147" s="151">
        <v>4575859.0</v>
      </c>
      <c r="D147" s="312" t="s">
        <v>18</v>
      </c>
      <c r="E147" s="312" t="s">
        <v>145</v>
      </c>
      <c r="F147" s="151" t="s">
        <v>171</v>
      </c>
      <c r="G147" s="47" t="str">
        <f t="shared" si="1"/>
        <v>Augusto</v>
      </c>
      <c r="H147" s="323" t="s">
        <v>157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111</v>
      </c>
      <c r="N147" s="325">
        <v>0.015</v>
      </c>
      <c r="O147" s="312" t="s">
        <v>46</v>
      </c>
      <c r="P147" s="315">
        <v>0.1</v>
      </c>
      <c r="Q147" s="151" t="str">
        <f>IFERROR(VLOOKUP(F147,'Cadastro de assessores'!A:B,2,FALSE),"Não Cadastrado")</f>
        <v>28411</v>
      </c>
      <c r="R147" s="94" t="s">
        <v>2393</v>
      </c>
      <c r="S147" s="324">
        <v>44503.0</v>
      </c>
      <c r="T147" s="156"/>
      <c r="U147" s="156"/>
      <c r="V147" s="24" t="s">
        <v>89</v>
      </c>
      <c r="W147" s="5" t="s">
        <v>2789</v>
      </c>
      <c r="X147" s="151" t="s">
        <v>149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2790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2396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2376</v>
      </c>
      <c r="B148" s="63" t="s">
        <v>2788</v>
      </c>
      <c r="C148" s="151">
        <v>4576103.0</v>
      </c>
      <c r="D148" s="312" t="s">
        <v>18</v>
      </c>
      <c r="E148" s="312" t="s">
        <v>145</v>
      </c>
      <c r="F148" s="151" t="s">
        <v>171</v>
      </c>
      <c r="G148" s="47" t="str">
        <f t="shared" si="1"/>
        <v>Augusto</v>
      </c>
      <c r="H148" s="323" t="s">
        <v>157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111</v>
      </c>
      <c r="N148" s="325">
        <v>0.015</v>
      </c>
      <c r="O148" s="312" t="s">
        <v>46</v>
      </c>
      <c r="P148" s="315">
        <v>0.1</v>
      </c>
      <c r="Q148" s="151" t="str">
        <f>IFERROR(VLOOKUP(F148,'Cadastro de assessores'!A:B,2,FALSE),"Não Cadastrado")</f>
        <v>28411</v>
      </c>
      <c r="R148" s="94" t="s">
        <v>2393</v>
      </c>
      <c r="S148" s="324">
        <v>44503.0</v>
      </c>
      <c r="T148" s="156"/>
      <c r="U148" s="156"/>
      <c r="V148" s="24" t="s">
        <v>89</v>
      </c>
      <c r="W148" s="5" t="s">
        <v>2789</v>
      </c>
      <c r="X148" s="151" t="s">
        <v>149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2790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2396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2376</v>
      </c>
      <c r="B149" s="63" t="s">
        <v>2788</v>
      </c>
      <c r="C149" s="151">
        <v>4576138.0</v>
      </c>
      <c r="D149" s="312" t="s">
        <v>18</v>
      </c>
      <c r="E149" s="312" t="s">
        <v>145</v>
      </c>
      <c r="F149" s="151" t="s">
        <v>171</v>
      </c>
      <c r="G149" s="47" t="str">
        <f t="shared" si="1"/>
        <v>Augusto</v>
      </c>
      <c r="H149" s="323" t="s">
        <v>157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111</v>
      </c>
      <c r="N149" s="325">
        <v>0.015</v>
      </c>
      <c r="O149" s="312" t="s">
        <v>46</v>
      </c>
      <c r="P149" s="315">
        <v>0.1</v>
      </c>
      <c r="Q149" s="151" t="str">
        <f>IFERROR(VLOOKUP(F149,'Cadastro de assessores'!A:B,2,FALSE),"Não Cadastrado")</f>
        <v>28411</v>
      </c>
      <c r="R149" s="94" t="s">
        <v>2393</v>
      </c>
      <c r="S149" s="324">
        <v>44503.0</v>
      </c>
      <c r="T149" s="156"/>
      <c r="U149" s="156"/>
      <c r="V149" s="24" t="s">
        <v>89</v>
      </c>
      <c r="W149" s="5" t="s">
        <v>2789</v>
      </c>
      <c r="X149" s="151" t="s">
        <v>149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2790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2396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2376</v>
      </c>
      <c r="B150" s="63" t="s">
        <v>2788</v>
      </c>
      <c r="C150" s="151">
        <v>4576189.0</v>
      </c>
      <c r="D150" s="312" t="s">
        <v>18</v>
      </c>
      <c r="E150" s="312" t="s">
        <v>145</v>
      </c>
      <c r="F150" s="151" t="s">
        <v>171</v>
      </c>
      <c r="G150" s="47" t="str">
        <f t="shared" si="1"/>
        <v>Augusto</v>
      </c>
      <c r="H150" s="323" t="s">
        <v>157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111</v>
      </c>
      <c r="N150" s="325">
        <v>0.015</v>
      </c>
      <c r="O150" s="312" t="s">
        <v>46</v>
      </c>
      <c r="P150" s="315">
        <v>0.1</v>
      </c>
      <c r="Q150" s="151" t="str">
        <f>IFERROR(VLOOKUP(F150,'Cadastro de assessores'!A:B,2,FALSE),"Não Cadastrado")</f>
        <v>28411</v>
      </c>
      <c r="R150" s="94" t="s">
        <v>2393</v>
      </c>
      <c r="S150" s="324">
        <v>44503.0</v>
      </c>
      <c r="T150" s="156"/>
      <c r="U150" s="156"/>
      <c r="V150" s="24" t="s">
        <v>89</v>
      </c>
      <c r="W150" s="5" t="s">
        <v>2789</v>
      </c>
      <c r="X150" s="151" t="s">
        <v>149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2790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2396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2376</v>
      </c>
      <c r="B151" s="45" t="s">
        <v>2791</v>
      </c>
      <c r="C151" s="24">
        <v>4576189.0</v>
      </c>
      <c r="D151" s="312" t="s">
        <v>18</v>
      </c>
      <c r="E151" s="312" t="s">
        <v>145</v>
      </c>
      <c r="F151" s="24" t="s">
        <v>146</v>
      </c>
      <c r="G151" s="47" t="str">
        <f t="shared" si="1"/>
        <v>Augusto</v>
      </c>
      <c r="H151" s="323" t="s">
        <v>157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111</v>
      </c>
      <c r="N151" s="116">
        <v>0.015</v>
      </c>
      <c r="O151" s="312" t="s">
        <v>46</v>
      </c>
      <c r="P151" s="315">
        <v>0.1</v>
      </c>
      <c r="Q151" s="24" t="str">
        <f>IFERROR(VLOOKUP(F151,'Cadastro de assessores'!A:B,2,FALSE),"Não Cadastrado")</f>
        <v>250</v>
      </c>
      <c r="R151" s="24" t="s">
        <v>2393</v>
      </c>
      <c r="S151" s="74">
        <v>44333.0</v>
      </c>
      <c r="T151" s="75"/>
      <c r="U151" s="75"/>
      <c r="V151" s="24" t="s">
        <v>89</v>
      </c>
      <c r="W151" s="5" t="s">
        <v>2792</v>
      </c>
      <c r="X151" s="24" t="s">
        <v>149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2389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2396</v>
      </c>
      <c r="BJ151" s="172">
        <v>0.0</v>
      </c>
      <c r="BK151" s="172" t="s">
        <v>2396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2376</v>
      </c>
      <c r="B152" s="221" t="s">
        <v>2793</v>
      </c>
      <c r="C152" s="322" t="s">
        <v>2794</v>
      </c>
      <c r="D152" s="312" t="s">
        <v>2379</v>
      </c>
      <c r="E152" s="312" t="s">
        <v>29</v>
      </c>
      <c r="F152" s="94" t="s">
        <v>2380</v>
      </c>
      <c r="G152" s="47" t="str">
        <f t="shared" si="1"/>
        <v>Augusto</v>
      </c>
      <c r="H152" s="323" t="s">
        <v>157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45</v>
      </c>
      <c r="N152" s="325">
        <v>0.012</v>
      </c>
      <c r="O152" s="312" t="s">
        <v>2381</v>
      </c>
      <c r="P152" s="315">
        <v>0.0</v>
      </c>
      <c r="Q152" s="94" t="str">
        <f>IFERROR(VLOOKUP(F152,'Cadastro de assessores'!A:B,2,FALSE),"Não Cadastrado")</f>
        <v>17573</v>
      </c>
      <c r="R152" s="94" t="s">
        <v>2393</v>
      </c>
      <c r="S152" s="324">
        <v>43859.0</v>
      </c>
      <c r="T152" s="156"/>
      <c r="U152" s="156"/>
      <c r="V152" s="24" t="s">
        <v>89</v>
      </c>
      <c r="W152" s="13" t="s">
        <v>2795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2486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2396</v>
      </c>
      <c r="BJ152" s="158">
        <v>0.0</v>
      </c>
      <c r="BK152" s="158" t="s">
        <v>2396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2376</v>
      </c>
      <c r="B153" s="225" t="s">
        <v>2796</v>
      </c>
      <c r="C153" s="322" t="s">
        <v>2797</v>
      </c>
      <c r="D153" s="312" t="s">
        <v>18</v>
      </c>
      <c r="E153" s="312" t="s">
        <v>29</v>
      </c>
      <c r="F153" s="94" t="s">
        <v>110</v>
      </c>
      <c r="G153" s="47" t="str">
        <f t="shared" si="1"/>
        <v>Augusto</v>
      </c>
      <c r="H153" s="323" t="s">
        <v>157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243</v>
      </c>
      <c r="N153" s="325">
        <v>0.01</v>
      </c>
      <c r="O153" s="312" t="s">
        <v>46</v>
      </c>
      <c r="P153" s="315">
        <v>0.2</v>
      </c>
      <c r="Q153" s="94">
        <f>IFERROR(VLOOKUP(F153,'Cadastro de assessores'!A:B,2,FALSE),"Não Cadastrado")</f>
        <v>12332</v>
      </c>
      <c r="R153" s="94" t="s">
        <v>2393</v>
      </c>
      <c r="S153" s="329">
        <v>43420.0</v>
      </c>
      <c r="T153" s="368"/>
      <c r="U153" s="156" t="s">
        <v>2798</v>
      </c>
      <c r="V153" s="24" t="s">
        <v>89</v>
      </c>
      <c r="W153" s="13" t="s">
        <v>2799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2771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2396</v>
      </c>
      <c r="BJ153" s="158">
        <v>0.0</v>
      </c>
      <c r="BK153" s="158" t="s">
        <v>2396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2376</v>
      </c>
      <c r="B154" s="45" t="s">
        <v>2800</v>
      </c>
      <c r="C154" s="321" t="s">
        <v>2801</v>
      </c>
      <c r="D154" s="312" t="s">
        <v>18</v>
      </c>
      <c r="E154" s="312" t="s">
        <v>145</v>
      </c>
      <c r="F154" s="312" t="s">
        <v>146</v>
      </c>
      <c r="G154" s="47" t="str">
        <f t="shared" si="1"/>
        <v>Augusto</v>
      </c>
      <c r="H154" s="323" t="s">
        <v>157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111</v>
      </c>
      <c r="N154" s="116">
        <v>0.015</v>
      </c>
      <c r="O154" s="312" t="s">
        <v>46</v>
      </c>
      <c r="P154" s="315">
        <v>0.1</v>
      </c>
      <c r="Q154" s="312" t="str">
        <f>IFERROR(VLOOKUP(F154,'Cadastro de assessores'!A:B,2,FALSE),"Não Cadastrado")</f>
        <v>250</v>
      </c>
      <c r="R154" s="312" t="s">
        <v>88</v>
      </c>
      <c r="S154" s="313">
        <v>44321.0</v>
      </c>
      <c r="T154" s="52"/>
      <c r="U154" s="52"/>
      <c r="V154" s="24" t="s">
        <v>89</v>
      </c>
      <c r="W154" s="5" t="s">
        <v>2802</v>
      </c>
      <c r="X154" s="151" t="s">
        <v>149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95</v>
      </c>
      <c r="AC154" s="94"/>
      <c r="AD154" s="94" t="s">
        <v>2439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2376</v>
      </c>
      <c r="B155" s="45" t="s">
        <v>2803</v>
      </c>
      <c r="C155" s="357" t="s">
        <v>2804</v>
      </c>
      <c r="D155" s="312" t="s">
        <v>18</v>
      </c>
      <c r="E155" s="312" t="s">
        <v>145</v>
      </c>
      <c r="F155" s="94" t="s">
        <v>171</v>
      </c>
      <c r="G155" s="47" t="str">
        <f t="shared" si="1"/>
        <v>Augusto</v>
      </c>
      <c r="H155" s="323" t="s">
        <v>157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243</v>
      </c>
      <c r="N155" s="325">
        <v>0.02</v>
      </c>
      <c r="O155" s="312" t="s">
        <v>46</v>
      </c>
      <c r="P155" s="315">
        <v>0.2</v>
      </c>
      <c r="Q155" s="94" t="str">
        <f>IFERROR(VLOOKUP(F155,'Cadastro de assessores'!A:B,2,FALSE),"Não Cadastrado")</f>
        <v>28411</v>
      </c>
      <c r="R155" s="94" t="s">
        <v>2393</v>
      </c>
      <c r="S155" s="324">
        <v>44319.0</v>
      </c>
      <c r="T155" s="156"/>
      <c r="U155" s="156"/>
      <c r="V155" s="24" t="s">
        <v>89</v>
      </c>
      <c r="W155" s="5" t="s">
        <v>2805</v>
      </c>
      <c r="X155" s="151" t="s">
        <v>149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2439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2396</v>
      </c>
      <c r="BJ155" s="158">
        <v>0.0</v>
      </c>
      <c r="BK155" s="158" t="s">
        <v>2396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2376</v>
      </c>
      <c r="B156" s="310" t="s">
        <v>2806</v>
      </c>
      <c r="C156" s="322" t="s">
        <v>2807</v>
      </c>
      <c r="D156" s="312" t="s">
        <v>18</v>
      </c>
      <c r="E156" s="312" t="s">
        <v>145</v>
      </c>
      <c r="F156" s="94" t="s">
        <v>171</v>
      </c>
      <c r="G156" s="47" t="str">
        <f t="shared" si="1"/>
        <v>Augusto</v>
      </c>
      <c r="H156" s="323" t="s">
        <v>116</v>
      </c>
      <c r="I156" s="53" t="s">
        <v>161</v>
      </c>
      <c r="J156" s="312" t="str">
        <f t="shared" si="2"/>
        <v>Sim</v>
      </c>
      <c r="K156" s="313">
        <v>44665.0</v>
      </c>
      <c r="L156" s="94"/>
      <c r="M156" s="94" t="s">
        <v>243</v>
      </c>
      <c r="N156" s="314">
        <v>0.02</v>
      </c>
      <c r="O156" s="312" t="s">
        <v>46</v>
      </c>
      <c r="P156" s="315">
        <v>0.2</v>
      </c>
      <c r="Q156" s="312" t="str">
        <f>IFERROR(VLOOKUP(F156,'Cadastro de assessores'!A:B,2,FALSE),"Não Cadastrado")</f>
        <v>28411</v>
      </c>
      <c r="R156" s="312" t="s">
        <v>88</v>
      </c>
      <c r="S156" s="313">
        <v>44665.0</v>
      </c>
      <c r="T156" s="327" t="s">
        <v>2808</v>
      </c>
      <c r="U156" s="156"/>
      <c r="V156" s="24" t="s">
        <v>89</v>
      </c>
      <c r="W156" s="317" t="s">
        <v>2809</v>
      </c>
      <c r="X156" s="94" t="s">
        <v>149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95</v>
      </c>
      <c r="AC156" s="94"/>
      <c r="AD156" s="94" t="s">
        <v>2508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2376</v>
      </c>
      <c r="B157" s="310" t="s">
        <v>2810</v>
      </c>
      <c r="C157" s="322" t="s">
        <v>2811</v>
      </c>
      <c r="D157" s="312" t="s">
        <v>2379</v>
      </c>
      <c r="E157" s="312" t="s">
        <v>29</v>
      </c>
      <c r="F157" s="312" t="s">
        <v>2380</v>
      </c>
      <c r="G157" s="47" t="str">
        <f t="shared" si="1"/>
        <v>Augusto</v>
      </c>
      <c r="H157" s="152" t="s">
        <v>116</v>
      </c>
      <c r="I157" s="53" t="s">
        <v>161</v>
      </c>
      <c r="J157" s="312" t="str">
        <f t="shared" si="2"/>
        <v>Sim</v>
      </c>
      <c r="K157" s="313">
        <v>43703.0</v>
      </c>
      <c r="L157" s="94"/>
      <c r="M157" s="94" t="s">
        <v>111</v>
      </c>
      <c r="N157" s="314">
        <v>0.01</v>
      </c>
      <c r="O157" s="312" t="s">
        <v>46</v>
      </c>
      <c r="P157" s="315">
        <v>0.1</v>
      </c>
      <c r="Q157" s="312" t="str">
        <f>IFERROR(VLOOKUP(F157,'Cadastro de assessores'!A:B,2,FALSE),"Não Cadastrado")</f>
        <v>17573</v>
      </c>
      <c r="R157" s="312" t="s">
        <v>88</v>
      </c>
      <c r="S157" s="313">
        <v>43703.0</v>
      </c>
      <c r="T157" s="156" t="s">
        <v>2419</v>
      </c>
      <c r="U157" s="316" t="s">
        <v>2812</v>
      </c>
      <c r="V157" s="24" t="s">
        <v>89</v>
      </c>
      <c r="W157" s="317" t="s">
        <v>2813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95</v>
      </c>
      <c r="AC157" s="94"/>
      <c r="AD157" s="94" t="s">
        <v>2671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2376</v>
      </c>
      <c r="B158" s="310" t="s">
        <v>2810</v>
      </c>
      <c r="C158" s="322" t="s">
        <v>2814</v>
      </c>
      <c r="D158" s="312" t="s">
        <v>2379</v>
      </c>
      <c r="E158" s="312" t="s">
        <v>29</v>
      </c>
      <c r="F158" s="312" t="s">
        <v>2380</v>
      </c>
      <c r="G158" s="47" t="str">
        <f t="shared" si="1"/>
        <v>Augusto</v>
      </c>
      <c r="H158" s="152" t="s">
        <v>116</v>
      </c>
      <c r="I158" s="53" t="s">
        <v>161</v>
      </c>
      <c r="J158" s="312" t="str">
        <f t="shared" si="2"/>
        <v>Não</v>
      </c>
      <c r="K158" s="313">
        <v>43704.0</v>
      </c>
      <c r="L158" s="94"/>
      <c r="M158" s="94" t="s">
        <v>45</v>
      </c>
      <c r="N158" s="314">
        <v>0.012</v>
      </c>
      <c r="O158" s="312" t="s">
        <v>2381</v>
      </c>
      <c r="P158" s="315">
        <v>0.0</v>
      </c>
      <c r="Q158" s="312" t="str">
        <f>IFERROR(VLOOKUP(F158,'Cadastro de assessores'!A:B,2,FALSE),"Não Cadastrado")</f>
        <v>17573</v>
      </c>
      <c r="R158" s="312" t="s">
        <v>88</v>
      </c>
      <c r="S158" s="313">
        <v>43704.0</v>
      </c>
      <c r="T158" s="75"/>
      <c r="U158" s="156" t="s">
        <v>2815</v>
      </c>
      <c r="V158" s="24" t="s">
        <v>89</v>
      </c>
      <c r="W158" s="317" t="s">
        <v>2813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95</v>
      </c>
      <c r="AC158" s="94"/>
      <c r="AD158" s="94" t="s">
        <v>2671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2376</v>
      </c>
      <c r="B159" s="221" t="s">
        <v>2816</v>
      </c>
      <c r="C159" s="322" t="s">
        <v>2817</v>
      </c>
      <c r="D159" s="312" t="s">
        <v>2379</v>
      </c>
      <c r="E159" s="312" t="s">
        <v>29</v>
      </c>
      <c r="F159" s="94" t="s">
        <v>2380</v>
      </c>
      <c r="G159" s="47" t="str">
        <f t="shared" si="1"/>
        <v>Augusto</v>
      </c>
      <c r="H159" s="323" t="s">
        <v>157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111</v>
      </c>
      <c r="N159" s="325">
        <v>0.01</v>
      </c>
      <c r="O159" s="312" t="s">
        <v>46</v>
      </c>
      <c r="P159" s="315">
        <v>0.1</v>
      </c>
      <c r="Q159" s="94" t="str">
        <f>IFERROR(VLOOKUP(F159,'Cadastro de assessores'!A:B,2,FALSE),"Não Cadastrado")</f>
        <v>17573</v>
      </c>
      <c r="R159" s="94" t="s">
        <v>2393</v>
      </c>
      <c r="S159" s="324">
        <v>43692.0</v>
      </c>
      <c r="T159" s="156"/>
      <c r="U159" s="75"/>
      <c r="V159" s="24" t="s">
        <v>89</v>
      </c>
      <c r="W159" s="13" t="s">
        <v>2818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2453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2396</v>
      </c>
      <c r="BJ159" s="158">
        <v>0.0</v>
      </c>
      <c r="BK159" s="158" t="s">
        <v>2396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2376</v>
      </c>
      <c r="B160" s="221" t="s">
        <v>2819</v>
      </c>
      <c r="C160" s="322" t="s">
        <v>2820</v>
      </c>
      <c r="D160" s="312" t="s">
        <v>2379</v>
      </c>
      <c r="E160" s="312" t="s">
        <v>29</v>
      </c>
      <c r="F160" s="312" t="s">
        <v>2380</v>
      </c>
      <c r="G160" s="47" t="str">
        <f t="shared" si="1"/>
        <v>Augusto</v>
      </c>
      <c r="H160" s="152" t="s">
        <v>116</v>
      </c>
      <c r="I160" s="53" t="s">
        <v>161</v>
      </c>
      <c r="J160" s="312" t="str">
        <f t="shared" si="2"/>
        <v>Não</v>
      </c>
      <c r="K160" s="313">
        <v>43875.0</v>
      </c>
      <c r="L160" s="94"/>
      <c r="M160" s="94" t="s">
        <v>45</v>
      </c>
      <c r="N160" s="314">
        <v>0.012</v>
      </c>
      <c r="O160" s="312" t="s">
        <v>2381</v>
      </c>
      <c r="P160" s="315">
        <v>0.0</v>
      </c>
      <c r="Q160" s="312" t="str">
        <f>IFERROR(VLOOKUP(F160,'Cadastro de assessores'!A:B,2,FALSE),"Não Cadastrado")</f>
        <v>17573</v>
      </c>
      <c r="R160" s="312" t="s">
        <v>88</v>
      </c>
      <c r="S160" s="313">
        <v>43875.0</v>
      </c>
      <c r="T160" s="156"/>
      <c r="U160" s="156" t="s">
        <v>2821</v>
      </c>
      <c r="V160" s="24" t="s">
        <v>89</v>
      </c>
      <c r="W160" s="13" t="s">
        <v>2822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95</v>
      </c>
      <c r="AC160" s="94"/>
      <c r="AD160" s="94" t="s">
        <v>2432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2376</v>
      </c>
      <c r="B161" s="221" t="s">
        <v>2823</v>
      </c>
      <c r="C161" s="322" t="s">
        <v>2824</v>
      </c>
      <c r="D161" s="312" t="s">
        <v>2379</v>
      </c>
      <c r="E161" s="312" t="s">
        <v>29</v>
      </c>
      <c r="F161" s="94" t="s">
        <v>2392</v>
      </c>
      <c r="G161" s="47" t="str">
        <f t="shared" si="1"/>
        <v>Augusto</v>
      </c>
      <c r="H161" s="323" t="s">
        <v>157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111</v>
      </c>
      <c r="N161" s="325">
        <v>0.015</v>
      </c>
      <c r="O161" s="312" t="s">
        <v>46</v>
      </c>
      <c r="P161" s="315">
        <v>0.1</v>
      </c>
      <c r="Q161" s="94" t="str">
        <f>IFERROR(VLOOKUP(F161,'Cadastro de assessores'!A:B,2,FALSE),"Não Cadastrado")</f>
        <v>2971</v>
      </c>
      <c r="R161" s="94" t="s">
        <v>2393</v>
      </c>
      <c r="S161" s="329">
        <v>43752.0</v>
      </c>
      <c r="T161" s="156"/>
      <c r="U161" s="75"/>
      <c r="V161" s="24" t="s">
        <v>89</v>
      </c>
      <c r="W161" s="13" t="s">
        <v>2825</v>
      </c>
      <c r="X161" s="94" t="s">
        <v>257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2826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2396</v>
      </c>
      <c r="BJ161" s="158">
        <v>0.0</v>
      </c>
      <c r="BK161" s="158" t="s">
        <v>2396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2376</v>
      </c>
      <c r="B162" s="335" t="s">
        <v>1034</v>
      </c>
      <c r="C162" s="322" t="s">
        <v>2827</v>
      </c>
      <c r="D162" s="312" t="s">
        <v>18</v>
      </c>
      <c r="E162" s="312" t="s">
        <v>145</v>
      </c>
      <c r="F162" s="312" t="s">
        <v>146</v>
      </c>
      <c r="G162" s="47" t="str">
        <f t="shared" si="1"/>
        <v>Augusto</v>
      </c>
      <c r="H162" s="323" t="s">
        <v>116</v>
      </c>
      <c r="I162" s="53" t="s">
        <v>161</v>
      </c>
      <c r="J162" s="312" t="str">
        <f t="shared" si="2"/>
        <v>Sim</v>
      </c>
      <c r="K162" s="313">
        <v>44263.0</v>
      </c>
      <c r="L162" s="94"/>
      <c r="M162" s="94" t="s">
        <v>243</v>
      </c>
      <c r="N162" s="314">
        <v>0.02</v>
      </c>
      <c r="O162" s="312" t="s">
        <v>46</v>
      </c>
      <c r="P162" s="315">
        <v>0.2</v>
      </c>
      <c r="Q162" s="312" t="str">
        <f>IFERROR(VLOOKUP(F162,'Cadastro de assessores'!A:B,2,FALSE),"Não Cadastrado")</f>
        <v>250</v>
      </c>
      <c r="R162" s="312" t="s">
        <v>88</v>
      </c>
      <c r="S162" s="313">
        <v>44253.0</v>
      </c>
      <c r="T162" s="327" t="s">
        <v>2828</v>
      </c>
      <c r="U162" s="336" t="s">
        <v>2829</v>
      </c>
      <c r="V162" s="24" t="s">
        <v>89</v>
      </c>
      <c r="W162" s="317" t="s">
        <v>1037</v>
      </c>
      <c r="X162" s="151" t="s">
        <v>149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95</v>
      </c>
      <c r="AC162" s="94"/>
      <c r="AD162" s="94" t="s">
        <v>2459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2376</v>
      </c>
      <c r="B163" s="335" t="s">
        <v>1034</v>
      </c>
      <c r="C163" s="73" t="s">
        <v>2830</v>
      </c>
      <c r="D163" s="312" t="s">
        <v>18</v>
      </c>
      <c r="E163" s="312" t="s">
        <v>145</v>
      </c>
      <c r="F163" s="92" t="s">
        <v>146</v>
      </c>
      <c r="G163" s="47" t="str">
        <f t="shared" si="1"/>
        <v>Augusto</v>
      </c>
      <c r="H163" s="152" t="s">
        <v>116</v>
      </c>
      <c r="I163" s="53" t="s">
        <v>161</v>
      </c>
      <c r="J163" s="312" t="str">
        <f t="shared" si="2"/>
        <v>Não</v>
      </c>
      <c r="K163" s="313">
        <v>44396.0</v>
      </c>
      <c r="L163" s="94"/>
      <c r="M163" s="94" t="s">
        <v>111</v>
      </c>
      <c r="N163" s="314">
        <v>0.015</v>
      </c>
      <c r="O163" s="312" t="s">
        <v>46</v>
      </c>
      <c r="P163" s="315">
        <v>0.1</v>
      </c>
      <c r="Q163" s="92" t="str">
        <f>IFERROR(VLOOKUP(F163,'Cadastro de assessores'!A:B,2,FALSE),"Não Cadastrado")</f>
        <v>250</v>
      </c>
      <c r="R163" s="312" t="s">
        <v>116</v>
      </c>
      <c r="S163" s="313">
        <v>44396.0</v>
      </c>
      <c r="T163" s="52"/>
      <c r="U163" s="52"/>
      <c r="V163" s="24" t="s">
        <v>89</v>
      </c>
      <c r="W163" s="317" t="s">
        <v>1037</v>
      </c>
      <c r="X163" s="151" t="s">
        <v>149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95</v>
      </c>
      <c r="AC163" s="94"/>
      <c r="AD163" s="94" t="s">
        <v>2459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2376</v>
      </c>
      <c r="B164" s="221" t="s">
        <v>1040</v>
      </c>
      <c r="C164" s="321" t="s">
        <v>2831</v>
      </c>
      <c r="D164" s="312" t="s">
        <v>18</v>
      </c>
      <c r="E164" s="312" t="s">
        <v>145</v>
      </c>
      <c r="F164" s="312" t="s">
        <v>2464</v>
      </c>
      <c r="G164" s="47" t="str">
        <f t="shared" si="1"/>
        <v>Augusto</v>
      </c>
      <c r="H164" s="152" t="s">
        <v>116</v>
      </c>
      <c r="I164" s="53" t="s">
        <v>161</v>
      </c>
      <c r="J164" s="312" t="str">
        <f t="shared" si="2"/>
        <v>Não</v>
      </c>
      <c r="K164" s="313">
        <v>44671.0</v>
      </c>
      <c r="L164" s="94"/>
      <c r="M164" s="94" t="s">
        <v>45</v>
      </c>
      <c r="N164" s="314">
        <v>0.012</v>
      </c>
      <c r="O164" s="312" t="s">
        <v>2381</v>
      </c>
      <c r="P164" s="315">
        <v>0.0</v>
      </c>
      <c r="Q164" s="312" t="str">
        <f>IFERROR(VLOOKUP(F164,'Cadastro de assessores'!A:B,2,FALSE),"Não Cadastrado")</f>
        <v>22066</v>
      </c>
      <c r="R164" s="312" t="s">
        <v>88</v>
      </c>
      <c r="S164" s="313">
        <v>44671.0</v>
      </c>
      <c r="T164" s="156"/>
      <c r="U164" s="156"/>
      <c r="V164" s="24" t="s">
        <v>89</v>
      </c>
      <c r="W164" s="13" t="s">
        <v>1042</v>
      </c>
      <c r="X164" s="151" t="s">
        <v>149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95</v>
      </c>
      <c r="AC164" s="94"/>
      <c r="AD164" s="94" t="s">
        <v>2439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2376</v>
      </c>
      <c r="B165" s="221" t="s">
        <v>2832</v>
      </c>
      <c r="C165" s="204" t="s">
        <v>2833</v>
      </c>
      <c r="D165" s="312" t="s">
        <v>18</v>
      </c>
      <c r="E165" s="312" t="s">
        <v>145</v>
      </c>
      <c r="F165" s="94" t="s">
        <v>146</v>
      </c>
      <c r="G165" s="47" t="str">
        <f t="shared" si="1"/>
        <v>Augusto</v>
      </c>
      <c r="H165" s="323" t="s">
        <v>116</v>
      </c>
      <c r="I165" s="53" t="s">
        <v>161</v>
      </c>
      <c r="J165" s="312" t="str">
        <f t="shared" si="2"/>
        <v>Não</v>
      </c>
      <c r="K165" s="313">
        <v>44291.0</v>
      </c>
      <c r="L165" s="94"/>
      <c r="M165" s="94" t="s">
        <v>45</v>
      </c>
      <c r="N165" s="314">
        <v>0.012</v>
      </c>
      <c r="O165" s="312" t="s">
        <v>2381</v>
      </c>
      <c r="P165" s="315">
        <v>0.0</v>
      </c>
      <c r="Q165" s="312" t="str">
        <f>IFERROR(VLOOKUP(F165,'Cadastro de assessores'!A:B,2,FALSE),"Não Cadastrado")</f>
        <v>250</v>
      </c>
      <c r="R165" s="312" t="s">
        <v>88</v>
      </c>
      <c r="S165" s="313">
        <v>44291.0</v>
      </c>
      <c r="T165" s="65"/>
      <c r="U165" s="156" t="s">
        <v>2834</v>
      </c>
      <c r="V165" s="24" t="s">
        <v>89</v>
      </c>
      <c r="W165" s="13" t="s">
        <v>1048</v>
      </c>
      <c r="X165" s="151" t="s">
        <v>149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95</v>
      </c>
      <c r="AC165" s="94"/>
      <c r="AD165" s="94" t="s">
        <v>2439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2376</v>
      </c>
      <c r="B166" s="221" t="s">
        <v>2835</v>
      </c>
      <c r="C166" s="322" t="s">
        <v>2836</v>
      </c>
      <c r="D166" s="312" t="s">
        <v>18</v>
      </c>
      <c r="E166" s="312" t="s">
        <v>145</v>
      </c>
      <c r="F166" s="312" t="s">
        <v>171</v>
      </c>
      <c r="G166" s="47" t="str">
        <f t="shared" si="1"/>
        <v>Augusto</v>
      </c>
      <c r="H166" s="152" t="s">
        <v>116</v>
      </c>
      <c r="I166" s="53" t="s">
        <v>161</v>
      </c>
      <c r="J166" s="312" t="str">
        <f t="shared" si="2"/>
        <v>Não</v>
      </c>
      <c r="K166" s="313">
        <v>44265.0</v>
      </c>
      <c r="L166" s="94"/>
      <c r="M166" s="94" t="s">
        <v>111</v>
      </c>
      <c r="N166" s="314">
        <v>0.015</v>
      </c>
      <c r="O166" s="312" t="s">
        <v>46</v>
      </c>
      <c r="P166" s="315">
        <v>0.1</v>
      </c>
      <c r="Q166" s="312" t="str">
        <f>IFERROR(VLOOKUP(F166,'Cadastro de assessores'!A:B,2,FALSE),"Não Cadastrado")</f>
        <v>28411</v>
      </c>
      <c r="R166" s="312" t="s">
        <v>88</v>
      </c>
      <c r="S166" s="313">
        <v>44228.0</v>
      </c>
      <c r="T166" s="65"/>
      <c r="U166" s="327" t="s">
        <v>2837</v>
      </c>
      <c r="V166" s="24" t="s">
        <v>89</v>
      </c>
      <c r="W166" s="13" t="s">
        <v>1063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91</v>
      </c>
      <c r="AC166" s="94"/>
      <c r="AD166" s="94" t="s">
        <v>2505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2376</v>
      </c>
      <c r="B167" s="310" t="s">
        <v>2838</v>
      </c>
      <c r="C167" s="311" t="s">
        <v>2839</v>
      </c>
      <c r="D167" s="312" t="s">
        <v>2489</v>
      </c>
      <c r="E167" s="312" t="s">
        <v>29</v>
      </c>
      <c r="F167" s="312" t="s">
        <v>2489</v>
      </c>
      <c r="G167" s="47" t="str">
        <f t="shared" si="1"/>
        <v>Augusto</v>
      </c>
      <c r="H167" s="323" t="s">
        <v>157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162</v>
      </c>
      <c r="N167" s="314">
        <v>0.01</v>
      </c>
      <c r="O167" s="312" t="s">
        <v>163</v>
      </c>
      <c r="P167" s="315">
        <v>0.2</v>
      </c>
      <c r="Q167" s="312" t="str">
        <f>IFERROR(VLOOKUP(F167,'Cadastro de assessores'!A:B,2,FALSE),"Não Cadastrado")</f>
        <v>22400</v>
      </c>
      <c r="R167" s="312" t="s">
        <v>88</v>
      </c>
      <c r="S167" s="313">
        <v>43375.0</v>
      </c>
      <c r="T167" s="156"/>
      <c r="U167" s="156"/>
      <c r="V167" s="24" t="s">
        <v>89</v>
      </c>
      <c r="W167" s="317" t="s">
        <v>2840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95</v>
      </c>
      <c r="AC167" s="94"/>
      <c r="AD167" s="94" t="s">
        <v>2505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2376</v>
      </c>
      <c r="B168" s="45" t="s">
        <v>1064</v>
      </c>
      <c r="C168" s="321" t="s">
        <v>2841</v>
      </c>
      <c r="D168" s="312" t="s">
        <v>18</v>
      </c>
      <c r="E168" s="312" t="s">
        <v>145</v>
      </c>
      <c r="F168" s="312" t="s">
        <v>146</v>
      </c>
      <c r="G168" s="47" t="str">
        <f t="shared" si="1"/>
        <v>Augusto</v>
      </c>
      <c r="H168" s="152" t="s">
        <v>116</v>
      </c>
      <c r="I168" s="53" t="s">
        <v>161</v>
      </c>
      <c r="J168" s="312" t="str">
        <f t="shared" si="2"/>
        <v>Não</v>
      </c>
      <c r="K168" s="313">
        <v>44319.0</v>
      </c>
      <c r="L168" s="94"/>
      <c r="M168" s="94" t="s">
        <v>111</v>
      </c>
      <c r="N168" s="314">
        <v>0.015</v>
      </c>
      <c r="O168" s="312" t="s">
        <v>46</v>
      </c>
      <c r="P168" s="315">
        <v>0.1</v>
      </c>
      <c r="Q168" s="312" t="str">
        <f>IFERROR(VLOOKUP(F168,'Cadastro de assessores'!A:B,2,FALSE),"Não Cadastrado")</f>
        <v>250</v>
      </c>
      <c r="R168" s="312" t="s">
        <v>88</v>
      </c>
      <c r="S168" s="313">
        <v>44319.0</v>
      </c>
      <c r="T168" s="65"/>
      <c r="U168" s="62" t="s">
        <v>2842</v>
      </c>
      <c r="V168" s="24" t="s">
        <v>89</v>
      </c>
      <c r="W168" s="5" t="s">
        <v>1066</v>
      </c>
      <c r="X168" s="151" t="s">
        <v>149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95</v>
      </c>
      <c r="AC168" s="94"/>
      <c r="AD168" s="94" t="s">
        <v>2439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2376</v>
      </c>
      <c r="B169" s="45" t="s">
        <v>1072</v>
      </c>
      <c r="C169" s="321" t="s">
        <v>2843</v>
      </c>
      <c r="D169" s="312" t="s">
        <v>18</v>
      </c>
      <c r="E169" s="312" t="s">
        <v>145</v>
      </c>
      <c r="F169" s="312" t="s">
        <v>146</v>
      </c>
      <c r="G169" s="47" t="str">
        <f t="shared" si="1"/>
        <v>Augusto</v>
      </c>
      <c r="H169" s="152" t="s">
        <v>116</v>
      </c>
      <c r="I169" s="53" t="s">
        <v>161</v>
      </c>
      <c r="J169" s="312" t="str">
        <f t="shared" si="2"/>
        <v>Sim</v>
      </c>
      <c r="K169" s="313">
        <v>44319.0</v>
      </c>
      <c r="L169" s="94"/>
      <c r="M169" s="94" t="s">
        <v>162</v>
      </c>
      <c r="N169" s="314">
        <v>0.015</v>
      </c>
      <c r="O169" s="312" t="s">
        <v>163</v>
      </c>
      <c r="P169" s="315">
        <v>0.2</v>
      </c>
      <c r="Q169" s="312" t="str">
        <f>IFERROR(VLOOKUP(F169,'Cadastro de assessores'!A:B,2,FALSE),"Não Cadastrado")</f>
        <v>250</v>
      </c>
      <c r="R169" s="312" t="s">
        <v>88</v>
      </c>
      <c r="S169" s="313">
        <v>44319.0</v>
      </c>
      <c r="T169" s="62" t="s">
        <v>2844</v>
      </c>
      <c r="U169" s="316" t="s">
        <v>2845</v>
      </c>
      <c r="V169" s="24" t="s">
        <v>89</v>
      </c>
      <c r="W169" s="5" t="s">
        <v>1074</v>
      </c>
      <c r="X169" s="151" t="s">
        <v>149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95</v>
      </c>
      <c r="AC169" s="94"/>
      <c r="AD169" s="94" t="s">
        <v>2439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2376</v>
      </c>
      <c r="B170" s="225" t="s">
        <v>2846</v>
      </c>
      <c r="C170" s="322" t="s">
        <v>2847</v>
      </c>
      <c r="D170" s="312" t="s">
        <v>2379</v>
      </c>
      <c r="E170" s="312" t="s">
        <v>29</v>
      </c>
      <c r="F170" s="94" t="s">
        <v>2392</v>
      </c>
      <c r="G170" s="47" t="str">
        <f t="shared" si="1"/>
        <v>Augusto</v>
      </c>
      <c r="H170" s="323" t="s">
        <v>157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111</v>
      </c>
      <c r="N170" s="325">
        <v>0.015</v>
      </c>
      <c r="O170" s="312" t="s">
        <v>46</v>
      </c>
      <c r="P170" s="315">
        <v>0.1</v>
      </c>
      <c r="Q170" s="94" t="str">
        <f>IFERROR(VLOOKUP(F170,'Cadastro de assessores'!A:B,2,FALSE),"Não Cadastrado")</f>
        <v>2971</v>
      </c>
      <c r="R170" s="94" t="s">
        <v>2393</v>
      </c>
      <c r="S170" s="329">
        <v>43822.0</v>
      </c>
      <c r="T170" s="156"/>
      <c r="U170" s="156"/>
      <c r="V170" s="24" t="s">
        <v>89</v>
      </c>
      <c r="W170" s="13" t="s">
        <v>2848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2432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2396</v>
      </c>
      <c r="BJ170" s="158">
        <v>0.0</v>
      </c>
      <c r="BK170" s="158" t="s">
        <v>2396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2376</v>
      </c>
      <c r="B171" s="63" t="s">
        <v>2849</v>
      </c>
      <c r="C171" s="333">
        <v>4458399.0</v>
      </c>
      <c r="D171" s="312" t="s">
        <v>18</v>
      </c>
      <c r="E171" s="312" t="s">
        <v>145</v>
      </c>
      <c r="F171" s="312" t="s">
        <v>171</v>
      </c>
      <c r="G171" s="47" t="str">
        <f t="shared" si="1"/>
        <v>Augusto</v>
      </c>
      <c r="H171" s="323" t="s">
        <v>116</v>
      </c>
      <c r="I171" s="53" t="s">
        <v>161</v>
      </c>
      <c r="J171" s="312" t="str">
        <f t="shared" si="2"/>
        <v>Não</v>
      </c>
      <c r="K171" s="120">
        <v>44489.0</v>
      </c>
      <c r="L171" s="24"/>
      <c r="M171" s="94" t="s">
        <v>45</v>
      </c>
      <c r="N171" s="314">
        <v>0.012</v>
      </c>
      <c r="O171" s="312" t="s">
        <v>2381</v>
      </c>
      <c r="P171" s="315">
        <v>0.0</v>
      </c>
      <c r="Q171" s="312" t="str">
        <f>IFERROR(VLOOKUP(F171,'Cadastro de assessores'!A:B,2,FALSE),"Não Cadastrado")</f>
        <v>28411</v>
      </c>
      <c r="R171" s="312" t="s">
        <v>88</v>
      </c>
      <c r="S171" s="120">
        <v>44483.0</v>
      </c>
      <c r="T171" s="52"/>
      <c r="U171" s="52"/>
      <c r="V171" s="24" t="s">
        <v>89</v>
      </c>
      <c r="W171" s="5" t="s">
        <v>2850</v>
      </c>
      <c r="X171" s="151" t="s">
        <v>149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95</v>
      </c>
      <c r="AC171" s="94"/>
      <c r="AD171" s="94" t="s">
        <v>2389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2376</v>
      </c>
      <c r="B172" s="225" t="s">
        <v>2851</v>
      </c>
      <c r="C172" s="322" t="s">
        <v>2852</v>
      </c>
      <c r="D172" s="312" t="s">
        <v>2379</v>
      </c>
      <c r="E172" s="312" t="s">
        <v>29</v>
      </c>
      <c r="F172" s="94" t="s">
        <v>2380</v>
      </c>
      <c r="G172" s="47" t="str">
        <f t="shared" si="1"/>
        <v>Augusto</v>
      </c>
      <c r="H172" s="323" t="s">
        <v>157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162</v>
      </c>
      <c r="N172" s="325">
        <v>0.02</v>
      </c>
      <c r="O172" s="312" t="s">
        <v>163</v>
      </c>
      <c r="P172" s="315">
        <v>0.2</v>
      </c>
      <c r="Q172" s="94" t="str">
        <f>IFERROR(VLOOKUP(F172,'Cadastro de assessores'!A:B,2,FALSE),"Não Cadastrado")</f>
        <v>17573</v>
      </c>
      <c r="R172" s="94" t="s">
        <v>2393</v>
      </c>
      <c r="S172" s="324">
        <v>43620.0</v>
      </c>
      <c r="T172" s="156"/>
      <c r="U172" s="156"/>
      <c r="V172" s="24" t="s">
        <v>89</v>
      </c>
      <c r="W172" s="13" t="s">
        <v>2853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2505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2396</v>
      </c>
      <c r="BJ172" s="158">
        <v>0.0</v>
      </c>
      <c r="BK172" s="158" t="s">
        <v>2396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2376</v>
      </c>
      <c r="B173" s="45" t="s">
        <v>2854</v>
      </c>
      <c r="C173" s="357" t="s">
        <v>2855</v>
      </c>
      <c r="D173" s="312" t="s">
        <v>18</v>
      </c>
      <c r="E173" s="312" t="s">
        <v>145</v>
      </c>
      <c r="F173" s="94" t="s">
        <v>146</v>
      </c>
      <c r="G173" s="47" t="str">
        <f t="shared" si="1"/>
        <v>Augusto</v>
      </c>
      <c r="H173" s="323" t="s">
        <v>157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111</v>
      </c>
      <c r="N173" s="325">
        <v>0.015</v>
      </c>
      <c r="O173" s="312" t="s">
        <v>46</v>
      </c>
      <c r="P173" s="315">
        <v>0.1</v>
      </c>
      <c r="Q173" s="94" t="str">
        <f>IFERROR(VLOOKUP(F173,'Cadastro de assessores'!A:B,2,FALSE),"Não Cadastrado")</f>
        <v>250</v>
      </c>
      <c r="R173" s="94" t="s">
        <v>2393</v>
      </c>
      <c r="S173" s="324">
        <v>44313.0</v>
      </c>
      <c r="T173" s="52"/>
      <c r="U173" s="52"/>
      <c r="V173" s="24" t="s">
        <v>89</v>
      </c>
      <c r="W173" s="5" t="s">
        <v>2856</v>
      </c>
      <c r="X173" s="151" t="s">
        <v>149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95</v>
      </c>
      <c r="AC173" s="94"/>
      <c r="AD173" s="94" t="s">
        <v>2439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2396</v>
      </c>
      <c r="BJ173" s="158">
        <v>0.0</v>
      </c>
      <c r="BK173" s="158" t="s">
        <v>2396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2376</v>
      </c>
      <c r="B174" s="225" t="s">
        <v>2857</v>
      </c>
      <c r="C174" s="322" t="s">
        <v>2858</v>
      </c>
      <c r="D174" s="312" t="s">
        <v>18</v>
      </c>
      <c r="E174" s="312" t="s">
        <v>29</v>
      </c>
      <c r="F174" s="94" t="s">
        <v>2633</v>
      </c>
      <c r="G174" s="47" t="str">
        <f t="shared" si="1"/>
        <v>Augusto</v>
      </c>
      <c r="H174" s="323" t="s">
        <v>157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243</v>
      </c>
      <c r="N174" s="325">
        <v>0.0075</v>
      </c>
      <c r="O174" s="312" t="s">
        <v>46</v>
      </c>
      <c r="P174" s="315">
        <v>0.2</v>
      </c>
      <c r="Q174" s="94" t="str">
        <f>IFERROR(VLOOKUP(F174,'Cadastro de assessores'!A:B,2,FALSE),"Não Cadastrado")</f>
        <v>18236</v>
      </c>
      <c r="R174" s="94" t="s">
        <v>2393</v>
      </c>
      <c r="S174" s="324">
        <v>43510.0</v>
      </c>
      <c r="T174" s="78"/>
      <c r="U174" s="156" t="s">
        <v>2859</v>
      </c>
      <c r="V174" s="24" t="s">
        <v>329</v>
      </c>
      <c r="W174" s="13" t="s">
        <v>2860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2421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2396</v>
      </c>
      <c r="BJ174" s="158">
        <v>0.0</v>
      </c>
      <c r="BK174" s="158" t="s">
        <v>2396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2376</v>
      </c>
      <c r="B175" s="225" t="s">
        <v>2861</v>
      </c>
      <c r="C175" s="322" t="s">
        <v>2862</v>
      </c>
      <c r="D175" s="312" t="s">
        <v>2489</v>
      </c>
      <c r="E175" s="312" t="s">
        <v>29</v>
      </c>
      <c r="F175" s="94" t="s">
        <v>2489</v>
      </c>
      <c r="G175" s="47" t="str">
        <f t="shared" si="1"/>
        <v>Augusto</v>
      </c>
      <c r="H175" s="323" t="s">
        <v>157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111</v>
      </c>
      <c r="N175" s="325">
        <v>0.015</v>
      </c>
      <c r="O175" s="312" t="s">
        <v>46</v>
      </c>
      <c r="P175" s="315">
        <v>0.1</v>
      </c>
      <c r="Q175" s="94" t="str">
        <f>IFERROR(VLOOKUP(F175,'Cadastro de assessores'!A:B,2,FALSE),"Não Cadastrado")</f>
        <v>22400</v>
      </c>
      <c r="R175" s="94" t="s">
        <v>2393</v>
      </c>
      <c r="S175" s="324">
        <v>44021.0</v>
      </c>
      <c r="T175" s="156"/>
      <c r="U175" s="75"/>
      <c r="V175" s="24" t="s">
        <v>89</v>
      </c>
      <c r="W175" s="13" t="s">
        <v>2863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91</v>
      </c>
      <c r="AC175" s="94"/>
      <c r="AD175" s="94" t="s">
        <v>2421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2396</v>
      </c>
      <c r="BJ175" s="158">
        <v>0.0</v>
      </c>
      <c r="BK175" s="158" t="s">
        <v>2396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2376</v>
      </c>
      <c r="B176" s="225" t="s">
        <v>2861</v>
      </c>
      <c r="C176" s="322" t="s">
        <v>2864</v>
      </c>
      <c r="D176" s="312" t="s">
        <v>2489</v>
      </c>
      <c r="E176" s="312" t="s">
        <v>29</v>
      </c>
      <c r="F176" s="94" t="s">
        <v>2489</v>
      </c>
      <c r="G176" s="47" t="str">
        <f t="shared" si="1"/>
        <v>Augusto</v>
      </c>
      <c r="H176" s="323" t="s">
        <v>157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162</v>
      </c>
      <c r="N176" s="325">
        <v>0.018</v>
      </c>
      <c r="O176" s="312" t="s">
        <v>163</v>
      </c>
      <c r="P176" s="315">
        <v>0.2</v>
      </c>
      <c r="Q176" s="94" t="str">
        <f>IFERROR(VLOOKUP(F176,'Cadastro de assessores'!A:B,2,FALSE),"Não Cadastrado")</f>
        <v>22400</v>
      </c>
      <c r="R176" s="94" t="s">
        <v>2393</v>
      </c>
      <c r="S176" s="324">
        <v>44029.0</v>
      </c>
      <c r="T176" s="316"/>
      <c r="U176" s="156"/>
      <c r="V176" s="24" t="s">
        <v>89</v>
      </c>
      <c r="W176" s="13" t="s">
        <v>2863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91</v>
      </c>
      <c r="AC176" s="94"/>
      <c r="AD176" s="94" t="s">
        <v>2421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2396</v>
      </c>
      <c r="BJ176" s="158">
        <v>0.0</v>
      </c>
      <c r="BK176" s="158" t="s">
        <v>2396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2376</v>
      </c>
      <c r="B177" s="221" t="s">
        <v>2865</v>
      </c>
      <c r="C177" s="204" t="s">
        <v>2866</v>
      </c>
      <c r="D177" s="312" t="s">
        <v>18</v>
      </c>
      <c r="E177" s="312" t="s">
        <v>145</v>
      </c>
      <c r="F177" s="312" t="s">
        <v>171</v>
      </c>
      <c r="G177" s="47" t="str">
        <f t="shared" si="1"/>
        <v>Augusto</v>
      </c>
      <c r="H177" s="152" t="s">
        <v>116</v>
      </c>
      <c r="I177" s="53" t="s">
        <v>161</v>
      </c>
      <c r="J177" s="312" t="str">
        <f t="shared" si="2"/>
        <v>Não</v>
      </c>
      <c r="K177" s="313">
        <v>44291.0</v>
      </c>
      <c r="L177" s="94"/>
      <c r="M177" s="94" t="s">
        <v>111</v>
      </c>
      <c r="N177" s="314">
        <v>0.015</v>
      </c>
      <c r="O177" s="312" t="s">
        <v>46</v>
      </c>
      <c r="P177" s="315">
        <v>0.1</v>
      </c>
      <c r="Q177" s="312" t="str">
        <f>IFERROR(VLOOKUP(F177,'Cadastro de assessores'!A:B,2,FALSE),"Não Cadastrado")</f>
        <v>28411</v>
      </c>
      <c r="R177" s="312" t="s">
        <v>88</v>
      </c>
      <c r="S177" s="313">
        <v>44291.0</v>
      </c>
      <c r="T177" s="75"/>
      <c r="U177" s="156" t="s">
        <v>2660</v>
      </c>
      <c r="V177" s="24" t="s">
        <v>329</v>
      </c>
      <c r="W177" s="13" t="s">
        <v>2867</v>
      </c>
      <c r="X177" s="151" t="s">
        <v>149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95</v>
      </c>
      <c r="AC177" s="94"/>
      <c r="AD177" s="94" t="s">
        <v>2868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2376</v>
      </c>
      <c r="B178" s="310" t="s">
        <v>2869</v>
      </c>
      <c r="C178" s="311" t="s">
        <v>2870</v>
      </c>
      <c r="D178" s="312" t="s">
        <v>18</v>
      </c>
      <c r="E178" s="312" t="s">
        <v>29</v>
      </c>
      <c r="F178" s="312" t="s">
        <v>58</v>
      </c>
      <c r="G178" s="47" t="str">
        <f t="shared" si="1"/>
        <v>Breno</v>
      </c>
      <c r="H178" s="152" t="s">
        <v>88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45</v>
      </c>
      <c r="N178" s="314">
        <v>0.005</v>
      </c>
      <c r="O178" s="312" t="s">
        <v>2381</v>
      </c>
      <c r="P178" s="315">
        <v>0.0</v>
      </c>
      <c r="Q178" s="312">
        <f>IFERROR(VLOOKUP(F178,'Cadastro de assessores'!A:B,2,FALSE),"Não Cadastrado")</f>
        <v>12359</v>
      </c>
      <c r="R178" s="312" t="s">
        <v>88</v>
      </c>
      <c r="S178" s="313">
        <v>43577.0</v>
      </c>
      <c r="T178" s="156"/>
      <c r="U178" s="327" t="s">
        <v>2871</v>
      </c>
      <c r="V178" s="24" t="s">
        <v>89</v>
      </c>
      <c r="W178" s="317" t="s">
        <v>2872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95</v>
      </c>
      <c r="AC178" s="94"/>
      <c r="AD178" s="94" t="s">
        <v>2444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2376</v>
      </c>
      <c r="B179" s="310" t="s">
        <v>2869</v>
      </c>
      <c r="C179" s="311" t="s">
        <v>2873</v>
      </c>
      <c r="D179" s="312" t="s">
        <v>18</v>
      </c>
      <c r="E179" s="312" t="s">
        <v>29</v>
      </c>
      <c r="F179" s="312" t="s">
        <v>58</v>
      </c>
      <c r="G179" s="47" t="str">
        <f t="shared" si="1"/>
        <v>Augusto</v>
      </c>
      <c r="H179" s="152" t="s">
        <v>88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162</v>
      </c>
      <c r="N179" s="314">
        <v>0.02</v>
      </c>
      <c r="O179" s="312" t="s">
        <v>163</v>
      </c>
      <c r="P179" s="315">
        <v>0.2</v>
      </c>
      <c r="Q179" s="312">
        <f>IFERROR(VLOOKUP(F179,'Cadastro de assessores'!A:B,2,FALSE),"Não Cadastrado")</f>
        <v>12359</v>
      </c>
      <c r="R179" s="312" t="s">
        <v>88</v>
      </c>
      <c r="S179" s="313">
        <v>43577.0</v>
      </c>
      <c r="T179" s="156"/>
      <c r="U179" s="327" t="s">
        <v>2871</v>
      </c>
      <c r="V179" s="24" t="s">
        <v>89</v>
      </c>
      <c r="W179" s="317" t="s">
        <v>2872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95</v>
      </c>
      <c r="AC179" s="94"/>
      <c r="AD179" s="94" t="s">
        <v>2444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2376</v>
      </c>
      <c r="B180" s="45" t="s">
        <v>2874</v>
      </c>
      <c r="C180" s="357" t="s">
        <v>2875</v>
      </c>
      <c r="D180" s="312" t="s">
        <v>18</v>
      </c>
      <c r="E180" s="312" t="s">
        <v>145</v>
      </c>
      <c r="F180" s="94" t="s">
        <v>146</v>
      </c>
      <c r="G180" s="47" t="str">
        <f t="shared" si="1"/>
        <v>Augusto</v>
      </c>
      <c r="H180" s="323" t="s">
        <v>157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111</v>
      </c>
      <c r="N180" s="325">
        <v>0.015</v>
      </c>
      <c r="O180" s="312" t="s">
        <v>46</v>
      </c>
      <c r="P180" s="315">
        <v>0.1</v>
      </c>
      <c r="Q180" s="94" t="str">
        <f>IFERROR(VLOOKUP(F180,'Cadastro de assessores'!A:B,2,FALSE),"Não Cadastrado")</f>
        <v>250</v>
      </c>
      <c r="R180" s="94" t="s">
        <v>2393</v>
      </c>
      <c r="S180" s="324">
        <v>44319.0</v>
      </c>
      <c r="T180" s="156"/>
      <c r="U180" s="156"/>
      <c r="V180" s="24" t="s">
        <v>89</v>
      </c>
      <c r="W180" s="5" t="s">
        <v>2876</v>
      </c>
      <c r="X180" s="151" t="s">
        <v>149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2439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2396</v>
      </c>
      <c r="BJ180" s="158">
        <v>0.0</v>
      </c>
      <c r="BK180" s="158" t="s">
        <v>2396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2376</v>
      </c>
      <c r="B181" s="221" t="s">
        <v>1122</v>
      </c>
      <c r="C181" s="204" t="s">
        <v>2877</v>
      </c>
      <c r="D181" s="312" t="s">
        <v>18</v>
      </c>
      <c r="E181" s="312" t="s">
        <v>145</v>
      </c>
      <c r="F181" s="312" t="s">
        <v>146</v>
      </c>
      <c r="G181" s="47" t="str">
        <f t="shared" si="1"/>
        <v>Augusto</v>
      </c>
      <c r="H181" s="152" t="s">
        <v>116</v>
      </c>
      <c r="I181" s="53" t="s">
        <v>161</v>
      </c>
      <c r="J181" s="312" t="str">
        <f t="shared" si="2"/>
        <v>Não</v>
      </c>
      <c r="K181" s="313">
        <v>44280.0</v>
      </c>
      <c r="L181" s="94"/>
      <c r="M181" s="94" t="s">
        <v>60</v>
      </c>
      <c r="N181" s="325">
        <v>0.007</v>
      </c>
      <c r="O181" s="312" t="s">
        <v>2381</v>
      </c>
      <c r="P181" s="315">
        <v>0.0</v>
      </c>
      <c r="Q181" s="312" t="str">
        <f>IFERROR(VLOOKUP(F181,'Cadastro de assessores'!A:B,2,FALSE),"Não Cadastrado")</f>
        <v>250</v>
      </c>
      <c r="R181" s="312" t="s">
        <v>88</v>
      </c>
      <c r="S181" s="313">
        <v>44280.0</v>
      </c>
      <c r="T181" s="65"/>
      <c r="U181" s="156"/>
      <c r="V181" s="24" t="s">
        <v>89</v>
      </c>
      <c r="W181" s="13" t="s">
        <v>1125</v>
      </c>
      <c r="X181" s="151" t="s">
        <v>149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95</v>
      </c>
      <c r="AC181" s="94"/>
      <c r="AD181" s="94" t="s">
        <v>2439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2376</v>
      </c>
      <c r="B182" s="63" t="s">
        <v>1122</v>
      </c>
      <c r="C182" s="321" t="s">
        <v>2878</v>
      </c>
      <c r="D182" s="312" t="s">
        <v>18</v>
      </c>
      <c r="E182" s="312" t="s">
        <v>145</v>
      </c>
      <c r="F182" s="312" t="s">
        <v>146</v>
      </c>
      <c r="G182" s="47" t="str">
        <f t="shared" si="1"/>
        <v>Augusto</v>
      </c>
      <c r="H182" s="152" t="s">
        <v>116</v>
      </c>
      <c r="I182" s="53" t="s">
        <v>161</v>
      </c>
      <c r="J182" s="312" t="str">
        <f t="shared" si="2"/>
        <v>Sim</v>
      </c>
      <c r="K182" s="324">
        <v>44610.0</v>
      </c>
      <c r="L182" s="94"/>
      <c r="M182" s="94" t="s">
        <v>60</v>
      </c>
      <c r="N182" s="325">
        <v>0.007</v>
      </c>
      <c r="O182" s="312" t="s">
        <v>2381</v>
      </c>
      <c r="P182" s="315">
        <v>0.0</v>
      </c>
      <c r="Q182" s="312" t="str">
        <f>IFERROR(VLOOKUP(F182,'Cadastro de assessores'!A:B,2,FALSE),"Não Cadastrado")</f>
        <v>250</v>
      </c>
      <c r="R182" s="312" t="s">
        <v>88</v>
      </c>
      <c r="S182" s="324">
        <v>44610.0</v>
      </c>
      <c r="T182" s="156" t="s">
        <v>2879</v>
      </c>
      <c r="U182" s="156"/>
      <c r="V182" s="24" t="s">
        <v>89</v>
      </c>
      <c r="W182" s="5" t="s">
        <v>1125</v>
      </c>
      <c r="X182" s="151" t="s">
        <v>149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95</v>
      </c>
      <c r="AC182" s="94"/>
      <c r="AD182" s="94" t="s">
        <v>2439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2376</v>
      </c>
      <c r="B183" s="221" t="s">
        <v>2880</v>
      </c>
      <c r="C183" s="347" t="s">
        <v>2881</v>
      </c>
      <c r="D183" s="312" t="s">
        <v>18</v>
      </c>
      <c r="E183" s="312" t="s">
        <v>145</v>
      </c>
      <c r="F183" s="94" t="s">
        <v>171</v>
      </c>
      <c r="G183" s="47" t="str">
        <f t="shared" si="1"/>
        <v>Augusto</v>
      </c>
      <c r="H183" s="323" t="s">
        <v>157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111</v>
      </c>
      <c r="N183" s="325">
        <v>0.015</v>
      </c>
      <c r="O183" s="312" t="s">
        <v>46</v>
      </c>
      <c r="P183" s="315">
        <v>0.1</v>
      </c>
      <c r="Q183" s="94" t="str">
        <f>IFERROR(VLOOKUP(F183,'Cadastro de assessores'!A:B,2,FALSE),"Não Cadastrado")</f>
        <v>28411</v>
      </c>
      <c r="R183" s="94" t="s">
        <v>2393</v>
      </c>
      <c r="S183" s="324">
        <v>44280.0</v>
      </c>
      <c r="T183" s="156"/>
      <c r="U183" s="156"/>
      <c r="V183" s="24" t="s">
        <v>89</v>
      </c>
      <c r="W183" s="13" t="s">
        <v>2882</v>
      </c>
      <c r="X183" s="13" t="s">
        <v>180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2426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2396</v>
      </c>
      <c r="BJ183" s="158">
        <v>0.0</v>
      </c>
      <c r="BK183" s="158" t="s">
        <v>2396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2376</v>
      </c>
      <c r="B184" s="45" t="s">
        <v>1137</v>
      </c>
      <c r="C184" s="321" t="s">
        <v>2883</v>
      </c>
      <c r="D184" s="312" t="s">
        <v>18</v>
      </c>
      <c r="E184" s="312" t="s">
        <v>145</v>
      </c>
      <c r="F184" s="94" t="s">
        <v>146</v>
      </c>
      <c r="G184" s="47" t="str">
        <f t="shared" si="1"/>
        <v>Breno</v>
      </c>
      <c r="H184" s="323" t="s">
        <v>116</v>
      </c>
      <c r="I184" s="53" t="s">
        <v>609</v>
      </c>
      <c r="J184" s="312" t="str">
        <f t="shared" si="2"/>
        <v>Não</v>
      </c>
      <c r="K184" s="313">
        <v>44340.0</v>
      </c>
      <c r="L184" s="94"/>
      <c r="M184" s="94" t="s">
        <v>45</v>
      </c>
      <c r="N184" s="314">
        <v>0.012</v>
      </c>
      <c r="O184" s="312" t="s">
        <v>2381</v>
      </c>
      <c r="P184" s="315">
        <v>0.0</v>
      </c>
      <c r="Q184" s="92" t="str">
        <f>IFERROR(VLOOKUP(F184,'Cadastro de assessores'!A:B,2,FALSE),"Não Cadastrado")</f>
        <v>250</v>
      </c>
      <c r="R184" s="312" t="s">
        <v>88</v>
      </c>
      <c r="S184" s="313">
        <v>44340.0</v>
      </c>
      <c r="T184" s="52"/>
      <c r="U184" s="52"/>
      <c r="V184" s="24" t="s">
        <v>89</v>
      </c>
      <c r="W184" s="5" t="s">
        <v>1139</v>
      </c>
      <c r="X184" s="151" t="s">
        <v>149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95</v>
      </c>
      <c r="AC184" s="94"/>
      <c r="AD184" s="94" t="s">
        <v>2599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2376</v>
      </c>
      <c r="B185" s="225" t="s">
        <v>2884</v>
      </c>
      <c r="C185" s="322" t="s">
        <v>2885</v>
      </c>
      <c r="D185" s="312" t="s">
        <v>2379</v>
      </c>
      <c r="E185" s="312" t="s">
        <v>29</v>
      </c>
      <c r="F185" s="94" t="s">
        <v>2392</v>
      </c>
      <c r="G185" s="47" t="str">
        <f t="shared" si="1"/>
        <v>Augusto</v>
      </c>
      <c r="H185" s="323" t="s">
        <v>157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111</v>
      </c>
      <c r="N185" s="325">
        <v>0.01</v>
      </c>
      <c r="O185" s="312" t="s">
        <v>46</v>
      </c>
      <c r="P185" s="315">
        <v>0.1</v>
      </c>
      <c r="Q185" s="94" t="str">
        <f>IFERROR(VLOOKUP(F185,'Cadastro de assessores'!A:B,2,FALSE),"Não Cadastrado")</f>
        <v>2971</v>
      </c>
      <c r="R185" s="94" t="s">
        <v>2393</v>
      </c>
      <c r="S185" s="324">
        <v>43559.0</v>
      </c>
      <c r="T185" s="316"/>
      <c r="U185" s="316"/>
      <c r="V185" s="24" t="s">
        <v>89</v>
      </c>
      <c r="W185" s="13" t="s">
        <v>2886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2771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2396</v>
      </c>
      <c r="BJ185" s="158">
        <v>0.0</v>
      </c>
      <c r="BK185" s="158" t="s">
        <v>2396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2376</v>
      </c>
      <c r="B186" s="221" t="s">
        <v>2887</v>
      </c>
      <c r="C186" s="204" t="s">
        <v>2888</v>
      </c>
      <c r="D186" s="312" t="s">
        <v>18</v>
      </c>
      <c r="E186" s="312" t="s">
        <v>145</v>
      </c>
      <c r="F186" s="312" t="s">
        <v>2464</v>
      </c>
      <c r="G186" s="47" t="str">
        <f t="shared" si="1"/>
        <v>Augusto</v>
      </c>
      <c r="H186" s="323" t="s">
        <v>157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45</v>
      </c>
      <c r="N186" s="314">
        <v>0.012</v>
      </c>
      <c r="O186" s="312" t="s">
        <v>2381</v>
      </c>
      <c r="P186" s="315">
        <v>0.0</v>
      </c>
      <c r="Q186" s="312" t="str">
        <f>IFERROR(VLOOKUP(F186,'Cadastro de assessores'!A:B,2,FALSE),"Não Cadastrado")</f>
        <v>22066</v>
      </c>
      <c r="R186" s="312" t="s">
        <v>88</v>
      </c>
      <c r="S186" s="313">
        <v>44266.0</v>
      </c>
      <c r="T186" s="156"/>
      <c r="U186" s="156"/>
      <c r="V186" s="24" t="s">
        <v>89</v>
      </c>
      <c r="W186" s="13" t="s">
        <v>2889</v>
      </c>
      <c r="X186" s="151" t="s">
        <v>149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95</v>
      </c>
      <c r="AC186" s="94"/>
      <c r="AD186" s="94" t="s">
        <v>2890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2376</v>
      </c>
      <c r="B187" s="221" t="s">
        <v>1145</v>
      </c>
      <c r="C187" s="204" t="s">
        <v>2891</v>
      </c>
      <c r="D187" s="312" t="s">
        <v>18</v>
      </c>
      <c r="E187" s="312" t="s">
        <v>145</v>
      </c>
      <c r="F187" s="312" t="s">
        <v>146</v>
      </c>
      <c r="G187" s="47" t="str">
        <f t="shared" si="1"/>
        <v>Augusto</v>
      </c>
      <c r="H187" s="323" t="s">
        <v>116</v>
      </c>
      <c r="I187" s="53" t="s">
        <v>161</v>
      </c>
      <c r="J187" s="312" t="str">
        <f t="shared" si="2"/>
        <v>Não</v>
      </c>
      <c r="K187" s="313">
        <v>44276.0</v>
      </c>
      <c r="L187" s="94"/>
      <c r="M187" s="94" t="s">
        <v>111</v>
      </c>
      <c r="N187" s="325">
        <v>0.015</v>
      </c>
      <c r="O187" s="312" t="s">
        <v>46</v>
      </c>
      <c r="P187" s="315">
        <v>0.1</v>
      </c>
      <c r="Q187" s="312" t="str">
        <f>IFERROR(VLOOKUP(F187,'Cadastro de assessores'!A:B,2,FALSE),"Não Cadastrado")</f>
        <v>250</v>
      </c>
      <c r="R187" s="312" t="s">
        <v>88</v>
      </c>
      <c r="S187" s="313">
        <v>44276.0</v>
      </c>
      <c r="T187" s="65"/>
      <c r="U187" s="156"/>
      <c r="V187" s="24" t="s">
        <v>89</v>
      </c>
      <c r="W187" s="13" t="s">
        <v>1147</v>
      </c>
      <c r="X187" s="151" t="s">
        <v>149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95</v>
      </c>
      <c r="AC187" s="94"/>
      <c r="AD187" s="94" t="s">
        <v>2439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2376</v>
      </c>
      <c r="B188" s="149" t="s">
        <v>2892</v>
      </c>
      <c r="C188" s="321" t="s">
        <v>2893</v>
      </c>
      <c r="D188" s="312" t="s">
        <v>18</v>
      </c>
      <c r="E188" s="312" t="s">
        <v>29</v>
      </c>
      <c r="F188" s="312" t="s">
        <v>2435</v>
      </c>
      <c r="G188" s="47" t="str">
        <f t="shared" si="1"/>
        <v>Augusto</v>
      </c>
      <c r="H188" s="152" t="s">
        <v>88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60</v>
      </c>
      <c r="N188" s="325">
        <v>0.012</v>
      </c>
      <c r="O188" s="312" t="s">
        <v>2381</v>
      </c>
      <c r="P188" s="315">
        <v>0.0</v>
      </c>
      <c r="Q188" s="312"/>
      <c r="R188" s="312"/>
      <c r="S188" s="313"/>
      <c r="T188" s="327" t="s">
        <v>2285</v>
      </c>
      <c r="U188" s="156"/>
      <c r="V188" s="24" t="s">
        <v>89</v>
      </c>
      <c r="W188" s="11" t="s">
        <v>2894</v>
      </c>
      <c r="X188" s="5" t="s">
        <v>715</v>
      </c>
      <c r="Y188" s="53" t="str">
        <f t="shared" si="3"/>
        <v>Inativo</v>
      </c>
      <c r="Z188" s="126"/>
      <c r="AA188" s="94" t="str">
        <f t="shared" si="4"/>
        <v/>
      </c>
      <c r="AB188" s="13" t="s">
        <v>95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2376</v>
      </c>
      <c r="B189" s="221" t="s">
        <v>2895</v>
      </c>
      <c r="C189" s="204" t="s">
        <v>2896</v>
      </c>
      <c r="D189" s="312" t="s">
        <v>18</v>
      </c>
      <c r="E189" s="312" t="s">
        <v>145</v>
      </c>
      <c r="F189" s="94" t="s">
        <v>478</v>
      </c>
      <c r="G189" s="47" t="str">
        <f t="shared" si="1"/>
        <v>Breno</v>
      </c>
      <c r="H189" s="152" t="s">
        <v>88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111</v>
      </c>
      <c r="N189" s="314">
        <v>0.015</v>
      </c>
      <c r="O189" s="312" t="s">
        <v>46</v>
      </c>
      <c r="P189" s="315">
        <v>0.1</v>
      </c>
      <c r="Q189" s="312">
        <f>IFERROR(VLOOKUP(F189,'Cadastro de assessores'!A:B,2,FALSE),"Não Cadastrado")</f>
        <v>12362</v>
      </c>
      <c r="R189" s="312" t="s">
        <v>88</v>
      </c>
      <c r="S189" s="313">
        <v>44263.0</v>
      </c>
      <c r="T189" s="156"/>
      <c r="U189" s="156"/>
      <c r="V189" s="24" t="s">
        <v>89</v>
      </c>
      <c r="W189" s="13" t="s">
        <v>2897</v>
      </c>
      <c r="X189" s="13" t="s">
        <v>180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95</v>
      </c>
      <c r="AC189" s="94"/>
      <c r="AD189" s="94" t="s">
        <v>2426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2376</v>
      </c>
      <c r="B190" s="45" t="s">
        <v>2898</v>
      </c>
      <c r="C190" s="321" t="s">
        <v>2899</v>
      </c>
      <c r="D190" s="312" t="s">
        <v>18</v>
      </c>
      <c r="E190" s="312" t="s">
        <v>145</v>
      </c>
      <c r="F190" s="92" t="s">
        <v>2464</v>
      </c>
      <c r="G190" s="47" t="str">
        <f t="shared" si="1"/>
        <v>Augusto</v>
      </c>
      <c r="H190" s="152" t="s">
        <v>116</v>
      </c>
      <c r="I190" s="53" t="s">
        <v>161</v>
      </c>
      <c r="J190" s="312" t="str">
        <f t="shared" si="2"/>
        <v>Não</v>
      </c>
      <c r="K190" s="74">
        <v>44358.0</v>
      </c>
      <c r="L190" s="94"/>
      <c r="M190" s="94" t="s">
        <v>45</v>
      </c>
      <c r="N190" s="314">
        <v>0.012</v>
      </c>
      <c r="O190" s="312" t="s">
        <v>2381</v>
      </c>
      <c r="P190" s="315">
        <v>0.0</v>
      </c>
      <c r="Q190" s="92" t="str">
        <f>IFERROR(VLOOKUP(F190,'Cadastro de assessores'!A:B,2,FALSE),"Não Cadastrado")</f>
        <v>22066</v>
      </c>
      <c r="R190" s="312" t="s">
        <v>88</v>
      </c>
      <c r="S190" s="313">
        <v>44344.0</v>
      </c>
      <c r="T190" s="52"/>
      <c r="U190" s="52"/>
      <c r="V190" s="24" t="s">
        <v>89</v>
      </c>
      <c r="W190" s="5" t="s">
        <v>2900</v>
      </c>
      <c r="X190" s="151" t="s">
        <v>149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95</v>
      </c>
      <c r="AC190" s="94"/>
      <c r="AD190" s="94" t="s">
        <v>2459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2376</v>
      </c>
      <c r="B191" s="225" t="s">
        <v>2901</v>
      </c>
      <c r="C191" s="322" t="s">
        <v>2902</v>
      </c>
      <c r="D191" s="312" t="s">
        <v>18</v>
      </c>
      <c r="E191" s="312" t="s">
        <v>29</v>
      </c>
      <c r="F191" s="94" t="s">
        <v>2633</v>
      </c>
      <c r="G191" s="47" t="str">
        <f t="shared" si="1"/>
        <v>Augusto</v>
      </c>
      <c r="H191" s="323" t="s">
        <v>157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162</v>
      </c>
      <c r="N191" s="325">
        <v>0.01</v>
      </c>
      <c r="O191" s="312" t="s">
        <v>163</v>
      </c>
      <c r="P191" s="315">
        <v>0.2</v>
      </c>
      <c r="Q191" s="94" t="str">
        <f>IFERROR(VLOOKUP(F191,'Cadastro de assessores'!A:B,2,FALSE),"Não Cadastrado")</f>
        <v>18236</v>
      </c>
      <c r="R191" s="94" t="s">
        <v>2393</v>
      </c>
      <c r="S191" s="324">
        <v>43515.0</v>
      </c>
      <c r="T191" s="156"/>
      <c r="U191" s="156"/>
      <c r="V191" s="24" t="s">
        <v>89</v>
      </c>
      <c r="W191" s="13" t="s">
        <v>2903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2396</v>
      </c>
      <c r="BJ191" s="158">
        <v>0.0</v>
      </c>
      <c r="BK191" s="158" t="s">
        <v>2396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2376</v>
      </c>
      <c r="B192" s="45" t="s">
        <v>2904</v>
      </c>
      <c r="C192" s="204" t="s">
        <v>2905</v>
      </c>
      <c r="D192" s="312" t="s">
        <v>18</v>
      </c>
      <c r="E192" s="312" t="s">
        <v>145</v>
      </c>
      <c r="F192" s="92" t="s">
        <v>171</v>
      </c>
      <c r="G192" s="47" t="str">
        <f t="shared" si="1"/>
        <v>Augusto</v>
      </c>
      <c r="H192" s="152" t="s">
        <v>116</v>
      </c>
      <c r="I192" s="53" t="s">
        <v>161</v>
      </c>
      <c r="J192" s="312" t="str">
        <f t="shared" si="2"/>
        <v>Sim</v>
      </c>
      <c r="K192" s="313">
        <v>44656.0</v>
      </c>
      <c r="L192" s="94"/>
      <c r="M192" s="94" t="s">
        <v>162</v>
      </c>
      <c r="N192" s="314">
        <v>0.025</v>
      </c>
      <c r="O192" s="312" t="s">
        <v>163</v>
      </c>
      <c r="P192" s="315">
        <v>0.2</v>
      </c>
      <c r="Q192" s="312" t="str">
        <f>IFERROR(VLOOKUP(F192,'Cadastro de assessores'!A:B,2,FALSE),"Não Cadastrado")</f>
        <v>28411</v>
      </c>
      <c r="R192" s="312" t="s">
        <v>88</v>
      </c>
      <c r="S192" s="313">
        <v>44651.0</v>
      </c>
      <c r="T192" s="62" t="s">
        <v>2906</v>
      </c>
      <c r="U192" s="52"/>
      <c r="V192" s="24" t="s">
        <v>89</v>
      </c>
      <c r="W192" s="5" t="s">
        <v>1159</v>
      </c>
      <c r="X192" s="151" t="s">
        <v>149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95</v>
      </c>
      <c r="AC192" s="94"/>
      <c r="AD192" s="94" t="s">
        <v>2439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2376</v>
      </c>
      <c r="B193" s="221" t="s">
        <v>2907</v>
      </c>
      <c r="C193" s="204" t="s">
        <v>2908</v>
      </c>
      <c r="D193" s="312" t="s">
        <v>18</v>
      </c>
      <c r="E193" s="312" t="s">
        <v>145</v>
      </c>
      <c r="F193" s="312" t="s">
        <v>171</v>
      </c>
      <c r="G193" s="47" t="str">
        <f t="shared" si="1"/>
        <v>Augusto</v>
      </c>
      <c r="H193" s="323" t="s">
        <v>157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704</v>
      </c>
      <c r="N193" s="94" t="s">
        <v>2909</v>
      </c>
      <c r="O193" s="312" t="s">
        <v>163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89</v>
      </c>
      <c r="W193" s="13" t="s">
        <v>1159</v>
      </c>
      <c r="X193" s="5" t="s">
        <v>149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2376</v>
      </c>
      <c r="B194" s="221" t="s">
        <v>2910</v>
      </c>
      <c r="C194" s="204" t="s">
        <v>2911</v>
      </c>
      <c r="D194" s="312" t="s">
        <v>18</v>
      </c>
      <c r="E194" s="312" t="s">
        <v>145</v>
      </c>
      <c r="F194" s="312" t="s">
        <v>171</v>
      </c>
      <c r="G194" s="47" t="str">
        <f t="shared" si="1"/>
        <v>Augusto</v>
      </c>
      <c r="H194" s="152" t="s">
        <v>116</v>
      </c>
      <c r="I194" s="53" t="s">
        <v>161</v>
      </c>
      <c r="J194" s="312" t="str">
        <f t="shared" si="2"/>
        <v>Sim</v>
      </c>
      <c r="K194" s="313">
        <v>44278.0</v>
      </c>
      <c r="L194" s="24"/>
      <c r="M194" s="94" t="s">
        <v>243</v>
      </c>
      <c r="N194" s="325">
        <v>0.02</v>
      </c>
      <c r="O194" s="312" t="s">
        <v>46</v>
      </c>
      <c r="P194" s="315">
        <v>0.2</v>
      </c>
      <c r="Q194" s="312" t="str">
        <f>IFERROR(VLOOKUP(F194,'Cadastro de assessores'!A:B,2,FALSE),"Não Cadastrado")</f>
        <v>28411</v>
      </c>
      <c r="R194" s="312" t="s">
        <v>88</v>
      </c>
      <c r="S194" s="313">
        <v>44260.0</v>
      </c>
      <c r="T194" s="327" t="s">
        <v>2780</v>
      </c>
      <c r="U194" s="156"/>
      <c r="V194" s="24" t="s">
        <v>89</v>
      </c>
      <c r="W194" s="13" t="s">
        <v>1162</v>
      </c>
      <c r="X194" s="151" t="s">
        <v>149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95</v>
      </c>
      <c r="AC194" s="94"/>
      <c r="AD194" s="94" t="s">
        <v>2439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2376</v>
      </c>
      <c r="B195" s="221" t="s">
        <v>2910</v>
      </c>
      <c r="C195" s="204" t="s">
        <v>2912</v>
      </c>
      <c r="D195" s="312" t="s">
        <v>18</v>
      </c>
      <c r="E195" s="312" t="s">
        <v>145</v>
      </c>
      <c r="F195" s="312" t="s">
        <v>171</v>
      </c>
      <c r="G195" s="47" t="str">
        <f t="shared" si="1"/>
        <v>Augusto</v>
      </c>
      <c r="H195" s="152" t="s">
        <v>116</v>
      </c>
      <c r="I195" s="53" t="s">
        <v>161</v>
      </c>
      <c r="J195" s="312" t="str">
        <f t="shared" si="2"/>
        <v>Sim</v>
      </c>
      <c r="K195" s="313">
        <v>44278.0</v>
      </c>
      <c r="L195" s="94"/>
      <c r="M195" s="94" t="s">
        <v>162</v>
      </c>
      <c r="N195" s="314">
        <v>0.025</v>
      </c>
      <c r="O195" s="312" t="s">
        <v>163</v>
      </c>
      <c r="P195" s="315">
        <v>0.2</v>
      </c>
      <c r="Q195" s="312" t="str">
        <f>IFERROR(VLOOKUP(F195,'Cadastro de assessores'!A:B,2,FALSE),"Não Cadastrado")</f>
        <v>28411</v>
      </c>
      <c r="R195" s="312" t="s">
        <v>88</v>
      </c>
      <c r="S195" s="313">
        <v>44278.0</v>
      </c>
      <c r="T195" s="327" t="s">
        <v>2780</v>
      </c>
      <c r="U195" s="156"/>
      <c r="V195" s="24" t="s">
        <v>89</v>
      </c>
      <c r="W195" s="13" t="s">
        <v>1162</v>
      </c>
      <c r="X195" s="151" t="s">
        <v>149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95</v>
      </c>
      <c r="AC195" s="94"/>
      <c r="AD195" s="94" t="s">
        <v>2439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2376</v>
      </c>
      <c r="B196" s="225" t="s">
        <v>2913</v>
      </c>
      <c r="C196" s="322" t="s">
        <v>2914</v>
      </c>
      <c r="D196" s="312" t="s">
        <v>2379</v>
      </c>
      <c r="E196" s="312" t="s">
        <v>29</v>
      </c>
      <c r="F196" s="94" t="s">
        <v>2392</v>
      </c>
      <c r="G196" s="47" t="str">
        <f t="shared" si="1"/>
        <v>Augusto</v>
      </c>
      <c r="H196" s="323" t="s">
        <v>157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111</v>
      </c>
      <c r="N196" s="325">
        <v>0.01</v>
      </c>
      <c r="O196" s="312" t="s">
        <v>46</v>
      </c>
      <c r="P196" s="315">
        <v>0.1</v>
      </c>
      <c r="Q196" s="94" t="str">
        <f>IFERROR(VLOOKUP(F196,'Cadastro de assessores'!A:B,2,FALSE),"Não Cadastrado")</f>
        <v>2971</v>
      </c>
      <c r="R196" s="94" t="s">
        <v>2393</v>
      </c>
      <c r="S196" s="324">
        <v>43664.0</v>
      </c>
      <c r="T196" s="316"/>
      <c r="U196" s="316"/>
      <c r="V196" s="24" t="s">
        <v>89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2421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2396</v>
      </c>
      <c r="BJ196" s="158">
        <v>0.0</v>
      </c>
      <c r="BK196" s="158" t="s">
        <v>2396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2376</v>
      </c>
      <c r="B197" s="225" t="s">
        <v>2915</v>
      </c>
      <c r="C197" s="322" t="s">
        <v>2916</v>
      </c>
      <c r="D197" s="312" t="s">
        <v>2379</v>
      </c>
      <c r="E197" s="312" t="s">
        <v>29</v>
      </c>
      <c r="F197" s="94" t="s">
        <v>2392</v>
      </c>
      <c r="G197" s="47" t="str">
        <f t="shared" si="1"/>
        <v>Augusto</v>
      </c>
      <c r="H197" s="323" t="s">
        <v>157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111</v>
      </c>
      <c r="N197" s="325">
        <v>0.015</v>
      </c>
      <c r="O197" s="312" t="s">
        <v>46</v>
      </c>
      <c r="P197" s="315">
        <v>0.1</v>
      </c>
      <c r="Q197" s="94" t="str">
        <f>IFERROR(VLOOKUP(F197,'Cadastro de assessores'!A:B,2,FALSE),"Não Cadastrado")</f>
        <v>2971</v>
      </c>
      <c r="R197" s="94" t="s">
        <v>2393</v>
      </c>
      <c r="S197" s="324">
        <v>43853.0</v>
      </c>
      <c r="T197" s="156"/>
      <c r="U197" s="156"/>
      <c r="V197" s="24" t="s">
        <v>89</v>
      </c>
      <c r="W197" s="13" t="s">
        <v>2917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2453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2396</v>
      </c>
      <c r="BJ197" s="158">
        <v>0.0</v>
      </c>
      <c r="BK197" s="158" t="s">
        <v>2396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2376</v>
      </c>
      <c r="B198" s="221" t="s">
        <v>2918</v>
      </c>
      <c r="C198" s="204" t="s">
        <v>2919</v>
      </c>
      <c r="D198" s="312" t="s">
        <v>18</v>
      </c>
      <c r="E198" s="312" t="s">
        <v>145</v>
      </c>
      <c r="F198" s="312" t="s">
        <v>146</v>
      </c>
      <c r="G198" s="47" t="str">
        <f t="shared" si="1"/>
        <v>Augusto</v>
      </c>
      <c r="H198" s="152" t="s">
        <v>116</v>
      </c>
      <c r="I198" s="53" t="s">
        <v>161</v>
      </c>
      <c r="J198" s="312" t="str">
        <f t="shared" si="2"/>
        <v>Não</v>
      </c>
      <c r="K198" s="313">
        <v>44295.0</v>
      </c>
      <c r="L198" s="94"/>
      <c r="M198" s="94" t="s">
        <v>60</v>
      </c>
      <c r="N198" s="325">
        <v>0.007</v>
      </c>
      <c r="O198" s="312" t="s">
        <v>2381</v>
      </c>
      <c r="P198" s="315">
        <v>0.0</v>
      </c>
      <c r="Q198" s="312" t="str">
        <f>IFERROR(VLOOKUP(F198,'Cadastro de assessores'!A:B,2,FALSE),"Não Cadastrado")</f>
        <v>250</v>
      </c>
      <c r="R198" s="312" t="s">
        <v>88</v>
      </c>
      <c r="S198" s="313">
        <v>44290.0</v>
      </c>
      <c r="T198" s="75"/>
      <c r="U198" s="75"/>
      <c r="V198" s="24" t="s">
        <v>89</v>
      </c>
      <c r="W198" s="13" t="s">
        <v>2920</v>
      </c>
      <c r="X198" s="151" t="s">
        <v>149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95</v>
      </c>
      <c r="AC198" s="94"/>
      <c r="AD198" s="94" t="s">
        <v>2439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2376</v>
      </c>
      <c r="B199" s="335" t="s">
        <v>2921</v>
      </c>
      <c r="C199" s="322" t="s">
        <v>2922</v>
      </c>
      <c r="D199" s="312" t="s">
        <v>18</v>
      </c>
      <c r="E199" s="312" t="s">
        <v>145</v>
      </c>
      <c r="F199" s="312" t="s">
        <v>146</v>
      </c>
      <c r="G199" s="47" t="str">
        <f t="shared" si="1"/>
        <v>Augusto</v>
      </c>
      <c r="H199" s="152" t="s">
        <v>116</v>
      </c>
      <c r="I199" s="53" t="s">
        <v>161</v>
      </c>
      <c r="J199" s="312" t="str">
        <f t="shared" si="2"/>
        <v>Não</v>
      </c>
      <c r="K199" s="313">
        <v>44263.0</v>
      </c>
      <c r="L199" s="94"/>
      <c r="M199" s="94" t="s">
        <v>111</v>
      </c>
      <c r="N199" s="325">
        <v>0.015</v>
      </c>
      <c r="O199" s="312" t="s">
        <v>46</v>
      </c>
      <c r="P199" s="315">
        <v>0.1</v>
      </c>
      <c r="Q199" s="312" t="str">
        <f>IFERROR(VLOOKUP(F199,'Cadastro de assessores'!A:B,2,FALSE),"Não Cadastrado")</f>
        <v>250</v>
      </c>
      <c r="R199" s="312" t="s">
        <v>88</v>
      </c>
      <c r="S199" s="313">
        <v>44263.0</v>
      </c>
      <c r="T199" s="75"/>
      <c r="U199" s="75"/>
      <c r="V199" s="24" t="s">
        <v>89</v>
      </c>
      <c r="W199" s="317" t="s">
        <v>2923</v>
      </c>
      <c r="X199" s="151" t="s">
        <v>149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91</v>
      </c>
      <c r="AC199" s="94"/>
      <c r="AD199" s="94" t="s">
        <v>2439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2376</v>
      </c>
      <c r="B200" s="310" t="s">
        <v>2924</v>
      </c>
      <c r="C200" s="322" t="s">
        <v>2925</v>
      </c>
      <c r="D200" s="312" t="s">
        <v>2379</v>
      </c>
      <c r="E200" s="312" t="s">
        <v>29</v>
      </c>
      <c r="F200" s="312" t="s">
        <v>2380</v>
      </c>
      <c r="G200" s="47" t="str">
        <f t="shared" si="1"/>
        <v>Augusto</v>
      </c>
      <c r="H200" s="152" t="s">
        <v>116</v>
      </c>
      <c r="I200" s="53" t="s">
        <v>161</v>
      </c>
      <c r="J200" s="312" t="str">
        <f t="shared" si="2"/>
        <v>Sim</v>
      </c>
      <c r="K200" s="313">
        <v>43879.0</v>
      </c>
      <c r="L200" s="94"/>
      <c r="M200" s="94" t="s">
        <v>111</v>
      </c>
      <c r="N200" s="325">
        <v>0.015</v>
      </c>
      <c r="O200" s="312" t="s">
        <v>2381</v>
      </c>
      <c r="P200" s="315">
        <v>0.0</v>
      </c>
      <c r="Q200" s="312" t="str">
        <f>IFERROR(VLOOKUP(F200,'Cadastro de assessores'!A:B,2,FALSE),"Não Cadastrado")</f>
        <v>17573</v>
      </c>
      <c r="R200" s="312" t="s">
        <v>88</v>
      </c>
      <c r="S200" s="313">
        <v>43879.0</v>
      </c>
      <c r="T200" s="327" t="s">
        <v>2780</v>
      </c>
      <c r="U200" s="75"/>
      <c r="V200" s="24" t="s">
        <v>89</v>
      </c>
      <c r="W200" s="317" t="s">
        <v>1188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95</v>
      </c>
      <c r="AC200" s="94"/>
      <c r="AD200" s="94" t="s">
        <v>2421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2376</v>
      </c>
      <c r="B201" s="221" t="s">
        <v>2926</v>
      </c>
      <c r="C201" s="322" t="s">
        <v>2927</v>
      </c>
      <c r="D201" s="312" t="s">
        <v>18</v>
      </c>
      <c r="E201" s="312" t="s">
        <v>29</v>
      </c>
      <c r="F201" s="312" t="s">
        <v>44</v>
      </c>
      <c r="G201" s="47" t="str">
        <f t="shared" si="1"/>
        <v>Augusto</v>
      </c>
      <c r="H201" s="152" t="s">
        <v>88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45</v>
      </c>
      <c r="N201" s="325">
        <v>0.012</v>
      </c>
      <c r="O201" s="312" t="s">
        <v>2381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88</v>
      </c>
      <c r="S201" s="313">
        <v>43851.0</v>
      </c>
      <c r="T201" s="327" t="s">
        <v>1684</v>
      </c>
      <c r="U201" s="327" t="s">
        <v>2928</v>
      </c>
      <c r="V201" s="24" t="s">
        <v>89</v>
      </c>
      <c r="W201" s="13" t="s">
        <v>2929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95</v>
      </c>
      <c r="AC201" s="94"/>
      <c r="AD201" s="94" t="s">
        <v>2421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2376</v>
      </c>
      <c r="B202" s="221" t="s">
        <v>2930</v>
      </c>
      <c r="C202" s="322" t="s">
        <v>2931</v>
      </c>
      <c r="D202" s="312" t="s">
        <v>2379</v>
      </c>
      <c r="E202" s="312" t="s">
        <v>29</v>
      </c>
      <c r="F202" s="312" t="s">
        <v>2380</v>
      </c>
      <c r="G202" s="47" t="str">
        <f t="shared" si="1"/>
        <v>Augusto</v>
      </c>
      <c r="H202" s="152" t="s">
        <v>116</v>
      </c>
      <c r="I202" s="53" t="s">
        <v>161</v>
      </c>
      <c r="J202" s="312" t="str">
        <f t="shared" si="2"/>
        <v>Sim</v>
      </c>
      <c r="K202" s="313">
        <v>43711.0</v>
      </c>
      <c r="L202" s="94"/>
      <c r="M202" s="94" t="s">
        <v>111</v>
      </c>
      <c r="N202" s="314">
        <v>0.01</v>
      </c>
      <c r="O202" s="312" t="s">
        <v>46</v>
      </c>
      <c r="P202" s="315">
        <v>0.1</v>
      </c>
      <c r="Q202" s="312" t="str">
        <f>IFERROR(VLOOKUP(F202,'Cadastro de assessores'!A:B,2,FALSE),"Não Cadastrado")</f>
        <v>17573</v>
      </c>
      <c r="R202" s="312" t="s">
        <v>88</v>
      </c>
      <c r="S202" s="313">
        <v>43711.0</v>
      </c>
      <c r="T202" s="156" t="s">
        <v>2419</v>
      </c>
      <c r="U202" s="156"/>
      <c r="V202" s="24" t="s">
        <v>89</v>
      </c>
      <c r="W202" s="13" t="s">
        <v>2932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95</v>
      </c>
      <c r="AC202" s="94"/>
      <c r="AD202" s="94" t="s">
        <v>2453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2376</v>
      </c>
      <c r="B203" s="45" t="s">
        <v>2933</v>
      </c>
      <c r="C203" s="321" t="s">
        <v>2934</v>
      </c>
      <c r="D203" s="312" t="s">
        <v>18</v>
      </c>
      <c r="E203" s="312" t="s">
        <v>145</v>
      </c>
      <c r="F203" s="92" t="s">
        <v>171</v>
      </c>
      <c r="G203" s="47" t="str">
        <f t="shared" si="1"/>
        <v>Augusto</v>
      </c>
      <c r="H203" s="323" t="s">
        <v>157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45</v>
      </c>
      <c r="N203" s="325">
        <v>0.012</v>
      </c>
      <c r="O203" s="312" t="s">
        <v>2381</v>
      </c>
      <c r="P203" s="315">
        <v>0.0</v>
      </c>
      <c r="Q203" s="92" t="str">
        <f>IFERROR(VLOOKUP(F203,'Cadastro de assessores'!A:B,2,FALSE),"Não Cadastrado")</f>
        <v>28411</v>
      </c>
      <c r="R203" s="312" t="s">
        <v>88</v>
      </c>
      <c r="S203" s="313">
        <v>44333.0</v>
      </c>
      <c r="T203" s="52"/>
      <c r="U203" s="316" t="s">
        <v>2935</v>
      </c>
      <c r="V203" s="24" t="s">
        <v>89</v>
      </c>
      <c r="W203" s="5" t="s">
        <v>2936</v>
      </c>
      <c r="X203" s="151" t="s">
        <v>149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95</v>
      </c>
      <c r="AC203" s="94"/>
      <c r="AD203" s="94" t="s">
        <v>2439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2376</v>
      </c>
      <c r="B204" s="225" t="s">
        <v>2937</v>
      </c>
      <c r="C204" s="322" t="s">
        <v>2938</v>
      </c>
      <c r="D204" s="312" t="s">
        <v>2379</v>
      </c>
      <c r="E204" s="312" t="s">
        <v>29</v>
      </c>
      <c r="F204" s="94" t="s">
        <v>2380</v>
      </c>
      <c r="G204" s="47" t="str">
        <f t="shared" si="1"/>
        <v>Augusto</v>
      </c>
      <c r="H204" s="323" t="s">
        <v>157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45</v>
      </c>
      <c r="N204" s="325">
        <v>0.012</v>
      </c>
      <c r="O204" s="312" t="s">
        <v>2381</v>
      </c>
      <c r="P204" s="315">
        <v>0.0</v>
      </c>
      <c r="Q204" s="94" t="str">
        <f>IFERROR(VLOOKUP(F204,'Cadastro de assessores'!A:B,2,FALSE),"Não Cadastrado")</f>
        <v>17573</v>
      </c>
      <c r="R204" s="94" t="s">
        <v>2393</v>
      </c>
      <c r="S204" s="324">
        <v>43853.0</v>
      </c>
      <c r="T204" s="156"/>
      <c r="U204" s="156"/>
      <c r="V204" s="24" t="s">
        <v>89</v>
      </c>
      <c r="W204" s="13" t="s">
        <v>2939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2410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2396</v>
      </c>
      <c r="BJ204" s="158">
        <v>0.0</v>
      </c>
      <c r="BK204" s="158" t="s">
        <v>2396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2376</v>
      </c>
      <c r="B205" s="63" t="s">
        <v>2940</v>
      </c>
      <c r="C205" s="321" t="s">
        <v>2941</v>
      </c>
      <c r="D205" s="312" t="s">
        <v>18</v>
      </c>
      <c r="E205" s="312" t="s">
        <v>145</v>
      </c>
      <c r="F205" s="92" t="s">
        <v>171</v>
      </c>
      <c r="G205" s="47" t="str">
        <f t="shared" si="1"/>
        <v>Augusto</v>
      </c>
      <c r="H205" s="323" t="s">
        <v>157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45</v>
      </c>
      <c r="N205" s="314">
        <v>0.012</v>
      </c>
      <c r="O205" s="312" t="s">
        <v>2381</v>
      </c>
      <c r="P205" s="315">
        <v>0.0</v>
      </c>
      <c r="Q205" s="92" t="str">
        <f>IFERROR(VLOOKUP(F205,'Cadastro de assessores'!A:B,2,FALSE),"Não Cadastrado")</f>
        <v>28411</v>
      </c>
      <c r="R205" s="312" t="s">
        <v>88</v>
      </c>
      <c r="S205" s="74">
        <v>44439.0</v>
      </c>
      <c r="T205" s="52"/>
      <c r="U205" s="52"/>
      <c r="V205" s="24" t="s">
        <v>89</v>
      </c>
      <c r="W205" s="5" t="s">
        <v>2942</v>
      </c>
      <c r="X205" s="151" t="s">
        <v>149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2439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2376</v>
      </c>
      <c r="B206" s="221" t="s">
        <v>2943</v>
      </c>
      <c r="C206" s="204" t="s">
        <v>2944</v>
      </c>
      <c r="D206" s="312" t="s">
        <v>18</v>
      </c>
      <c r="E206" s="312" t="s">
        <v>145</v>
      </c>
      <c r="F206" s="312" t="s">
        <v>171</v>
      </c>
      <c r="G206" s="47" t="str">
        <f t="shared" si="1"/>
        <v>Augusto</v>
      </c>
      <c r="H206" s="152" t="s">
        <v>116</v>
      </c>
      <c r="I206" s="53" t="s">
        <v>161</v>
      </c>
      <c r="J206" s="312" t="str">
        <f t="shared" si="2"/>
        <v>Não</v>
      </c>
      <c r="K206" s="313">
        <v>44280.0</v>
      </c>
      <c r="L206" s="94"/>
      <c r="M206" s="94" t="s">
        <v>111</v>
      </c>
      <c r="N206" s="325">
        <v>0.015</v>
      </c>
      <c r="O206" s="312" t="s">
        <v>46</v>
      </c>
      <c r="P206" s="315">
        <v>0.1</v>
      </c>
      <c r="Q206" s="312" t="str">
        <f>IFERROR(VLOOKUP(F206,'Cadastro de assessores'!A:B,2,FALSE),"Não Cadastrado")</f>
        <v>28411</v>
      </c>
      <c r="R206" s="312" t="s">
        <v>88</v>
      </c>
      <c r="S206" s="313">
        <v>44280.0</v>
      </c>
      <c r="T206" s="156"/>
      <c r="U206" s="327" t="s">
        <v>2945</v>
      </c>
      <c r="V206" s="24" t="s">
        <v>89</v>
      </c>
      <c r="W206" s="13" t="s">
        <v>1224</v>
      </c>
      <c r="X206" s="151" t="s">
        <v>149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95</v>
      </c>
      <c r="AC206" s="94"/>
      <c r="AD206" s="94" t="s">
        <v>2946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2376</v>
      </c>
      <c r="B207" s="225" t="s">
        <v>2947</v>
      </c>
      <c r="C207" s="322" t="s">
        <v>2948</v>
      </c>
      <c r="D207" s="312" t="s">
        <v>2489</v>
      </c>
      <c r="E207" s="312" t="s">
        <v>29</v>
      </c>
      <c r="F207" s="94" t="s">
        <v>2489</v>
      </c>
      <c r="G207" s="47" t="str">
        <f t="shared" si="1"/>
        <v>Augusto</v>
      </c>
      <c r="H207" s="323" t="s">
        <v>157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162</v>
      </c>
      <c r="N207" s="325">
        <v>0.02</v>
      </c>
      <c r="O207" s="312" t="s">
        <v>163</v>
      </c>
      <c r="P207" s="315">
        <v>0.2</v>
      </c>
      <c r="Q207" s="94" t="str">
        <f>IFERROR(VLOOKUP(F207,'Cadastro de assessores'!A:B,2,FALSE),"Não Cadastrado")</f>
        <v>22400</v>
      </c>
      <c r="R207" s="94" t="s">
        <v>2393</v>
      </c>
      <c r="S207" s="324">
        <v>43439.0</v>
      </c>
      <c r="T207" s="156"/>
      <c r="U207" s="156"/>
      <c r="V207" s="24" t="s">
        <v>89</v>
      </c>
      <c r="W207" s="13" t="s">
        <v>2949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95</v>
      </c>
      <c r="AC207" s="94"/>
      <c r="AD207" s="94" t="s">
        <v>2950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2396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2376</v>
      </c>
      <c r="B208" s="45" t="s">
        <v>2951</v>
      </c>
      <c r="C208" s="357" t="s">
        <v>2952</v>
      </c>
      <c r="D208" s="312" t="s">
        <v>18</v>
      </c>
      <c r="E208" s="312" t="s">
        <v>145</v>
      </c>
      <c r="F208" s="94" t="s">
        <v>171</v>
      </c>
      <c r="G208" s="47" t="str">
        <f t="shared" si="1"/>
        <v>Augusto</v>
      </c>
      <c r="H208" s="323" t="s">
        <v>157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243</v>
      </c>
      <c r="N208" s="325">
        <v>0.02</v>
      </c>
      <c r="O208" s="312" t="s">
        <v>46</v>
      </c>
      <c r="P208" s="315">
        <v>0.2</v>
      </c>
      <c r="Q208" s="94" t="str">
        <f>IFERROR(VLOOKUP(F208,'Cadastro de assessores'!A:B,2,FALSE),"Não Cadastrado")</f>
        <v>28411</v>
      </c>
      <c r="R208" s="94" t="s">
        <v>2393</v>
      </c>
      <c r="S208" s="324">
        <v>44321.0</v>
      </c>
      <c r="T208" s="52"/>
      <c r="U208" s="52"/>
      <c r="V208" s="24" t="s">
        <v>89</v>
      </c>
      <c r="W208" s="5" t="s">
        <v>2953</v>
      </c>
      <c r="X208" s="151" t="s">
        <v>149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95</v>
      </c>
      <c r="AC208" s="94"/>
      <c r="AD208" s="94" t="s">
        <v>2439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2396</v>
      </c>
      <c r="BJ208" s="158">
        <v>0.0</v>
      </c>
      <c r="BK208" s="158" t="s">
        <v>2396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2376</v>
      </c>
      <c r="B209" s="310" t="s">
        <v>2954</v>
      </c>
      <c r="C209" s="311" t="s">
        <v>2955</v>
      </c>
      <c r="D209" s="312" t="s">
        <v>2489</v>
      </c>
      <c r="E209" s="312" t="s">
        <v>29</v>
      </c>
      <c r="F209" s="312" t="s">
        <v>2489</v>
      </c>
      <c r="G209" s="47" t="str">
        <f t="shared" si="1"/>
        <v>Breno</v>
      </c>
      <c r="H209" s="152" t="s">
        <v>88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162</v>
      </c>
      <c r="N209" s="314">
        <v>0.01</v>
      </c>
      <c r="O209" s="312" t="s">
        <v>2381</v>
      </c>
      <c r="P209" s="315">
        <v>0.0</v>
      </c>
      <c r="Q209" s="312" t="str">
        <f>IFERROR(VLOOKUP(F209,'Cadastro de assessores'!A:B,2,FALSE),"Não Cadastrado")</f>
        <v>22400</v>
      </c>
      <c r="R209" s="312" t="s">
        <v>88</v>
      </c>
      <c r="S209" s="313">
        <v>43405.0</v>
      </c>
      <c r="T209" s="156"/>
      <c r="U209" s="156"/>
      <c r="V209" s="24" t="s">
        <v>89</v>
      </c>
      <c r="W209" s="317" t="s">
        <v>2956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95</v>
      </c>
      <c r="AC209" s="94"/>
      <c r="AD209" s="312" t="s">
        <v>2421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2376</v>
      </c>
      <c r="B210" s="45" t="s">
        <v>1234</v>
      </c>
      <c r="C210" s="321" t="s">
        <v>2957</v>
      </c>
      <c r="D210" s="312" t="s">
        <v>18</v>
      </c>
      <c r="E210" s="312" t="s">
        <v>145</v>
      </c>
      <c r="F210" s="312" t="s">
        <v>146</v>
      </c>
      <c r="G210" s="47" t="str">
        <f t="shared" si="1"/>
        <v>Augusto</v>
      </c>
      <c r="H210" s="323" t="s">
        <v>116</v>
      </c>
      <c r="I210" s="53" t="s">
        <v>161</v>
      </c>
      <c r="J210" s="312" t="str">
        <f t="shared" si="2"/>
        <v>Não</v>
      </c>
      <c r="K210" s="313">
        <v>44320.0</v>
      </c>
      <c r="L210" s="94"/>
      <c r="M210" s="94" t="s">
        <v>60</v>
      </c>
      <c r="N210" s="325">
        <v>0.007</v>
      </c>
      <c r="O210" s="312" t="s">
        <v>2381</v>
      </c>
      <c r="P210" s="315">
        <v>0.0</v>
      </c>
      <c r="Q210" s="312" t="str">
        <f>IFERROR(VLOOKUP(F210,'Cadastro de assessores'!A:B,2,FALSE),"Não Cadastrado")</f>
        <v>250</v>
      </c>
      <c r="R210" s="312" t="s">
        <v>88</v>
      </c>
      <c r="S210" s="313">
        <v>44320.0</v>
      </c>
      <c r="T210" s="65"/>
      <c r="U210" s="52" t="s">
        <v>2958</v>
      </c>
      <c r="V210" s="24" t="s">
        <v>89</v>
      </c>
      <c r="W210" s="5" t="s">
        <v>1237</v>
      </c>
      <c r="X210" s="151" t="s">
        <v>149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95</v>
      </c>
      <c r="AC210" s="94"/>
      <c r="AD210" s="94" t="s">
        <v>2439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2376</v>
      </c>
      <c r="B211" s="149" t="s">
        <v>2959</v>
      </c>
      <c r="C211" s="46" t="s">
        <v>2960</v>
      </c>
      <c r="D211" s="317" t="s">
        <v>18</v>
      </c>
      <c r="E211" s="317" t="s">
        <v>29</v>
      </c>
      <c r="F211" s="47" t="s">
        <v>333</v>
      </c>
      <c r="G211" s="47" t="str">
        <f t="shared" si="1"/>
        <v>Augusto</v>
      </c>
      <c r="H211" s="323" t="s">
        <v>116</v>
      </c>
      <c r="I211" s="53" t="s">
        <v>161</v>
      </c>
      <c r="J211" s="312" t="str">
        <f t="shared" si="2"/>
        <v>Não</v>
      </c>
      <c r="K211" s="369">
        <v>45330.0</v>
      </c>
      <c r="L211" s="94"/>
      <c r="M211" s="92" t="s">
        <v>60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89</v>
      </c>
      <c r="W211" s="11" t="s">
        <v>2961</v>
      </c>
      <c r="X211" s="5" t="s">
        <v>121</v>
      </c>
      <c r="Y211" s="53" t="str">
        <f t="shared" si="3"/>
        <v>Inativo</v>
      </c>
      <c r="Z211" s="126"/>
      <c r="AA211" s="94"/>
      <c r="AB211" s="13" t="s">
        <v>95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2376</v>
      </c>
      <c r="B212" s="149" t="s">
        <v>2962</v>
      </c>
      <c r="C212" s="46" t="s">
        <v>2963</v>
      </c>
      <c r="D212" s="317" t="s">
        <v>18</v>
      </c>
      <c r="E212" s="317" t="s">
        <v>29</v>
      </c>
      <c r="F212" s="47" t="s">
        <v>333</v>
      </c>
      <c r="G212" s="47" t="str">
        <f t="shared" si="1"/>
        <v>Augusto</v>
      </c>
      <c r="H212" s="323" t="s">
        <v>116</v>
      </c>
      <c r="I212" s="53" t="s">
        <v>161</v>
      </c>
      <c r="J212" s="312" t="str">
        <f t="shared" si="2"/>
        <v>Não</v>
      </c>
      <c r="K212" s="369">
        <v>45331.0</v>
      </c>
      <c r="L212" s="94"/>
      <c r="M212" s="92" t="s">
        <v>60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329</v>
      </c>
      <c r="W212" s="11" t="s">
        <v>1129</v>
      </c>
      <c r="X212" s="5" t="s">
        <v>121</v>
      </c>
      <c r="Y212" s="53" t="str">
        <f t="shared" si="3"/>
        <v>Inativo</v>
      </c>
      <c r="Z212" s="126"/>
      <c r="AA212" s="94"/>
      <c r="AB212" s="13" t="s">
        <v>95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2376</v>
      </c>
      <c r="B213" s="221" t="s">
        <v>1245</v>
      </c>
      <c r="C213" s="204" t="s">
        <v>2964</v>
      </c>
      <c r="D213" s="312" t="s">
        <v>18</v>
      </c>
      <c r="E213" s="312" t="s">
        <v>145</v>
      </c>
      <c r="F213" s="312" t="s">
        <v>146</v>
      </c>
      <c r="G213" s="47" t="str">
        <f t="shared" si="1"/>
        <v>Augusto</v>
      </c>
      <c r="H213" s="152" t="s">
        <v>116</v>
      </c>
      <c r="I213" s="53" t="s">
        <v>161</v>
      </c>
      <c r="J213" s="312" t="str">
        <f t="shared" si="2"/>
        <v>Sim</v>
      </c>
      <c r="K213" s="313">
        <v>44263.0</v>
      </c>
      <c r="L213" s="94"/>
      <c r="M213" s="94" t="s">
        <v>162</v>
      </c>
      <c r="N213" s="325">
        <v>0.025</v>
      </c>
      <c r="O213" s="312" t="s">
        <v>163</v>
      </c>
      <c r="P213" s="315">
        <v>0.2</v>
      </c>
      <c r="Q213" s="312" t="str">
        <f>IFERROR(VLOOKUP(F213,'Cadastro de assessores'!A:B,2,FALSE),"Não Cadastrado")</f>
        <v>250</v>
      </c>
      <c r="R213" s="312" t="s">
        <v>88</v>
      </c>
      <c r="S213" s="313">
        <v>44263.0</v>
      </c>
      <c r="T213" s="327" t="s">
        <v>2965</v>
      </c>
      <c r="U213" s="327" t="s">
        <v>2837</v>
      </c>
      <c r="V213" s="24" t="s">
        <v>89</v>
      </c>
      <c r="W213" s="13" t="s">
        <v>1247</v>
      </c>
      <c r="X213" s="151" t="s">
        <v>149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91</v>
      </c>
      <c r="AC213" s="94"/>
      <c r="AD213" s="94" t="s">
        <v>2439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2376</v>
      </c>
      <c r="B214" s="45" t="s">
        <v>2966</v>
      </c>
      <c r="C214" s="321" t="s">
        <v>2967</v>
      </c>
      <c r="D214" s="312" t="s">
        <v>18</v>
      </c>
      <c r="E214" s="312" t="s">
        <v>145</v>
      </c>
      <c r="F214" s="312" t="s">
        <v>146</v>
      </c>
      <c r="G214" s="47" t="str">
        <f t="shared" si="1"/>
        <v>Augusto</v>
      </c>
      <c r="H214" s="152" t="s">
        <v>116</v>
      </c>
      <c r="I214" s="53" t="s">
        <v>161</v>
      </c>
      <c r="J214" s="312" t="str">
        <f t="shared" si="2"/>
        <v>Não</v>
      </c>
      <c r="K214" s="313">
        <v>44319.0</v>
      </c>
      <c r="L214" s="94"/>
      <c r="M214" s="94" t="s">
        <v>111</v>
      </c>
      <c r="N214" s="325">
        <v>0.015</v>
      </c>
      <c r="O214" s="312" t="s">
        <v>46</v>
      </c>
      <c r="P214" s="315">
        <v>0.1</v>
      </c>
      <c r="Q214" s="312" t="str">
        <f>IFERROR(VLOOKUP(F214,'Cadastro de assessores'!A:B,2,FALSE),"Não Cadastrado")</f>
        <v>250</v>
      </c>
      <c r="R214" s="312" t="s">
        <v>88</v>
      </c>
      <c r="S214" s="313">
        <v>44290.0</v>
      </c>
      <c r="T214" s="52"/>
      <c r="U214" s="52" t="s">
        <v>2968</v>
      </c>
      <c r="V214" s="24" t="s">
        <v>89</v>
      </c>
      <c r="W214" s="5" t="s">
        <v>2969</v>
      </c>
      <c r="X214" s="13" t="s">
        <v>149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95</v>
      </c>
      <c r="AC214" s="94"/>
      <c r="AD214" s="94" t="s">
        <v>2426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2376</v>
      </c>
      <c r="B215" s="225" t="s">
        <v>2970</v>
      </c>
      <c r="C215" s="322" t="s">
        <v>2971</v>
      </c>
      <c r="D215" s="312" t="s">
        <v>2379</v>
      </c>
      <c r="E215" s="312" t="s">
        <v>29</v>
      </c>
      <c r="F215" s="94" t="s">
        <v>2392</v>
      </c>
      <c r="G215" s="47" t="str">
        <f t="shared" si="1"/>
        <v>Augusto</v>
      </c>
      <c r="H215" s="323" t="s">
        <v>157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111</v>
      </c>
      <c r="N215" s="325">
        <v>0.01</v>
      </c>
      <c r="O215" s="312" t="s">
        <v>46</v>
      </c>
      <c r="P215" s="315">
        <v>0.1</v>
      </c>
      <c r="Q215" s="94" t="str">
        <f>IFERROR(VLOOKUP(F215,'Cadastro de assessores'!A:B,2,FALSE),"Não Cadastrado")</f>
        <v>2971</v>
      </c>
      <c r="R215" s="94" t="s">
        <v>2393</v>
      </c>
      <c r="S215" s="324">
        <v>43567.0</v>
      </c>
      <c r="T215" s="316"/>
      <c r="U215" s="156"/>
      <c r="V215" s="24" t="s">
        <v>89</v>
      </c>
      <c r="W215" s="13" t="s">
        <v>2972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2950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2396</v>
      </c>
      <c r="BJ215" s="158">
        <v>0.0</v>
      </c>
      <c r="BK215" s="158" t="s">
        <v>2396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2376</v>
      </c>
      <c r="B216" s="221" t="s">
        <v>2973</v>
      </c>
      <c r="C216" s="322" t="s">
        <v>2974</v>
      </c>
      <c r="D216" s="312" t="s">
        <v>2379</v>
      </c>
      <c r="E216" s="312" t="s">
        <v>29</v>
      </c>
      <c r="F216" s="94" t="s">
        <v>2380</v>
      </c>
      <c r="G216" s="47" t="str">
        <f t="shared" si="1"/>
        <v>Augusto</v>
      </c>
      <c r="H216" s="323" t="s">
        <v>157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111</v>
      </c>
      <c r="N216" s="325">
        <v>0.01</v>
      </c>
      <c r="O216" s="312" t="s">
        <v>46</v>
      </c>
      <c r="P216" s="315">
        <v>0.1</v>
      </c>
      <c r="Q216" s="94" t="str">
        <f>IFERROR(VLOOKUP(F216,'Cadastro de assessores'!A:B,2,FALSE),"Não Cadastrado")</f>
        <v>17573</v>
      </c>
      <c r="R216" s="94" t="s">
        <v>2393</v>
      </c>
      <c r="S216" s="324">
        <v>43732.0</v>
      </c>
      <c r="T216" s="316"/>
      <c r="U216" s="156"/>
      <c r="V216" s="24" t="s">
        <v>89</v>
      </c>
      <c r="W216" s="13" t="s">
        <v>2975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2595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2396</v>
      </c>
      <c r="BJ216" s="158">
        <v>0.0</v>
      </c>
      <c r="BK216" s="158" t="s">
        <v>2396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2376</v>
      </c>
      <c r="B217" s="221" t="s">
        <v>2976</v>
      </c>
      <c r="C217" s="322" t="s">
        <v>2977</v>
      </c>
      <c r="D217" s="312" t="s">
        <v>18</v>
      </c>
      <c r="E217" s="312" t="s">
        <v>145</v>
      </c>
      <c r="F217" s="94" t="s">
        <v>171</v>
      </c>
      <c r="G217" s="47" t="str">
        <f t="shared" si="1"/>
        <v>Augusto</v>
      </c>
      <c r="H217" s="323" t="s">
        <v>157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111</v>
      </c>
      <c r="N217" s="325">
        <v>0.015</v>
      </c>
      <c r="O217" s="312" t="s">
        <v>46</v>
      </c>
      <c r="P217" s="315">
        <v>0.1</v>
      </c>
      <c r="Q217" s="94" t="str">
        <f>IFERROR(VLOOKUP(F217,'Cadastro de assessores'!A:B,2,FALSE),"Não Cadastrado")</f>
        <v>28411</v>
      </c>
      <c r="R217" s="94" t="s">
        <v>2393</v>
      </c>
      <c r="S217" s="324">
        <v>44440.0</v>
      </c>
      <c r="T217" s="52"/>
      <c r="U217" s="52"/>
      <c r="V217" s="24" t="s">
        <v>89</v>
      </c>
      <c r="W217" s="13" t="s">
        <v>2978</v>
      </c>
      <c r="X217" s="151" t="s">
        <v>149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95</v>
      </c>
      <c r="AC217" s="94"/>
      <c r="AD217" s="94" t="s">
        <v>2439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2396</v>
      </c>
      <c r="BJ217" s="158">
        <v>0.0</v>
      </c>
      <c r="BK217" s="158" t="s">
        <v>2396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2376</v>
      </c>
      <c r="B218" s="221" t="s">
        <v>1283</v>
      </c>
      <c r="C218" s="204" t="s">
        <v>2979</v>
      </c>
      <c r="D218" s="312" t="s">
        <v>18</v>
      </c>
      <c r="E218" s="312" t="s">
        <v>145</v>
      </c>
      <c r="F218" s="312" t="s">
        <v>146</v>
      </c>
      <c r="G218" s="47" t="str">
        <f t="shared" si="1"/>
        <v>Augusto</v>
      </c>
      <c r="H218" s="152" t="s">
        <v>116</v>
      </c>
      <c r="I218" s="53" t="s">
        <v>161</v>
      </c>
      <c r="J218" s="312" t="str">
        <f t="shared" si="2"/>
        <v>Não</v>
      </c>
      <c r="K218" s="313">
        <v>44273.0</v>
      </c>
      <c r="L218" s="94"/>
      <c r="M218" s="94" t="s">
        <v>111</v>
      </c>
      <c r="N218" s="325">
        <v>0.015</v>
      </c>
      <c r="O218" s="312" t="s">
        <v>46</v>
      </c>
      <c r="P218" s="315">
        <v>0.1</v>
      </c>
      <c r="Q218" s="312" t="str">
        <f>IFERROR(VLOOKUP(F218,'Cadastro de assessores'!A:B,2,FALSE),"Não Cadastrado")</f>
        <v>250</v>
      </c>
      <c r="R218" s="312" t="s">
        <v>88</v>
      </c>
      <c r="S218" s="313">
        <v>44273.0</v>
      </c>
      <c r="T218" s="156"/>
      <c r="U218" s="156"/>
      <c r="V218" s="24" t="s">
        <v>89</v>
      </c>
      <c r="W218" s="13" t="s">
        <v>1285</v>
      </c>
      <c r="X218" s="151" t="s">
        <v>149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95</v>
      </c>
      <c r="AC218" s="94"/>
      <c r="AD218" s="94" t="s">
        <v>2439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2376</v>
      </c>
      <c r="B219" s="335" t="s">
        <v>2980</v>
      </c>
      <c r="C219" s="204" t="s">
        <v>2981</v>
      </c>
      <c r="D219" s="312" t="s">
        <v>18</v>
      </c>
      <c r="E219" s="312" t="s">
        <v>145</v>
      </c>
      <c r="F219" s="312" t="s">
        <v>2464</v>
      </c>
      <c r="G219" s="47" t="str">
        <f t="shared" si="1"/>
        <v>Augusto</v>
      </c>
      <c r="H219" s="323" t="s">
        <v>116</v>
      </c>
      <c r="I219" s="53" t="s">
        <v>161</v>
      </c>
      <c r="J219" s="312" t="str">
        <f t="shared" si="2"/>
        <v>Não</v>
      </c>
      <c r="K219" s="313">
        <v>44263.0</v>
      </c>
      <c r="L219" s="94"/>
      <c r="M219" s="94" t="s">
        <v>45</v>
      </c>
      <c r="N219" s="314">
        <v>0.012</v>
      </c>
      <c r="O219" s="312" t="s">
        <v>2381</v>
      </c>
      <c r="P219" s="315">
        <v>0.0</v>
      </c>
      <c r="Q219" s="312" t="str">
        <f>IFERROR(VLOOKUP(F219,'Cadastro de assessores'!A:B,2,FALSE),"Não Cadastrado")</f>
        <v>22066</v>
      </c>
      <c r="R219" s="312" t="s">
        <v>88</v>
      </c>
      <c r="S219" s="313">
        <v>44263.0</v>
      </c>
      <c r="T219" s="156"/>
      <c r="U219" s="156"/>
      <c r="V219" s="24" t="s">
        <v>89</v>
      </c>
      <c r="W219" s="317" t="s">
        <v>1300</v>
      </c>
      <c r="X219" s="151" t="s">
        <v>149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95</v>
      </c>
      <c r="AC219" s="94"/>
      <c r="AD219" s="94" t="s">
        <v>2439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2376</v>
      </c>
      <c r="B220" s="335" t="s">
        <v>2982</v>
      </c>
      <c r="C220" s="322" t="s">
        <v>2983</v>
      </c>
      <c r="D220" s="312" t="s">
        <v>18</v>
      </c>
      <c r="E220" s="312" t="s">
        <v>145</v>
      </c>
      <c r="F220" s="312" t="s">
        <v>146</v>
      </c>
      <c r="G220" s="47" t="str">
        <f t="shared" si="1"/>
        <v>Breno</v>
      </c>
      <c r="H220" s="323" t="s">
        <v>116</v>
      </c>
      <c r="I220" s="53" t="s">
        <v>609</v>
      </c>
      <c r="J220" s="312" t="str">
        <f t="shared" si="2"/>
        <v>Não</v>
      </c>
      <c r="K220" s="313">
        <v>44263.0</v>
      </c>
      <c r="L220" s="94"/>
      <c r="M220" s="94" t="s">
        <v>243</v>
      </c>
      <c r="N220" s="314">
        <v>0.02</v>
      </c>
      <c r="O220" s="312" t="s">
        <v>46</v>
      </c>
      <c r="P220" s="315">
        <v>0.2</v>
      </c>
      <c r="Q220" s="312" t="str">
        <f>IFERROR(VLOOKUP(F220,'Cadastro de assessores'!A:B,2,FALSE),"Não Cadastrado")</f>
        <v>250</v>
      </c>
      <c r="R220" s="312" t="s">
        <v>88</v>
      </c>
      <c r="S220" s="313">
        <v>44263.0</v>
      </c>
      <c r="T220" s="75"/>
      <c r="U220" s="156" t="s">
        <v>2984</v>
      </c>
      <c r="V220" s="24" t="s">
        <v>89</v>
      </c>
      <c r="W220" s="317" t="s">
        <v>1312</v>
      </c>
      <c r="X220" s="151" t="s">
        <v>149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95</v>
      </c>
      <c r="AC220" s="94"/>
      <c r="AD220" s="94" t="s">
        <v>2459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2376</v>
      </c>
      <c r="B221" s="335" t="s">
        <v>2982</v>
      </c>
      <c r="C221" s="371" t="s">
        <v>2985</v>
      </c>
      <c r="D221" s="338" t="s">
        <v>18</v>
      </c>
      <c r="E221" s="338" t="s">
        <v>145</v>
      </c>
      <c r="F221" s="337" t="s">
        <v>146</v>
      </c>
      <c r="G221" s="47" t="str">
        <f t="shared" si="1"/>
        <v>Augusto</v>
      </c>
      <c r="H221" s="350" t="s">
        <v>116</v>
      </c>
      <c r="I221" s="53" t="s">
        <v>609</v>
      </c>
      <c r="J221" s="312" t="str">
        <f t="shared" si="2"/>
        <v>Não</v>
      </c>
      <c r="K221" s="340">
        <v>44390.0</v>
      </c>
      <c r="L221" s="372"/>
      <c r="M221" s="341" t="s">
        <v>111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88</v>
      </c>
      <c r="S221" s="313">
        <v>44383.0</v>
      </c>
      <c r="T221" s="75"/>
      <c r="U221" s="156" t="s">
        <v>2986</v>
      </c>
      <c r="V221" s="24" t="s">
        <v>89</v>
      </c>
      <c r="W221" s="317" t="s">
        <v>1312</v>
      </c>
      <c r="X221" s="151" t="s">
        <v>149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95</v>
      </c>
      <c r="AC221" s="94"/>
      <c r="AD221" s="94" t="s">
        <v>2459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2376</v>
      </c>
      <c r="B222" s="45" t="s">
        <v>1335</v>
      </c>
      <c r="C222" s="73" t="s">
        <v>2987</v>
      </c>
      <c r="D222" s="312" t="s">
        <v>18</v>
      </c>
      <c r="E222" s="312" t="s">
        <v>145</v>
      </c>
      <c r="F222" s="312" t="s">
        <v>171</v>
      </c>
      <c r="G222" s="47" t="str">
        <f t="shared" si="1"/>
        <v>Augusto</v>
      </c>
      <c r="H222" s="152" t="s">
        <v>116</v>
      </c>
      <c r="I222" s="53" t="s">
        <v>161</v>
      </c>
      <c r="J222" s="312" t="str">
        <f t="shared" si="2"/>
        <v>Não</v>
      </c>
      <c r="K222" s="313">
        <v>44715.0</v>
      </c>
      <c r="L222" s="24"/>
      <c r="M222" s="94" t="s">
        <v>45</v>
      </c>
      <c r="N222" s="116">
        <v>0.012</v>
      </c>
      <c r="O222" s="312" t="s">
        <v>2381</v>
      </c>
      <c r="P222" s="315">
        <v>0.0</v>
      </c>
      <c r="Q222" s="312">
        <v>28411.0</v>
      </c>
      <c r="R222" s="312" t="s">
        <v>88</v>
      </c>
      <c r="S222" s="313">
        <v>44700.0</v>
      </c>
      <c r="T222" s="52"/>
      <c r="U222" s="52"/>
      <c r="V222" s="24" t="s">
        <v>89</v>
      </c>
      <c r="W222" s="5" t="s">
        <v>1338</v>
      </c>
      <c r="X222" s="13" t="s">
        <v>180</v>
      </c>
      <c r="Y222" s="53" t="str">
        <f t="shared" si="3"/>
        <v>Inativo</v>
      </c>
      <c r="Z222" s="126"/>
      <c r="AA222" s="94" t="str">
        <f t="shared" si="5"/>
        <v/>
      </c>
      <c r="AB222" s="13" t="s">
        <v>95</v>
      </c>
      <c r="AC222" s="94"/>
      <c r="AD222" s="94" t="s">
        <v>2426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2376</v>
      </c>
      <c r="B223" s="45" t="s">
        <v>2988</v>
      </c>
      <c r="C223" s="321" t="s">
        <v>2989</v>
      </c>
      <c r="D223" s="312" t="s">
        <v>18</v>
      </c>
      <c r="E223" s="312" t="s">
        <v>145</v>
      </c>
      <c r="F223" s="312" t="s">
        <v>146</v>
      </c>
      <c r="G223" s="47" t="str">
        <f t="shared" si="1"/>
        <v>Augusto</v>
      </c>
      <c r="H223" s="152" t="s">
        <v>116</v>
      </c>
      <c r="I223" s="53" t="s">
        <v>161</v>
      </c>
      <c r="J223" s="312" t="str">
        <f t="shared" si="2"/>
        <v>Não</v>
      </c>
      <c r="K223" s="313">
        <v>44298.0</v>
      </c>
      <c r="L223" s="24"/>
      <c r="M223" s="94" t="s">
        <v>60</v>
      </c>
      <c r="N223" s="116">
        <v>0.007</v>
      </c>
      <c r="O223" s="312" t="s">
        <v>2381</v>
      </c>
      <c r="P223" s="315">
        <v>0.0</v>
      </c>
      <c r="Q223" s="312" t="str">
        <f>IFERROR(VLOOKUP(F223,'Cadastro de assessores'!A:B,2,FALSE),"Não Cadastrado")</f>
        <v>250</v>
      </c>
      <c r="R223" s="312" t="s">
        <v>88</v>
      </c>
      <c r="S223" s="313">
        <v>44257.0</v>
      </c>
      <c r="T223" s="52"/>
      <c r="U223" s="316" t="s">
        <v>2990</v>
      </c>
      <c r="V223" s="24" t="s">
        <v>89</v>
      </c>
      <c r="W223" s="5" t="s">
        <v>2991</v>
      </c>
      <c r="X223" s="151" t="s">
        <v>149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95</v>
      </c>
      <c r="AC223" s="94"/>
      <c r="AD223" s="94" t="s">
        <v>2868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2376</v>
      </c>
      <c r="B224" s="310" t="s">
        <v>2992</v>
      </c>
      <c r="C224" s="311" t="s">
        <v>2993</v>
      </c>
      <c r="D224" s="312" t="s">
        <v>2379</v>
      </c>
      <c r="E224" s="312" t="s">
        <v>29</v>
      </c>
      <c r="F224" s="312" t="s">
        <v>2380</v>
      </c>
      <c r="G224" s="47" t="str">
        <f t="shared" si="1"/>
        <v>Augusto</v>
      </c>
      <c r="H224" s="152" t="s">
        <v>116</v>
      </c>
      <c r="I224" s="53" t="s">
        <v>161</v>
      </c>
      <c r="J224" s="312" t="str">
        <f t="shared" si="2"/>
        <v>Não</v>
      </c>
      <c r="K224" s="313">
        <v>43620.0</v>
      </c>
      <c r="L224" s="94"/>
      <c r="M224" s="94" t="s">
        <v>111</v>
      </c>
      <c r="N224" s="314">
        <v>0.015</v>
      </c>
      <c r="O224" s="312" t="s">
        <v>46</v>
      </c>
      <c r="P224" s="315">
        <v>0.1</v>
      </c>
      <c r="Q224" s="312" t="str">
        <f>IFERROR(VLOOKUP(F224,'Cadastro de assessores'!A:B,2,FALSE),"Não Cadastrado")</f>
        <v>17573</v>
      </c>
      <c r="R224" s="312" t="s">
        <v>88</v>
      </c>
      <c r="S224" s="313">
        <v>43591.0</v>
      </c>
      <c r="T224" s="96"/>
      <c r="U224" s="156" t="s">
        <v>2994</v>
      </c>
      <c r="V224" s="24" t="s">
        <v>89</v>
      </c>
      <c r="W224" s="317" t="s">
        <v>2995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95</v>
      </c>
      <c r="AC224" s="94"/>
      <c r="AD224" s="94" t="s">
        <v>2395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2376</v>
      </c>
      <c r="B225" s="221" t="s">
        <v>1362</v>
      </c>
      <c r="C225" s="73" t="s">
        <v>2996</v>
      </c>
      <c r="D225" s="312" t="s">
        <v>18</v>
      </c>
      <c r="E225" s="312" t="s">
        <v>29</v>
      </c>
      <c r="F225" s="312" t="s">
        <v>2997</v>
      </c>
      <c r="G225" s="47" t="str">
        <f t="shared" si="1"/>
        <v>Augusto</v>
      </c>
      <c r="H225" s="152" t="s">
        <v>116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60</v>
      </c>
      <c r="N225" s="314">
        <v>0.012</v>
      </c>
      <c r="O225" s="312" t="s">
        <v>2381</v>
      </c>
      <c r="P225" s="315">
        <v>0.0</v>
      </c>
      <c r="Q225" s="312" t="s">
        <v>2998</v>
      </c>
      <c r="R225" s="312"/>
      <c r="S225" s="313"/>
      <c r="T225" s="156"/>
      <c r="U225" s="156"/>
      <c r="V225" s="24" t="s">
        <v>89</v>
      </c>
      <c r="W225" s="13" t="s">
        <v>1364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95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2376</v>
      </c>
      <c r="B226" s="359" t="s">
        <v>2999</v>
      </c>
      <c r="C226" s="199" t="s">
        <v>3000</v>
      </c>
      <c r="D226" s="317" t="s">
        <v>18</v>
      </c>
      <c r="E226" s="317" t="s">
        <v>29</v>
      </c>
      <c r="F226" s="317" t="s">
        <v>2435</v>
      </c>
      <c r="G226" s="47" t="str">
        <f t="shared" si="1"/>
        <v>Augusto</v>
      </c>
      <c r="H226" s="323" t="s">
        <v>3001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60</v>
      </c>
      <c r="N226" s="373">
        <v>0.01</v>
      </c>
      <c r="O226" s="317" t="s">
        <v>2381</v>
      </c>
      <c r="P226" s="374">
        <v>0.0</v>
      </c>
      <c r="Q226" s="312"/>
      <c r="R226" s="312"/>
      <c r="S226" s="313"/>
      <c r="T226" s="156"/>
      <c r="U226" s="156"/>
      <c r="V226" s="25" t="s">
        <v>89</v>
      </c>
      <c r="W226" s="23" t="s">
        <v>3002</v>
      </c>
      <c r="X226" s="13" t="s">
        <v>715</v>
      </c>
      <c r="Y226" s="53" t="str">
        <f t="shared" si="3"/>
        <v>Inativo</v>
      </c>
      <c r="Z226" s="375" t="s">
        <v>48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2376</v>
      </c>
      <c r="B227" s="225" t="s">
        <v>3003</v>
      </c>
      <c r="C227" s="322" t="s">
        <v>3004</v>
      </c>
      <c r="D227" s="312" t="s">
        <v>18</v>
      </c>
      <c r="E227" s="312" t="s">
        <v>145</v>
      </c>
      <c r="F227" s="94" t="s">
        <v>171</v>
      </c>
      <c r="G227" s="47" t="str">
        <f t="shared" si="1"/>
        <v>Augusto</v>
      </c>
      <c r="H227" s="323" t="s">
        <v>157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45</v>
      </c>
      <c r="N227" s="325">
        <v>0.012</v>
      </c>
      <c r="O227" s="312" t="s">
        <v>2381</v>
      </c>
      <c r="P227" s="315">
        <v>0.0</v>
      </c>
      <c r="Q227" s="94" t="str">
        <f>IFERROR(VLOOKUP(F227,'Cadastro de assessores'!A:B,2,FALSE),"Não Cadastrado")</f>
        <v>28411</v>
      </c>
      <c r="R227" s="94" t="s">
        <v>2393</v>
      </c>
      <c r="S227" s="324">
        <v>44600.0</v>
      </c>
      <c r="T227" s="156"/>
      <c r="U227" s="156"/>
      <c r="V227" s="24" t="s">
        <v>89</v>
      </c>
      <c r="W227" s="13" t="s">
        <v>3005</v>
      </c>
      <c r="X227" s="151" t="s">
        <v>149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95</v>
      </c>
      <c r="AC227" s="94"/>
      <c r="AD227" s="94" t="s">
        <v>2439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2376</v>
      </c>
      <c r="B228" s="225" t="s">
        <v>3006</v>
      </c>
      <c r="C228" s="322" t="s">
        <v>3007</v>
      </c>
      <c r="D228" s="312" t="s">
        <v>2379</v>
      </c>
      <c r="E228" s="312" t="s">
        <v>29</v>
      </c>
      <c r="F228" s="94" t="s">
        <v>2392</v>
      </c>
      <c r="G228" s="47" t="str">
        <f t="shared" si="1"/>
        <v>Augusto</v>
      </c>
      <c r="H228" s="323" t="s">
        <v>157</v>
      </c>
      <c r="I228" s="48" t="s">
        <v>24</v>
      </c>
      <c r="J228" s="312" t="str">
        <f t="shared" si="2"/>
        <v>Não</v>
      </c>
      <c r="K228" s="94" t="s">
        <v>2429</v>
      </c>
      <c r="L228" s="329">
        <v>44484.0</v>
      </c>
      <c r="M228" s="94" t="s">
        <v>45</v>
      </c>
      <c r="N228" s="325">
        <v>0.005</v>
      </c>
      <c r="O228" s="312" t="s">
        <v>2381</v>
      </c>
      <c r="P228" s="315">
        <v>0.0</v>
      </c>
      <c r="Q228" s="94" t="str">
        <f>IFERROR(VLOOKUP(F228,'Cadastro de assessores'!A:B,2,FALSE),"Não Cadastrado")</f>
        <v>2971</v>
      </c>
      <c r="R228" s="94" t="s">
        <v>2393</v>
      </c>
      <c r="S228" s="94" t="s">
        <v>2430</v>
      </c>
      <c r="T228" s="156"/>
      <c r="U228" s="156"/>
      <c r="V228" s="24" t="s">
        <v>329</v>
      </c>
      <c r="W228" s="13" t="s">
        <v>3008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3009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2396</v>
      </c>
      <c r="BJ228" s="158">
        <v>0.0</v>
      </c>
      <c r="BK228" s="158" t="s">
        <v>2396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2376</v>
      </c>
      <c r="B229" s="225" t="s">
        <v>3010</v>
      </c>
      <c r="C229" s="322" t="s">
        <v>3011</v>
      </c>
      <c r="D229" s="312" t="s">
        <v>2379</v>
      </c>
      <c r="E229" s="312" t="s">
        <v>29</v>
      </c>
      <c r="F229" s="94" t="s">
        <v>2392</v>
      </c>
      <c r="G229" s="47" t="str">
        <f t="shared" si="1"/>
        <v>Augusto</v>
      </c>
      <c r="H229" s="323" t="s">
        <v>157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45</v>
      </c>
      <c r="N229" s="325">
        <v>0.012</v>
      </c>
      <c r="O229" s="312" t="s">
        <v>2381</v>
      </c>
      <c r="P229" s="315">
        <v>0.0</v>
      </c>
      <c r="Q229" s="94" t="str">
        <f>IFERROR(VLOOKUP(F229,'Cadastro de assessores'!A:B,2,FALSE),"Não Cadastrado")</f>
        <v>2971</v>
      </c>
      <c r="R229" s="94" t="s">
        <v>2393</v>
      </c>
      <c r="S229" s="324">
        <v>43853.0</v>
      </c>
      <c r="T229" s="156"/>
      <c r="U229" s="156"/>
      <c r="V229" s="24" t="s">
        <v>89</v>
      </c>
      <c r="W229" s="13" t="s">
        <v>3012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2432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2396</v>
      </c>
      <c r="BJ229" s="158">
        <v>0.0</v>
      </c>
      <c r="BK229" s="158" t="s">
        <v>2396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2376</v>
      </c>
      <c r="B230" s="310" t="s">
        <v>3013</v>
      </c>
      <c r="C230" s="311" t="s">
        <v>3014</v>
      </c>
      <c r="D230" s="312" t="s">
        <v>18</v>
      </c>
      <c r="E230" s="312" t="s">
        <v>29</v>
      </c>
      <c r="F230" s="317" t="s">
        <v>569</v>
      </c>
      <c r="G230" s="47" t="str">
        <f t="shared" si="1"/>
        <v>Breno</v>
      </c>
      <c r="H230" s="152" t="s">
        <v>88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162</v>
      </c>
      <c r="N230" s="314">
        <v>0.02</v>
      </c>
      <c r="O230" s="312" t="s">
        <v>163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88</v>
      </c>
      <c r="S230" s="313">
        <v>43605.0</v>
      </c>
      <c r="T230" s="156"/>
      <c r="U230" s="327" t="s">
        <v>3015</v>
      </c>
      <c r="V230" s="24" t="s">
        <v>89</v>
      </c>
      <c r="W230" s="317" t="s">
        <v>3016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95</v>
      </c>
      <c r="AC230" s="94"/>
      <c r="AD230" s="94" t="s">
        <v>2432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2376</v>
      </c>
      <c r="B231" s="63" t="s">
        <v>3013</v>
      </c>
      <c r="C231" s="73" t="s">
        <v>3017</v>
      </c>
      <c r="D231" s="312" t="s">
        <v>18</v>
      </c>
      <c r="E231" s="312" t="s">
        <v>29</v>
      </c>
      <c r="F231" s="317" t="s">
        <v>569</v>
      </c>
      <c r="G231" s="47" t="str">
        <f t="shared" si="1"/>
        <v>Breno</v>
      </c>
      <c r="H231" s="152" t="s">
        <v>88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45</v>
      </c>
      <c r="N231" s="116">
        <v>0.012</v>
      </c>
      <c r="O231" s="94" t="s">
        <v>46</v>
      </c>
      <c r="P231" s="315">
        <v>0.1</v>
      </c>
      <c r="Q231" s="312"/>
      <c r="R231" s="312"/>
      <c r="S231" s="313"/>
      <c r="T231" s="156"/>
      <c r="U231" s="327" t="s">
        <v>3018</v>
      </c>
      <c r="V231" s="24" t="s">
        <v>89</v>
      </c>
      <c r="W231" s="5" t="s">
        <v>3016</v>
      </c>
      <c r="X231" s="13" t="s">
        <v>29</v>
      </c>
      <c r="Y231" s="53" t="str">
        <f t="shared" si="3"/>
        <v>Ativo</v>
      </c>
      <c r="Z231" s="126"/>
      <c r="AA231" s="94"/>
      <c r="AB231" s="13" t="s">
        <v>95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2376</v>
      </c>
      <c r="B232" s="310" t="s">
        <v>3019</v>
      </c>
      <c r="C232" s="322" t="s">
        <v>3020</v>
      </c>
      <c r="D232" s="312" t="s">
        <v>18</v>
      </c>
      <c r="E232" s="312" t="s">
        <v>29</v>
      </c>
      <c r="F232" s="312" t="s">
        <v>44</v>
      </c>
      <c r="G232" s="47" t="str">
        <f t="shared" si="1"/>
        <v>Bruno</v>
      </c>
      <c r="H232" s="152" t="s">
        <v>88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111</v>
      </c>
      <c r="N232" s="325">
        <v>0.015</v>
      </c>
      <c r="O232" s="312" t="s">
        <v>2381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88</v>
      </c>
      <c r="S232" s="313">
        <v>43881.0</v>
      </c>
      <c r="T232" s="156"/>
      <c r="U232" s="327" t="s">
        <v>3021</v>
      </c>
      <c r="V232" s="24" t="s">
        <v>89</v>
      </c>
      <c r="W232" s="317" t="s">
        <v>3022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91</v>
      </c>
      <c r="AC232" s="94"/>
      <c r="AD232" s="94" t="s">
        <v>2432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2376</v>
      </c>
      <c r="B233" s="310" t="s">
        <v>3023</v>
      </c>
      <c r="C233" s="322" t="s">
        <v>3024</v>
      </c>
      <c r="D233" s="312" t="s">
        <v>18</v>
      </c>
      <c r="E233" s="312" t="s">
        <v>145</v>
      </c>
      <c r="F233" s="312" t="s">
        <v>478</v>
      </c>
      <c r="G233" s="47" t="str">
        <f t="shared" si="1"/>
        <v>Augusto</v>
      </c>
      <c r="H233" s="152" t="s">
        <v>116</v>
      </c>
      <c r="I233" s="53" t="s">
        <v>161</v>
      </c>
      <c r="J233" s="312" t="str">
        <f t="shared" si="2"/>
        <v>Não</v>
      </c>
      <c r="K233" s="313">
        <v>44680.0</v>
      </c>
      <c r="L233" s="94"/>
      <c r="M233" s="94" t="s">
        <v>60</v>
      </c>
      <c r="N233" s="325">
        <v>0.007</v>
      </c>
      <c r="O233" s="312" t="s">
        <v>2381</v>
      </c>
      <c r="P233" s="315">
        <v>0.0</v>
      </c>
      <c r="Q233" s="312">
        <f>IFERROR(VLOOKUP(F233,'Cadastro de assessores'!A:B,2,FALSE),"Não Cadastrado")</f>
        <v>12362</v>
      </c>
      <c r="R233" s="312" t="s">
        <v>88</v>
      </c>
      <c r="S233" s="313">
        <v>44680.0</v>
      </c>
      <c r="T233" s="96"/>
      <c r="U233" s="156"/>
      <c r="V233" s="24" t="s">
        <v>89</v>
      </c>
      <c r="W233" s="317" t="s">
        <v>3025</v>
      </c>
      <c r="X233" s="151" t="s">
        <v>180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95</v>
      </c>
      <c r="AC233" s="94"/>
      <c r="AD233" s="94" t="s">
        <v>2590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2376</v>
      </c>
      <c r="B234" s="63" t="s">
        <v>3023</v>
      </c>
      <c r="C234" s="357" t="s">
        <v>3026</v>
      </c>
      <c r="D234" s="312" t="s">
        <v>18</v>
      </c>
      <c r="E234" s="312" t="s">
        <v>145</v>
      </c>
      <c r="F234" s="94" t="s">
        <v>478</v>
      </c>
      <c r="G234" s="47" t="str">
        <f t="shared" si="1"/>
        <v>Augusto</v>
      </c>
      <c r="H234" s="323" t="s">
        <v>157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60</v>
      </c>
      <c r="N234" s="325">
        <v>0.007</v>
      </c>
      <c r="O234" s="312" t="s">
        <v>2381</v>
      </c>
      <c r="P234" s="315">
        <v>0.0</v>
      </c>
      <c r="Q234" s="94">
        <f>IFERROR(VLOOKUP(F234,'Cadastro de assessores'!A:B,2,FALSE),"Não Cadastrado")</f>
        <v>12362</v>
      </c>
      <c r="R234" s="94" t="s">
        <v>2393</v>
      </c>
      <c r="S234" s="74">
        <v>44628.0</v>
      </c>
      <c r="T234" s="52"/>
      <c r="U234" s="52"/>
      <c r="V234" s="24" t="s">
        <v>89</v>
      </c>
      <c r="W234" s="5" t="s">
        <v>3025</v>
      </c>
      <c r="X234" s="151" t="s">
        <v>180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95</v>
      </c>
      <c r="AC234" s="94"/>
      <c r="AD234" s="94" t="s">
        <v>2590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2396</v>
      </c>
      <c r="BJ234" s="158">
        <v>0.0</v>
      </c>
      <c r="BK234" s="158" t="s">
        <v>2396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2376</v>
      </c>
      <c r="B235" s="45" t="s">
        <v>1439</v>
      </c>
      <c r="C235" s="321" t="s">
        <v>3027</v>
      </c>
      <c r="D235" s="312" t="s">
        <v>18</v>
      </c>
      <c r="E235" s="312" t="s">
        <v>145</v>
      </c>
      <c r="F235" s="94" t="s">
        <v>146</v>
      </c>
      <c r="G235" s="47" t="str">
        <f t="shared" si="1"/>
        <v>Augusto</v>
      </c>
      <c r="H235" s="323" t="s">
        <v>116</v>
      </c>
      <c r="I235" s="53" t="s">
        <v>161</v>
      </c>
      <c r="J235" s="312" t="str">
        <f t="shared" si="2"/>
        <v>Não</v>
      </c>
      <c r="K235" s="74">
        <v>44357.0</v>
      </c>
      <c r="L235" s="94"/>
      <c r="M235" s="94" t="s">
        <v>111</v>
      </c>
      <c r="N235" s="325">
        <v>0.015</v>
      </c>
      <c r="O235" s="312" t="s">
        <v>46</v>
      </c>
      <c r="P235" s="315">
        <v>0.1</v>
      </c>
      <c r="Q235" s="92" t="str">
        <f>IFERROR(VLOOKUP(F235,'Cadastro de assessores'!A:B,2,FALSE),"Não Cadastrado")</f>
        <v>250</v>
      </c>
      <c r="R235" s="312" t="s">
        <v>88</v>
      </c>
      <c r="S235" s="74">
        <v>44351.0</v>
      </c>
      <c r="T235" s="52"/>
      <c r="U235" s="52"/>
      <c r="V235" s="24" t="s">
        <v>89</v>
      </c>
      <c r="W235" s="5" t="s">
        <v>1441</v>
      </c>
      <c r="X235" s="151" t="s">
        <v>149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95</v>
      </c>
      <c r="AC235" s="94"/>
      <c r="AD235" s="94" t="s">
        <v>2439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2376</v>
      </c>
      <c r="B236" s="310" t="s">
        <v>3028</v>
      </c>
      <c r="C236" s="322" t="s">
        <v>3029</v>
      </c>
      <c r="D236" s="312" t="s">
        <v>2489</v>
      </c>
      <c r="E236" s="312" t="s">
        <v>29</v>
      </c>
      <c r="F236" s="312" t="s">
        <v>2489</v>
      </c>
      <c r="G236" s="47" t="str">
        <f t="shared" si="1"/>
        <v>Breno</v>
      </c>
      <c r="H236" s="152" t="s">
        <v>88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162</v>
      </c>
      <c r="N236" s="325">
        <v>0.025</v>
      </c>
      <c r="O236" s="312" t="s">
        <v>163</v>
      </c>
      <c r="P236" s="315">
        <v>0.2</v>
      </c>
      <c r="Q236" s="312" t="str">
        <f>IFERROR(VLOOKUP(F236,'Cadastro de assessores'!A:B,2,FALSE),"Não Cadastrado")</f>
        <v>22400</v>
      </c>
      <c r="R236" s="312" t="s">
        <v>88</v>
      </c>
      <c r="S236" s="313">
        <v>43944.0</v>
      </c>
      <c r="T236" s="156"/>
      <c r="U236" s="156"/>
      <c r="V236" s="24" t="s">
        <v>89</v>
      </c>
      <c r="W236" s="317" t="s">
        <v>3030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95</v>
      </c>
      <c r="AC236" s="94"/>
      <c r="AD236" s="94" t="s">
        <v>2410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2376</v>
      </c>
      <c r="B237" s="45" t="s">
        <v>3031</v>
      </c>
      <c r="C237" s="24">
        <v>4652772.0</v>
      </c>
      <c r="D237" s="312" t="s">
        <v>18</v>
      </c>
      <c r="E237" s="312" t="s">
        <v>145</v>
      </c>
      <c r="F237" s="151" t="s">
        <v>2464</v>
      </c>
      <c r="G237" s="47" t="str">
        <f t="shared" si="1"/>
        <v>Augusto</v>
      </c>
      <c r="H237" s="323" t="s">
        <v>157</v>
      </c>
      <c r="I237" s="48" t="s">
        <v>24</v>
      </c>
      <c r="J237" s="312" t="str">
        <f t="shared" si="2"/>
        <v>Não</v>
      </c>
      <c r="K237" s="94" t="s">
        <v>3032</v>
      </c>
      <c r="L237" s="74">
        <v>44777.0</v>
      </c>
      <c r="M237" s="94" t="s">
        <v>60</v>
      </c>
      <c r="N237" s="325">
        <v>0.007</v>
      </c>
      <c r="O237" s="312" t="s">
        <v>2381</v>
      </c>
      <c r="P237" s="315">
        <v>0.0</v>
      </c>
      <c r="Q237" s="94" t="str">
        <f>IFERROR(VLOOKUP(F237,'Cadastro de assessores'!A:B,2,FALSE),"Não Cadastrado")</f>
        <v>22066</v>
      </c>
      <c r="R237" s="376" t="s">
        <v>2393</v>
      </c>
      <c r="S237" s="24"/>
      <c r="T237" s="52"/>
      <c r="U237" s="52"/>
      <c r="V237" s="24" t="s">
        <v>89</v>
      </c>
      <c r="W237" s="5" t="s">
        <v>3033</v>
      </c>
      <c r="X237" s="151" t="s">
        <v>149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95</v>
      </c>
      <c r="AC237" s="94"/>
      <c r="AD237" s="94" t="s">
        <v>2439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2376</v>
      </c>
      <c r="B238" s="310" t="s">
        <v>3034</v>
      </c>
      <c r="C238" s="311" t="s">
        <v>3035</v>
      </c>
      <c r="D238" s="312" t="s">
        <v>18</v>
      </c>
      <c r="E238" s="312" t="s">
        <v>145</v>
      </c>
      <c r="F238" s="312" t="s">
        <v>146</v>
      </c>
      <c r="G238" s="47" t="str">
        <f t="shared" si="1"/>
        <v>Augusto</v>
      </c>
      <c r="H238" s="152" t="s">
        <v>116</v>
      </c>
      <c r="I238" s="53" t="s">
        <v>161</v>
      </c>
      <c r="J238" s="312" t="str">
        <f t="shared" si="2"/>
        <v>Não</v>
      </c>
      <c r="K238" s="313">
        <v>44797.0</v>
      </c>
      <c r="L238" s="94"/>
      <c r="M238" s="94" t="s">
        <v>45</v>
      </c>
      <c r="N238" s="314">
        <v>0.012</v>
      </c>
      <c r="O238" s="312" t="s">
        <v>2381</v>
      </c>
      <c r="P238" s="315">
        <v>0.0</v>
      </c>
      <c r="Q238" s="94" t="str">
        <f>IFERROR(VLOOKUP(F238,'Cadastro de assessores'!A:B,2,FALSE),"Não Cadastrado")</f>
        <v>250</v>
      </c>
      <c r="R238" s="312" t="s">
        <v>88</v>
      </c>
      <c r="S238" s="313">
        <v>44792.0</v>
      </c>
      <c r="T238" s="96"/>
      <c r="U238" s="316"/>
      <c r="V238" s="24" t="s">
        <v>89</v>
      </c>
      <c r="W238" s="317" t="s">
        <v>1455</v>
      </c>
      <c r="X238" s="11" t="s">
        <v>149</v>
      </c>
      <c r="Y238" s="53" t="str">
        <f t="shared" si="3"/>
        <v>Ativo</v>
      </c>
      <c r="Z238" s="126"/>
      <c r="AA238" s="94" t="str">
        <f t="shared" si="7"/>
        <v/>
      </c>
      <c r="AB238" s="13" t="s">
        <v>95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2376</v>
      </c>
      <c r="B239" s="310" t="s">
        <v>3036</v>
      </c>
      <c r="C239" s="311" t="s">
        <v>3037</v>
      </c>
      <c r="D239" s="312" t="s">
        <v>2489</v>
      </c>
      <c r="E239" s="312" t="s">
        <v>29</v>
      </c>
      <c r="F239" s="312" t="s">
        <v>2489</v>
      </c>
      <c r="G239" s="47" t="str">
        <f t="shared" si="1"/>
        <v>Augusto</v>
      </c>
      <c r="H239" s="152" t="s">
        <v>116</v>
      </c>
      <c r="I239" s="53" t="s">
        <v>161</v>
      </c>
      <c r="J239" s="312" t="str">
        <f t="shared" si="2"/>
        <v>Não</v>
      </c>
      <c r="K239" s="313">
        <v>43538.0</v>
      </c>
      <c r="L239" s="94"/>
      <c r="M239" s="94" t="s">
        <v>162</v>
      </c>
      <c r="N239" s="314">
        <v>0.01</v>
      </c>
      <c r="O239" s="312" t="s">
        <v>163</v>
      </c>
      <c r="P239" s="315">
        <v>0.2</v>
      </c>
      <c r="Q239" s="312" t="str">
        <f>IFERROR(VLOOKUP(F239,'Cadastro de assessores'!A:B,2,FALSE),"Não Cadastrado")</f>
        <v>22400</v>
      </c>
      <c r="R239" s="312" t="s">
        <v>88</v>
      </c>
      <c r="S239" s="313">
        <v>43538.0</v>
      </c>
      <c r="T239" s="156"/>
      <c r="U239" s="156"/>
      <c r="V239" s="24" t="s">
        <v>89</v>
      </c>
      <c r="W239" s="317" t="s">
        <v>3038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95</v>
      </c>
      <c r="AC239" s="94"/>
      <c r="AD239" s="312" t="s">
        <v>2421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2376</v>
      </c>
      <c r="B240" s="310" t="s">
        <v>3039</v>
      </c>
      <c r="C240" s="311" t="s">
        <v>3040</v>
      </c>
      <c r="D240" s="312" t="s">
        <v>2379</v>
      </c>
      <c r="E240" s="312" t="s">
        <v>29</v>
      </c>
      <c r="F240" s="312" t="s">
        <v>2380</v>
      </c>
      <c r="G240" s="47" t="str">
        <f t="shared" si="1"/>
        <v>Augusto</v>
      </c>
      <c r="H240" s="152" t="s">
        <v>116</v>
      </c>
      <c r="I240" s="53" t="s">
        <v>161</v>
      </c>
      <c r="J240" s="312" t="str">
        <f t="shared" si="2"/>
        <v>Não</v>
      </c>
      <c r="K240" s="313">
        <v>43601.0</v>
      </c>
      <c r="L240" s="94"/>
      <c r="M240" s="94" t="s">
        <v>162</v>
      </c>
      <c r="N240" s="314">
        <v>0.02</v>
      </c>
      <c r="O240" s="312" t="s">
        <v>163</v>
      </c>
      <c r="P240" s="315">
        <v>0.2</v>
      </c>
      <c r="Q240" s="312" t="str">
        <f>IFERROR(VLOOKUP(F240,'Cadastro de assessores'!A:B,2,FALSE),"Não Cadastrado")</f>
        <v>17573</v>
      </c>
      <c r="R240" s="312" t="s">
        <v>88</v>
      </c>
      <c r="S240" s="313">
        <v>43601.0</v>
      </c>
      <c r="T240" s="156"/>
      <c r="U240" s="156"/>
      <c r="V240" s="24" t="s">
        <v>89</v>
      </c>
      <c r="W240" s="317" t="s">
        <v>3041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95</v>
      </c>
      <c r="AC240" s="94"/>
      <c r="AD240" s="94" t="s">
        <v>2432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2376</v>
      </c>
      <c r="B241" s="45" t="s">
        <v>3042</v>
      </c>
      <c r="C241" s="357" t="s">
        <v>3043</v>
      </c>
      <c r="D241" s="312" t="s">
        <v>18</v>
      </c>
      <c r="E241" s="312" t="s">
        <v>145</v>
      </c>
      <c r="F241" s="94" t="s">
        <v>171</v>
      </c>
      <c r="G241" s="47" t="str">
        <f t="shared" si="1"/>
        <v>Augusto</v>
      </c>
      <c r="H241" s="323" t="s">
        <v>157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111</v>
      </c>
      <c r="N241" s="325">
        <v>0.015</v>
      </c>
      <c r="O241" s="312" t="s">
        <v>46</v>
      </c>
      <c r="P241" s="315">
        <v>0.1</v>
      </c>
      <c r="Q241" s="94" t="str">
        <f>IFERROR(VLOOKUP(F241,'Cadastro de assessores'!A:B,2,FALSE),"Não Cadastrado")</f>
        <v>28411</v>
      </c>
      <c r="R241" s="94" t="s">
        <v>2393</v>
      </c>
      <c r="S241" s="324">
        <v>44322.0</v>
      </c>
      <c r="T241" s="52"/>
      <c r="U241" s="52"/>
      <c r="V241" s="24" t="s">
        <v>89</v>
      </c>
      <c r="W241" s="5" t="s">
        <v>3044</v>
      </c>
      <c r="X241" s="151" t="s">
        <v>149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2439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2396</v>
      </c>
      <c r="BJ241" s="158">
        <v>0.0</v>
      </c>
      <c r="BK241" s="158" t="s">
        <v>2396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2376</v>
      </c>
      <c r="B242" s="221" t="s">
        <v>3045</v>
      </c>
      <c r="C242" s="347" t="s">
        <v>3046</v>
      </c>
      <c r="D242" s="312" t="s">
        <v>18</v>
      </c>
      <c r="E242" s="312" t="s">
        <v>145</v>
      </c>
      <c r="F242" s="94" t="s">
        <v>2464</v>
      </c>
      <c r="G242" s="47" t="str">
        <f t="shared" si="1"/>
        <v>Augusto</v>
      </c>
      <c r="H242" s="323" t="s">
        <v>157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243</v>
      </c>
      <c r="N242" s="325">
        <v>0.02</v>
      </c>
      <c r="O242" s="312" t="s">
        <v>46</v>
      </c>
      <c r="P242" s="315">
        <v>0.2</v>
      </c>
      <c r="Q242" s="94" t="str">
        <f>IFERROR(VLOOKUP(F242,'Cadastro de assessores'!A:B,2,FALSE),"Não Cadastrado")</f>
        <v>22066</v>
      </c>
      <c r="R242" s="94" t="s">
        <v>2393</v>
      </c>
      <c r="S242" s="324">
        <v>44279.0</v>
      </c>
      <c r="T242" s="156"/>
      <c r="U242" s="156"/>
      <c r="V242" s="24" t="s">
        <v>89</v>
      </c>
      <c r="W242" s="13" t="s">
        <v>3047</v>
      </c>
      <c r="X242" s="151" t="s">
        <v>149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2439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2396</v>
      </c>
      <c r="BJ242" s="158">
        <v>0.0</v>
      </c>
      <c r="BK242" s="158" t="s">
        <v>2396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2376</v>
      </c>
      <c r="B243" s="45" t="s">
        <v>3048</v>
      </c>
      <c r="C243" s="321" t="s">
        <v>3049</v>
      </c>
      <c r="D243" s="312" t="s">
        <v>18</v>
      </c>
      <c r="E243" s="312" t="s">
        <v>29</v>
      </c>
      <c r="F243" s="312" t="s">
        <v>3050</v>
      </c>
      <c r="G243" s="47" t="str">
        <f t="shared" si="1"/>
        <v>Augusto</v>
      </c>
      <c r="H243" s="152" t="s">
        <v>116</v>
      </c>
      <c r="I243" s="53" t="s">
        <v>161</v>
      </c>
      <c r="J243" s="312" t="str">
        <f t="shared" si="2"/>
        <v>Não</v>
      </c>
      <c r="K243" s="313"/>
      <c r="L243" s="24"/>
      <c r="M243" s="94" t="s">
        <v>60</v>
      </c>
      <c r="N243" s="116">
        <v>0.007</v>
      </c>
      <c r="O243" s="312" t="s">
        <v>2381</v>
      </c>
      <c r="P243" s="315">
        <v>0.0</v>
      </c>
      <c r="Q243" s="94">
        <f>IFERROR(VLOOKUP(F243,'Cadastro de assessores'!A:B,2,FALSE),"Não Cadastrado")</f>
        <v>12355</v>
      </c>
      <c r="R243" s="312" t="s">
        <v>116</v>
      </c>
      <c r="S243" s="312" t="s">
        <v>2430</v>
      </c>
      <c r="T243" s="52"/>
      <c r="U243" s="52"/>
      <c r="V243" s="24" t="s">
        <v>89</v>
      </c>
      <c r="W243" s="5" t="s">
        <v>3051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95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2376</v>
      </c>
      <c r="B244" s="45" t="s">
        <v>3052</v>
      </c>
      <c r="C244" s="321" t="s">
        <v>3053</v>
      </c>
      <c r="D244" s="312" t="s">
        <v>18</v>
      </c>
      <c r="E244" s="312" t="s">
        <v>145</v>
      </c>
      <c r="F244" s="312" t="s">
        <v>146</v>
      </c>
      <c r="G244" s="47" t="str">
        <f t="shared" si="1"/>
        <v>Augusto</v>
      </c>
      <c r="H244" s="152" t="s">
        <v>116</v>
      </c>
      <c r="I244" s="53" t="s">
        <v>161</v>
      </c>
      <c r="J244" s="312" t="str">
        <f t="shared" si="2"/>
        <v>Não</v>
      </c>
      <c r="K244" s="313">
        <v>44323.0</v>
      </c>
      <c r="L244" s="24"/>
      <c r="M244" s="94" t="s">
        <v>166</v>
      </c>
      <c r="N244" s="116">
        <v>0.008</v>
      </c>
      <c r="O244" s="312" t="s">
        <v>2381</v>
      </c>
      <c r="P244" s="315">
        <v>0.0</v>
      </c>
      <c r="Q244" s="312" t="str">
        <f>IFERROR(VLOOKUP(F244,'Cadastro de assessores'!A:B,2,FALSE),"Não Cadastrado")</f>
        <v>250</v>
      </c>
      <c r="R244" s="312" t="s">
        <v>88</v>
      </c>
      <c r="S244" s="313">
        <v>44323.0</v>
      </c>
      <c r="T244" s="96"/>
      <c r="U244" s="52"/>
      <c r="V244" s="24" t="s">
        <v>329</v>
      </c>
      <c r="W244" s="5" t="s">
        <v>3054</v>
      </c>
      <c r="X244" s="151" t="s">
        <v>149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95</v>
      </c>
      <c r="AC244" s="94"/>
      <c r="AD244" s="94" t="s">
        <v>2389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2376</v>
      </c>
      <c r="B245" s="225" t="s">
        <v>3055</v>
      </c>
      <c r="C245" s="322" t="s">
        <v>3056</v>
      </c>
      <c r="D245" s="312" t="s">
        <v>2379</v>
      </c>
      <c r="E245" s="312" t="s">
        <v>29</v>
      </c>
      <c r="F245" s="94" t="s">
        <v>2392</v>
      </c>
      <c r="G245" s="47" t="str">
        <f t="shared" si="1"/>
        <v>Augusto</v>
      </c>
      <c r="H245" s="323" t="s">
        <v>157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45</v>
      </c>
      <c r="N245" s="325">
        <v>0.005</v>
      </c>
      <c r="O245" s="312" t="s">
        <v>2381</v>
      </c>
      <c r="P245" s="315">
        <v>0.0</v>
      </c>
      <c r="Q245" s="94" t="str">
        <f>IFERROR(VLOOKUP(F245,'Cadastro de assessores'!A:B,2,FALSE),"Não Cadastrado")</f>
        <v>2971</v>
      </c>
      <c r="R245" s="94" t="s">
        <v>2393</v>
      </c>
      <c r="S245" s="324">
        <v>43570.0</v>
      </c>
      <c r="T245" s="156"/>
      <c r="U245" s="156"/>
      <c r="V245" s="24" t="s">
        <v>89</v>
      </c>
      <c r="W245" s="13" t="s">
        <v>3057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2432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2396</v>
      </c>
      <c r="BJ245" s="158">
        <v>0.0</v>
      </c>
      <c r="BK245" s="158" t="s">
        <v>2396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2376</v>
      </c>
      <c r="B246" s="310" t="s">
        <v>3055</v>
      </c>
      <c r="C246" s="311" t="s">
        <v>3058</v>
      </c>
      <c r="D246" s="312" t="s">
        <v>2379</v>
      </c>
      <c r="E246" s="312" t="s">
        <v>29</v>
      </c>
      <c r="F246" s="312" t="s">
        <v>2392</v>
      </c>
      <c r="G246" s="47" t="str">
        <f t="shared" si="1"/>
        <v>Augusto</v>
      </c>
      <c r="H246" s="323" t="s">
        <v>157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111</v>
      </c>
      <c r="N246" s="325">
        <v>0.015</v>
      </c>
      <c r="O246" s="312" t="s">
        <v>46</v>
      </c>
      <c r="P246" s="315">
        <v>0.1</v>
      </c>
      <c r="Q246" s="312" t="str">
        <f>IFERROR(VLOOKUP(F246,'Cadastro de assessores'!A:B,2,FALSE),"Não Cadastrado")</f>
        <v>2971</v>
      </c>
      <c r="R246" s="312" t="s">
        <v>88</v>
      </c>
      <c r="S246" s="313">
        <v>43570.0</v>
      </c>
      <c r="T246" s="156"/>
      <c r="U246" s="156"/>
      <c r="V246" s="24" t="s">
        <v>89</v>
      </c>
      <c r="W246" s="317" t="s">
        <v>3057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95</v>
      </c>
      <c r="AC246" s="94"/>
      <c r="AD246" s="94" t="s">
        <v>2432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2376</v>
      </c>
      <c r="B247" s="225" t="s">
        <v>3055</v>
      </c>
      <c r="C247" s="322" t="s">
        <v>3059</v>
      </c>
      <c r="D247" s="312" t="s">
        <v>2379</v>
      </c>
      <c r="E247" s="312" t="s">
        <v>29</v>
      </c>
      <c r="F247" s="94" t="s">
        <v>2392</v>
      </c>
      <c r="G247" s="47" t="str">
        <f t="shared" si="1"/>
        <v>Augusto</v>
      </c>
      <c r="H247" s="323" t="s">
        <v>157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162</v>
      </c>
      <c r="N247" s="325">
        <v>0.02</v>
      </c>
      <c r="O247" s="312" t="s">
        <v>163</v>
      </c>
      <c r="P247" s="315">
        <v>0.2</v>
      </c>
      <c r="Q247" s="94" t="str">
        <f>IFERROR(VLOOKUP(F247,'Cadastro de assessores'!A:B,2,FALSE),"Não Cadastrado")</f>
        <v>2971</v>
      </c>
      <c r="R247" s="94" t="s">
        <v>2393</v>
      </c>
      <c r="S247" s="324">
        <v>43570.0</v>
      </c>
      <c r="T247" s="156"/>
      <c r="U247" s="156"/>
      <c r="V247" s="24" t="s">
        <v>89</v>
      </c>
      <c r="W247" s="13" t="s">
        <v>3057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2432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2396</v>
      </c>
      <c r="BJ247" s="158">
        <v>0.0</v>
      </c>
      <c r="BK247" s="158" t="s">
        <v>2396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2376</v>
      </c>
      <c r="B248" s="45" t="s">
        <v>1514</v>
      </c>
      <c r="C248" s="321" t="s">
        <v>3060</v>
      </c>
      <c r="D248" s="312" t="s">
        <v>18</v>
      </c>
      <c r="E248" s="312" t="s">
        <v>145</v>
      </c>
      <c r="F248" s="92" t="s">
        <v>171</v>
      </c>
      <c r="G248" s="47" t="str">
        <f t="shared" si="1"/>
        <v>Augusto</v>
      </c>
      <c r="H248" s="323" t="s">
        <v>157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243</v>
      </c>
      <c r="N248" s="314">
        <v>0.02</v>
      </c>
      <c r="O248" s="312" t="s">
        <v>46</v>
      </c>
      <c r="P248" s="315">
        <v>0.2</v>
      </c>
      <c r="Q248" s="92" t="str">
        <f>IFERROR(VLOOKUP(F248,'Cadastro de assessores'!A:B,2,FALSE),"Não Cadastrado")</f>
        <v>28411</v>
      </c>
      <c r="R248" s="312" t="s">
        <v>88</v>
      </c>
      <c r="S248" s="74">
        <v>44382.0</v>
      </c>
      <c r="T248" s="96"/>
      <c r="U248" s="52"/>
      <c r="V248" s="24" t="s">
        <v>89</v>
      </c>
      <c r="W248" s="5" t="s">
        <v>1518</v>
      </c>
      <c r="X248" s="151" t="s">
        <v>149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95</v>
      </c>
      <c r="AC248" s="94"/>
      <c r="AD248" s="24" t="s">
        <v>2439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2376</v>
      </c>
      <c r="B249" s="225" t="s">
        <v>3061</v>
      </c>
      <c r="C249" s="322" t="s">
        <v>3062</v>
      </c>
      <c r="D249" s="312" t="s">
        <v>18</v>
      </c>
      <c r="E249" s="312" t="s">
        <v>29</v>
      </c>
      <c r="F249" s="94" t="s">
        <v>2633</v>
      </c>
      <c r="G249" s="47" t="str">
        <f t="shared" si="1"/>
        <v>Augusto</v>
      </c>
      <c r="H249" s="323" t="s">
        <v>157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111</v>
      </c>
      <c r="N249" s="325">
        <v>0.015</v>
      </c>
      <c r="O249" s="312" t="s">
        <v>46</v>
      </c>
      <c r="P249" s="315">
        <v>0.1</v>
      </c>
      <c r="Q249" s="94" t="str">
        <f>IFERROR(VLOOKUP(F249,'Cadastro de assessores'!A:B,2,FALSE),"Não Cadastrado")</f>
        <v>18236</v>
      </c>
      <c r="R249" s="94" t="s">
        <v>2393</v>
      </c>
      <c r="S249" s="324">
        <v>43990.0</v>
      </c>
      <c r="T249" s="156"/>
      <c r="U249" s="156"/>
      <c r="V249" s="24" t="s">
        <v>89</v>
      </c>
      <c r="W249" s="13" t="s">
        <v>3063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2444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2396</v>
      </c>
      <c r="BJ249" s="158">
        <v>0.0</v>
      </c>
      <c r="BK249" s="158" t="s">
        <v>2396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2376</v>
      </c>
      <c r="B250" s="45" t="s">
        <v>1519</v>
      </c>
      <c r="C250" s="321" t="s">
        <v>3064</v>
      </c>
      <c r="D250" s="312" t="s">
        <v>18</v>
      </c>
      <c r="E250" s="312" t="s">
        <v>145</v>
      </c>
      <c r="F250" s="92" t="s">
        <v>171</v>
      </c>
      <c r="G250" s="47" t="str">
        <f t="shared" si="1"/>
        <v>Breno</v>
      </c>
      <c r="H250" s="323" t="s">
        <v>88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111</v>
      </c>
      <c r="N250" s="325">
        <v>0.015</v>
      </c>
      <c r="O250" s="312" t="s">
        <v>46</v>
      </c>
      <c r="P250" s="315">
        <v>0.1</v>
      </c>
      <c r="Q250" s="92" t="str">
        <f>IFERROR(VLOOKUP(F250,'Cadastro de assessores'!A:B,2,FALSE),"Não Cadastrado")</f>
        <v>28411</v>
      </c>
      <c r="R250" s="312" t="s">
        <v>88</v>
      </c>
      <c r="S250" s="313">
        <v>44328.0</v>
      </c>
      <c r="T250" s="62"/>
      <c r="U250" s="52"/>
      <c r="V250" s="24" t="s">
        <v>89</v>
      </c>
      <c r="W250" s="5" t="s">
        <v>1521</v>
      </c>
      <c r="X250" s="151" t="s">
        <v>149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95</v>
      </c>
      <c r="AC250" s="94"/>
      <c r="AD250" s="94" t="s">
        <v>2439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2376</v>
      </c>
      <c r="B251" s="221" t="s">
        <v>3065</v>
      </c>
      <c r="C251" s="322" t="s">
        <v>3066</v>
      </c>
      <c r="D251" s="312" t="s">
        <v>2379</v>
      </c>
      <c r="E251" s="312" t="s">
        <v>29</v>
      </c>
      <c r="F251" s="94" t="s">
        <v>2379</v>
      </c>
      <c r="G251" s="47" t="str">
        <f t="shared" si="1"/>
        <v>Augusto</v>
      </c>
      <c r="H251" s="323" t="s">
        <v>157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45</v>
      </c>
      <c r="N251" s="325">
        <v>0.012</v>
      </c>
      <c r="O251" s="312" t="s">
        <v>2381</v>
      </c>
      <c r="P251" s="315">
        <v>0.0</v>
      </c>
      <c r="Q251" s="94" t="str">
        <f>IFERROR(VLOOKUP(F251,'Cadastro de assessores'!A:B,2,FALSE),"Não Cadastrado")</f>
        <v>18986</v>
      </c>
      <c r="R251" s="94" t="s">
        <v>2393</v>
      </c>
      <c r="S251" s="324">
        <v>44036.0</v>
      </c>
      <c r="T251" s="156"/>
      <c r="U251" s="156"/>
      <c r="V251" s="24" t="s">
        <v>89</v>
      </c>
      <c r="W251" s="13" t="s">
        <v>3067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3068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2396</v>
      </c>
      <c r="BJ251" s="158">
        <v>0.0</v>
      </c>
      <c r="BK251" s="158" t="s">
        <v>2396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2376</v>
      </c>
      <c r="B252" s="149" t="s">
        <v>3069</v>
      </c>
      <c r="C252" s="321" t="s">
        <v>3070</v>
      </c>
      <c r="D252" s="312" t="s">
        <v>18</v>
      </c>
      <c r="E252" s="312" t="s">
        <v>29</v>
      </c>
      <c r="F252" s="94" t="s">
        <v>110</v>
      </c>
      <c r="G252" s="47" t="str">
        <f t="shared" si="1"/>
        <v>Breno</v>
      </c>
      <c r="H252" s="152" t="s">
        <v>88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60</v>
      </c>
      <c r="N252" s="325">
        <v>0.01</v>
      </c>
      <c r="O252" s="312" t="s">
        <v>2381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89</v>
      </c>
      <c r="W252" s="11" t="s">
        <v>3071</v>
      </c>
      <c r="X252" s="13" t="s">
        <v>465</v>
      </c>
      <c r="Y252" s="53" t="str">
        <f t="shared" si="3"/>
        <v>Ativo</v>
      </c>
      <c r="Z252" s="126"/>
      <c r="AA252" s="94" t="str">
        <f t="shared" si="7"/>
        <v/>
      </c>
      <c r="AB252" s="13" t="s">
        <v>95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2376</v>
      </c>
      <c r="B253" s="225" t="s">
        <v>3072</v>
      </c>
      <c r="C253" s="322" t="s">
        <v>3073</v>
      </c>
      <c r="D253" s="312" t="s">
        <v>2379</v>
      </c>
      <c r="E253" s="312" t="s">
        <v>29</v>
      </c>
      <c r="F253" s="94" t="s">
        <v>2380</v>
      </c>
      <c r="G253" s="47" t="str">
        <f t="shared" si="1"/>
        <v>Augusto</v>
      </c>
      <c r="H253" s="323" t="s">
        <v>157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162</v>
      </c>
      <c r="N253" s="325">
        <v>0.02</v>
      </c>
      <c r="O253" s="312" t="s">
        <v>163</v>
      </c>
      <c r="P253" s="315">
        <v>0.2</v>
      </c>
      <c r="Q253" s="94" t="str">
        <f>IFERROR(VLOOKUP(F253,'Cadastro de assessores'!A:B,2,FALSE),"Não Cadastrado")</f>
        <v>17573</v>
      </c>
      <c r="R253" s="94" t="s">
        <v>2393</v>
      </c>
      <c r="S253" s="324">
        <v>43564.0</v>
      </c>
      <c r="T253" s="156"/>
      <c r="U253" s="156"/>
      <c r="V253" s="24" t="s">
        <v>89</v>
      </c>
      <c r="W253" s="13" t="s">
        <v>3074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2421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2396</v>
      </c>
      <c r="BJ253" s="158">
        <v>0.0</v>
      </c>
      <c r="BK253" s="158" t="s">
        <v>2396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2376</v>
      </c>
      <c r="B254" s="221" t="s">
        <v>3072</v>
      </c>
      <c r="C254" s="322" t="s">
        <v>3075</v>
      </c>
      <c r="D254" s="312" t="s">
        <v>18</v>
      </c>
      <c r="E254" s="312" t="s">
        <v>29</v>
      </c>
      <c r="F254" s="312" t="s">
        <v>58</v>
      </c>
      <c r="G254" s="47" t="str">
        <f t="shared" si="1"/>
        <v>Augusto</v>
      </c>
      <c r="H254" s="152" t="s">
        <v>88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45</v>
      </c>
      <c r="N254" s="325">
        <v>0.012</v>
      </c>
      <c r="O254" s="312" t="s">
        <v>2381</v>
      </c>
      <c r="P254" s="315">
        <v>0.0</v>
      </c>
      <c r="Q254" s="312">
        <f>IFERROR(VLOOKUP(F254,'Cadastro de assessores'!A:B,2,FALSE),"Não Cadastrado")</f>
        <v>12359</v>
      </c>
      <c r="R254" s="312" t="s">
        <v>88</v>
      </c>
      <c r="S254" s="326">
        <v>43811.0</v>
      </c>
      <c r="T254" s="327" t="s">
        <v>3076</v>
      </c>
      <c r="U254" s="327" t="s">
        <v>2871</v>
      </c>
      <c r="V254" s="24" t="s">
        <v>89</v>
      </c>
      <c r="W254" s="13" t="s">
        <v>3074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91</v>
      </c>
      <c r="AC254" s="94"/>
      <c r="AD254" s="312" t="s">
        <v>2421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2376</v>
      </c>
      <c r="B255" s="225" t="s">
        <v>1538</v>
      </c>
      <c r="C255" s="322" t="s">
        <v>3077</v>
      </c>
      <c r="D255" s="312" t="s">
        <v>18</v>
      </c>
      <c r="E255" s="312" t="s">
        <v>145</v>
      </c>
      <c r="F255" s="94" t="s">
        <v>2464</v>
      </c>
      <c r="G255" s="47" t="str">
        <f t="shared" si="1"/>
        <v>Augusto</v>
      </c>
      <c r="H255" s="152" t="s">
        <v>116</v>
      </c>
      <c r="I255" s="53" t="s">
        <v>161</v>
      </c>
      <c r="J255" s="312" t="str">
        <f t="shared" si="2"/>
        <v>Sim</v>
      </c>
      <c r="K255" s="324">
        <v>44761.0</v>
      </c>
      <c r="L255" s="324"/>
      <c r="M255" s="94" t="s">
        <v>60</v>
      </c>
      <c r="N255" s="325">
        <v>0.007</v>
      </c>
      <c r="O255" s="312" t="s">
        <v>2381</v>
      </c>
      <c r="P255" s="315">
        <v>0.0</v>
      </c>
      <c r="Q255" s="312" t="str">
        <f>IFERROR(VLOOKUP(F255,'Cadastro de assessores'!A:B,2,FALSE),"Não Cadastrado")</f>
        <v>22066</v>
      </c>
      <c r="R255" s="312" t="s">
        <v>88</v>
      </c>
      <c r="S255" s="324">
        <v>44761.0</v>
      </c>
      <c r="T255" s="156" t="s">
        <v>3078</v>
      </c>
      <c r="U255" s="156"/>
      <c r="V255" s="24" t="s">
        <v>89</v>
      </c>
      <c r="W255" s="13" t="s">
        <v>1541</v>
      </c>
      <c r="X255" s="151" t="s">
        <v>149</v>
      </c>
      <c r="Y255" s="53" t="str">
        <f t="shared" si="3"/>
        <v>Ativo</v>
      </c>
      <c r="Z255" s="126"/>
      <c r="AA255" s="94" t="str">
        <f t="shared" si="7"/>
        <v/>
      </c>
      <c r="AB255" s="13" t="s">
        <v>95</v>
      </c>
      <c r="AC255" s="94"/>
      <c r="AD255" s="94" t="s">
        <v>2389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2376</v>
      </c>
      <c r="B256" s="225" t="s">
        <v>3079</v>
      </c>
      <c r="C256" s="322" t="s">
        <v>3080</v>
      </c>
      <c r="D256" s="312" t="s">
        <v>18</v>
      </c>
      <c r="E256" s="312" t="s">
        <v>29</v>
      </c>
      <c r="F256" s="94" t="s">
        <v>110</v>
      </c>
      <c r="G256" s="47" t="str">
        <f t="shared" si="1"/>
        <v>Augusto</v>
      </c>
      <c r="H256" s="323" t="s">
        <v>157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243</v>
      </c>
      <c r="N256" s="325">
        <v>0.015</v>
      </c>
      <c r="O256" s="312" t="s">
        <v>46</v>
      </c>
      <c r="P256" s="315">
        <v>0.2</v>
      </c>
      <c r="Q256" s="94">
        <f>IFERROR(VLOOKUP(F256,'Cadastro de assessores'!A:B,2,FALSE),"Não Cadastrado")</f>
        <v>12332</v>
      </c>
      <c r="R256" s="94" t="s">
        <v>2393</v>
      </c>
      <c r="S256" s="324">
        <v>43475.0</v>
      </c>
      <c r="T256" s="368"/>
      <c r="U256" s="368"/>
      <c r="V256" s="24" t="s">
        <v>89</v>
      </c>
      <c r="W256" s="13" t="s">
        <v>3081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2453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2396</v>
      </c>
      <c r="BJ256" s="158">
        <v>0.0</v>
      </c>
      <c r="BK256" s="158" t="s">
        <v>2396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2376</v>
      </c>
      <c r="B257" s="45" t="s">
        <v>3082</v>
      </c>
      <c r="C257" s="321" t="s">
        <v>3083</v>
      </c>
      <c r="D257" s="312" t="s">
        <v>18</v>
      </c>
      <c r="E257" s="312" t="s">
        <v>145</v>
      </c>
      <c r="F257" s="92" t="s">
        <v>146</v>
      </c>
      <c r="G257" s="47" t="str">
        <f t="shared" si="1"/>
        <v>Augusto</v>
      </c>
      <c r="H257" s="323" t="s">
        <v>157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162</v>
      </c>
      <c r="N257" s="325">
        <v>0.025</v>
      </c>
      <c r="O257" s="312" t="s">
        <v>163</v>
      </c>
      <c r="P257" s="315">
        <v>0.2</v>
      </c>
      <c r="Q257" s="92" t="str">
        <f>IFERROR(VLOOKUP(F257,'Cadastro de assessores'!A:B,2,FALSE),"Não Cadastrado")</f>
        <v>250</v>
      </c>
      <c r="R257" s="312" t="s">
        <v>88</v>
      </c>
      <c r="S257" s="313">
        <v>44371.0</v>
      </c>
      <c r="T257" s="65"/>
      <c r="U257" s="52"/>
      <c r="V257" s="24" t="s">
        <v>89</v>
      </c>
      <c r="W257" s="5" t="s">
        <v>3084</v>
      </c>
      <c r="X257" s="151" t="s">
        <v>149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95</v>
      </c>
      <c r="AC257" s="94"/>
      <c r="AD257" s="24" t="s">
        <v>2389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2376</v>
      </c>
      <c r="B258" s="221" t="s">
        <v>3085</v>
      </c>
      <c r="C258" s="204" t="s">
        <v>3086</v>
      </c>
      <c r="D258" s="312" t="s">
        <v>18</v>
      </c>
      <c r="E258" s="312" t="s">
        <v>19</v>
      </c>
      <c r="F258" s="312" t="s">
        <v>52</v>
      </c>
      <c r="G258" s="47" t="str">
        <f t="shared" si="1"/>
        <v>Augusto</v>
      </c>
      <c r="H258" s="152" t="s">
        <v>116</v>
      </c>
      <c r="I258" s="53" t="s">
        <v>161</v>
      </c>
      <c r="J258" s="312" t="str">
        <f t="shared" si="2"/>
        <v>Não</v>
      </c>
      <c r="K258" s="313">
        <v>44818.0</v>
      </c>
      <c r="L258" s="94"/>
      <c r="M258" s="94" t="s">
        <v>45</v>
      </c>
      <c r="N258" s="325">
        <v>0.012</v>
      </c>
      <c r="O258" s="312" t="s">
        <v>2381</v>
      </c>
      <c r="P258" s="315">
        <v>0.0</v>
      </c>
      <c r="Q258" s="92" t="str">
        <f>IFERROR(VLOOKUP(F258,'Cadastro de assessores'!A:B,2,FALSE),"Não Cadastrado")</f>
        <v>17831</v>
      </c>
      <c r="R258" s="312" t="s">
        <v>88</v>
      </c>
      <c r="S258" s="313">
        <v>44818.0</v>
      </c>
      <c r="T258" s="156"/>
      <c r="U258" s="156"/>
      <c r="V258" s="24" t="s">
        <v>89</v>
      </c>
      <c r="W258" s="13" t="s">
        <v>1564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91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2376</v>
      </c>
      <c r="B259" s="221" t="s">
        <v>1569</v>
      </c>
      <c r="C259" s="204" t="s">
        <v>3087</v>
      </c>
      <c r="D259" s="312" t="s">
        <v>18</v>
      </c>
      <c r="E259" s="312" t="s">
        <v>145</v>
      </c>
      <c r="F259" s="312" t="s">
        <v>171</v>
      </c>
      <c r="G259" s="47" t="str">
        <f t="shared" si="1"/>
        <v>Augusto</v>
      </c>
      <c r="H259" s="152" t="s">
        <v>116</v>
      </c>
      <c r="I259" s="53" t="s">
        <v>161</v>
      </c>
      <c r="J259" s="312" t="str">
        <f t="shared" si="2"/>
        <v>Não</v>
      </c>
      <c r="K259" s="313">
        <v>44287.0</v>
      </c>
      <c r="L259" s="94"/>
      <c r="M259" s="94" t="s">
        <v>45</v>
      </c>
      <c r="N259" s="325">
        <v>0.012</v>
      </c>
      <c r="O259" s="312" t="s">
        <v>2381</v>
      </c>
      <c r="P259" s="315">
        <v>0.0</v>
      </c>
      <c r="Q259" s="312" t="str">
        <f>IFERROR(VLOOKUP(F259,'Cadastro de assessores'!A:B,2,FALSE),"Não Cadastrado")</f>
        <v>28411</v>
      </c>
      <c r="R259" s="312" t="s">
        <v>88</v>
      </c>
      <c r="S259" s="313">
        <v>44287.0</v>
      </c>
      <c r="T259" s="65"/>
      <c r="U259" s="156"/>
      <c r="V259" s="24" t="s">
        <v>89</v>
      </c>
      <c r="W259" s="13" t="s">
        <v>1571</v>
      </c>
      <c r="X259" s="94" t="s">
        <v>180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91</v>
      </c>
      <c r="AC259" s="94"/>
      <c r="AD259" s="94" t="s">
        <v>3088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2376</v>
      </c>
      <c r="B260" s="45" t="s">
        <v>3089</v>
      </c>
      <c r="C260" s="321" t="s">
        <v>3090</v>
      </c>
      <c r="D260" s="312" t="s">
        <v>18</v>
      </c>
      <c r="E260" s="312" t="s">
        <v>145</v>
      </c>
      <c r="F260" s="312" t="s">
        <v>171</v>
      </c>
      <c r="G260" s="47" t="str">
        <f t="shared" si="1"/>
        <v>Augusto</v>
      </c>
      <c r="H260" s="152" t="s">
        <v>116</v>
      </c>
      <c r="I260" s="53" t="s">
        <v>161</v>
      </c>
      <c r="J260" s="312" t="str">
        <f t="shared" si="2"/>
        <v>Não</v>
      </c>
      <c r="K260" s="313">
        <v>44321.0</v>
      </c>
      <c r="L260" s="94"/>
      <c r="M260" s="94" t="s">
        <v>60</v>
      </c>
      <c r="N260" s="325">
        <v>0.015</v>
      </c>
      <c r="O260" s="312" t="s">
        <v>2381</v>
      </c>
      <c r="P260" s="315">
        <v>0.0</v>
      </c>
      <c r="Q260" s="312" t="str">
        <f>IFERROR(VLOOKUP(F260,'Cadastro de assessores'!A:B,2,FALSE),"Não Cadastrado")</f>
        <v>28411</v>
      </c>
      <c r="R260" s="312" t="s">
        <v>88</v>
      </c>
      <c r="S260" s="313">
        <v>44321.0</v>
      </c>
      <c r="T260" s="65"/>
      <c r="U260" s="52"/>
      <c r="V260" s="24" t="s">
        <v>89</v>
      </c>
      <c r="W260" s="5" t="s">
        <v>3091</v>
      </c>
      <c r="X260" s="151" t="s">
        <v>149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95</v>
      </c>
      <c r="AC260" s="94"/>
      <c r="AD260" s="94" t="s">
        <v>2439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2376</v>
      </c>
      <c r="B261" s="45" t="s">
        <v>3092</v>
      </c>
      <c r="C261" s="321" t="s">
        <v>3093</v>
      </c>
      <c r="D261" s="312" t="s">
        <v>18</v>
      </c>
      <c r="E261" s="312" t="s">
        <v>145</v>
      </c>
      <c r="F261" s="312" t="s">
        <v>171</v>
      </c>
      <c r="G261" s="47" t="str">
        <f t="shared" si="1"/>
        <v>Augusto</v>
      </c>
      <c r="H261" s="152" t="s">
        <v>116</v>
      </c>
      <c r="I261" s="53" t="s">
        <v>161</v>
      </c>
      <c r="J261" s="312" t="str">
        <f t="shared" si="2"/>
        <v>Não</v>
      </c>
      <c r="K261" s="313">
        <v>44448.0</v>
      </c>
      <c r="L261" s="94"/>
      <c r="M261" s="94" t="s">
        <v>243</v>
      </c>
      <c r="N261" s="325">
        <v>0.02</v>
      </c>
      <c r="O261" s="312" t="s">
        <v>46</v>
      </c>
      <c r="P261" s="315">
        <v>0.2</v>
      </c>
      <c r="Q261" s="312" t="str">
        <f>IFERROR(VLOOKUP(F261,'Cadastro de assessores'!A:B,2,FALSE),"Não Cadastrado")</f>
        <v>28411</v>
      </c>
      <c r="R261" s="312" t="s">
        <v>88</v>
      </c>
      <c r="S261" s="313">
        <v>44448.0</v>
      </c>
      <c r="T261" s="52"/>
      <c r="U261" s="52"/>
      <c r="V261" s="24" t="s">
        <v>89</v>
      </c>
      <c r="W261" s="5" t="s">
        <v>3094</v>
      </c>
      <c r="X261" s="151" t="s">
        <v>149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95</v>
      </c>
      <c r="AC261" s="94"/>
      <c r="AD261" s="94" t="s">
        <v>2439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2376</v>
      </c>
      <c r="B262" s="221" t="s">
        <v>3095</v>
      </c>
      <c r="C262" s="322" t="s">
        <v>3096</v>
      </c>
      <c r="D262" s="312" t="s">
        <v>2379</v>
      </c>
      <c r="E262" s="312" t="s">
        <v>29</v>
      </c>
      <c r="F262" s="94" t="s">
        <v>2380</v>
      </c>
      <c r="G262" s="47" t="str">
        <f t="shared" si="1"/>
        <v>Augusto</v>
      </c>
      <c r="H262" s="323" t="s">
        <v>157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111</v>
      </c>
      <c r="N262" s="325">
        <v>0.015</v>
      </c>
      <c r="O262" s="312" t="s">
        <v>46</v>
      </c>
      <c r="P262" s="315">
        <v>0.1</v>
      </c>
      <c r="Q262" s="94" t="str">
        <f>IFERROR(VLOOKUP(F262,'Cadastro de assessores'!A:B,2,FALSE),"Não Cadastrado")</f>
        <v>17573</v>
      </c>
      <c r="R262" s="94" t="s">
        <v>2393</v>
      </c>
      <c r="S262" s="324">
        <v>43873.0</v>
      </c>
      <c r="T262" s="156"/>
      <c r="U262" s="156"/>
      <c r="V262" s="24" t="s">
        <v>89</v>
      </c>
      <c r="W262" s="13" t="s">
        <v>3097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2950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2396</v>
      </c>
      <c r="BJ262" s="158">
        <v>0.0</v>
      </c>
      <c r="BK262" s="158" t="s">
        <v>2396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2376</v>
      </c>
      <c r="B263" s="45" t="s">
        <v>3098</v>
      </c>
      <c r="C263" s="357">
        <v>763978.0</v>
      </c>
      <c r="D263" s="312" t="s">
        <v>18</v>
      </c>
      <c r="E263" s="312" t="s">
        <v>145</v>
      </c>
      <c r="F263" s="312" t="s">
        <v>171</v>
      </c>
      <c r="G263" s="47" t="str">
        <f t="shared" si="1"/>
        <v>Augusto</v>
      </c>
      <c r="H263" s="323" t="s">
        <v>116</v>
      </c>
      <c r="I263" s="53" t="s">
        <v>161</v>
      </c>
      <c r="J263" s="312" t="str">
        <f t="shared" si="2"/>
        <v>Não</v>
      </c>
      <c r="K263" s="324">
        <v>44789.0</v>
      </c>
      <c r="L263" s="329"/>
      <c r="M263" s="94" t="s">
        <v>60</v>
      </c>
      <c r="N263" s="325">
        <v>0.007</v>
      </c>
      <c r="O263" s="312" t="s">
        <v>2381</v>
      </c>
      <c r="P263" s="315">
        <v>0.0</v>
      </c>
      <c r="Q263" s="94" t="str">
        <f>IFERROR(VLOOKUP(F263,'Cadastro de assessores'!A:B,2,FALSE),"Não Cadastrado")</f>
        <v>28411</v>
      </c>
      <c r="R263" s="94" t="s">
        <v>88</v>
      </c>
      <c r="S263" s="324">
        <v>44789.0</v>
      </c>
      <c r="T263" s="156"/>
      <c r="U263" s="156"/>
      <c r="V263" s="24" t="s">
        <v>89</v>
      </c>
      <c r="W263" s="5" t="s">
        <v>3099</v>
      </c>
      <c r="X263" s="151" t="s">
        <v>149</v>
      </c>
      <c r="Y263" s="53" t="str">
        <f t="shared" si="3"/>
        <v>Ativo</v>
      </c>
      <c r="Z263" s="126"/>
      <c r="AA263" s="94" t="str">
        <f t="shared" si="7"/>
        <v/>
      </c>
      <c r="AB263" s="13" t="s">
        <v>95</v>
      </c>
      <c r="AC263" s="94"/>
      <c r="AD263" s="94" t="s">
        <v>2389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2376</v>
      </c>
      <c r="B264" s="45" t="s">
        <v>1587</v>
      </c>
      <c r="C264" s="377" t="s">
        <v>3100</v>
      </c>
      <c r="D264" s="312" t="s">
        <v>18</v>
      </c>
      <c r="E264" s="312" t="s">
        <v>145</v>
      </c>
      <c r="F264" s="94" t="s">
        <v>146</v>
      </c>
      <c r="G264" s="47" t="str">
        <f t="shared" si="1"/>
        <v>Augusto</v>
      </c>
      <c r="H264" s="323" t="s">
        <v>157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111</v>
      </c>
      <c r="N264" s="325">
        <v>0.015</v>
      </c>
      <c r="O264" s="312" t="s">
        <v>46</v>
      </c>
      <c r="P264" s="315">
        <v>0.1</v>
      </c>
      <c r="Q264" s="94" t="str">
        <f>IFERROR(VLOOKUP(F264,'Cadastro de assessores'!A:B,2,FALSE),"Não Cadastrado")</f>
        <v>250</v>
      </c>
      <c r="R264" s="94" t="s">
        <v>2393</v>
      </c>
      <c r="S264" s="324">
        <v>44322.0</v>
      </c>
      <c r="T264" s="156"/>
      <c r="U264" s="156"/>
      <c r="V264" s="24" t="s">
        <v>89</v>
      </c>
      <c r="W264" s="5" t="s">
        <v>1589</v>
      </c>
      <c r="X264" s="151" t="s">
        <v>149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2439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2396</v>
      </c>
      <c r="BJ264" s="158">
        <v>0.0</v>
      </c>
      <c r="BK264" s="158" t="s">
        <v>2396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2376</v>
      </c>
      <c r="B265" s="310" t="s">
        <v>1587</v>
      </c>
      <c r="C265" s="311" t="s">
        <v>3101</v>
      </c>
      <c r="D265" s="312" t="s">
        <v>18</v>
      </c>
      <c r="E265" s="312" t="s">
        <v>145</v>
      </c>
      <c r="F265" s="312" t="s">
        <v>146</v>
      </c>
      <c r="G265" s="47" t="str">
        <f t="shared" si="1"/>
        <v>Augusto</v>
      </c>
      <c r="H265" s="152" t="s">
        <v>116</v>
      </c>
      <c r="I265" s="53" t="s">
        <v>161</v>
      </c>
      <c r="J265" s="312" t="str">
        <f t="shared" si="2"/>
        <v>Sim</v>
      </c>
      <c r="K265" s="313">
        <v>44715.0</v>
      </c>
      <c r="L265" s="94"/>
      <c r="M265" s="94" t="s">
        <v>60</v>
      </c>
      <c r="N265" s="314">
        <v>0.007</v>
      </c>
      <c r="O265" s="312" t="s">
        <v>2381</v>
      </c>
      <c r="P265" s="315">
        <v>0.0</v>
      </c>
      <c r="Q265" s="312">
        <v>250.0</v>
      </c>
      <c r="R265" s="312" t="s">
        <v>88</v>
      </c>
      <c r="S265" s="313">
        <v>44714.0</v>
      </c>
      <c r="T265" s="156" t="s">
        <v>3102</v>
      </c>
      <c r="U265" s="156"/>
      <c r="V265" s="24" t="s">
        <v>89</v>
      </c>
      <c r="W265" s="317" t="s">
        <v>1589</v>
      </c>
      <c r="X265" s="151" t="s">
        <v>149</v>
      </c>
      <c r="Y265" s="53" t="str">
        <f t="shared" si="3"/>
        <v>Ativo</v>
      </c>
      <c r="Z265" s="126"/>
      <c r="AA265" s="94" t="str">
        <f t="shared" si="7"/>
        <v/>
      </c>
      <c r="AB265" s="13" t="s">
        <v>95</v>
      </c>
      <c r="AC265" s="94"/>
      <c r="AD265" s="94" t="s">
        <v>2439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2376</v>
      </c>
      <c r="B266" s="310" t="s">
        <v>3103</v>
      </c>
      <c r="C266" s="311" t="s">
        <v>3104</v>
      </c>
      <c r="D266" s="312" t="s">
        <v>18</v>
      </c>
      <c r="E266" s="312" t="s">
        <v>29</v>
      </c>
      <c r="F266" s="312" t="s">
        <v>137</v>
      </c>
      <c r="G266" s="47" t="str">
        <f t="shared" si="1"/>
        <v>Augusto</v>
      </c>
      <c r="H266" s="152" t="s">
        <v>88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45</v>
      </c>
      <c r="N266" s="314">
        <v>0.005</v>
      </c>
      <c r="O266" s="312" t="s">
        <v>2381</v>
      </c>
      <c r="P266" s="315">
        <v>0.0</v>
      </c>
      <c r="Q266" s="312">
        <f>IFERROR(VLOOKUP(F266,'Cadastro de assessores'!A:B,2,FALSE),"Não Cadastrado")</f>
        <v>12344</v>
      </c>
      <c r="R266" s="312" t="s">
        <v>88</v>
      </c>
      <c r="S266" s="313">
        <v>43630.0</v>
      </c>
      <c r="T266" s="156"/>
      <c r="U266" s="327" t="s">
        <v>2656</v>
      </c>
      <c r="V266" s="24" t="s">
        <v>89</v>
      </c>
      <c r="W266" s="317" t="s">
        <v>3105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95</v>
      </c>
      <c r="AC266" s="94"/>
      <c r="AD266" s="312" t="s">
        <v>2421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2376</v>
      </c>
      <c r="B267" s="221" t="s">
        <v>3106</v>
      </c>
      <c r="C267" s="347" t="s">
        <v>3107</v>
      </c>
      <c r="D267" s="312" t="s">
        <v>18</v>
      </c>
      <c r="E267" s="312" t="s">
        <v>145</v>
      </c>
      <c r="F267" s="94" t="s">
        <v>171</v>
      </c>
      <c r="G267" s="47" t="str">
        <f t="shared" si="1"/>
        <v>Augusto</v>
      </c>
      <c r="H267" s="323" t="s">
        <v>157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243</v>
      </c>
      <c r="N267" s="325">
        <v>0.02</v>
      </c>
      <c r="O267" s="312" t="s">
        <v>46</v>
      </c>
      <c r="P267" s="315">
        <v>0.2</v>
      </c>
      <c r="Q267" s="94" t="str">
        <f>IFERROR(VLOOKUP(F267,'Cadastro de assessores'!A:B,2,FALSE),"Não Cadastrado")</f>
        <v>28411</v>
      </c>
      <c r="R267" s="94" t="s">
        <v>2393</v>
      </c>
      <c r="S267" s="324">
        <v>44280.0</v>
      </c>
      <c r="T267" s="156"/>
      <c r="U267" s="156"/>
      <c r="V267" s="24" t="s">
        <v>89</v>
      </c>
      <c r="W267" s="13" t="s">
        <v>3108</v>
      </c>
      <c r="X267" s="151" t="s">
        <v>149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2439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2396</v>
      </c>
      <c r="BJ267" s="158">
        <v>0.0</v>
      </c>
      <c r="BK267" s="158" t="s">
        <v>2396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2376</v>
      </c>
      <c r="B268" s="225" t="s">
        <v>3109</v>
      </c>
      <c r="C268" s="322" t="s">
        <v>3110</v>
      </c>
      <c r="D268" s="312" t="s">
        <v>2379</v>
      </c>
      <c r="E268" s="312" t="s">
        <v>29</v>
      </c>
      <c r="F268" s="94" t="s">
        <v>2392</v>
      </c>
      <c r="G268" s="47" t="str">
        <f t="shared" si="1"/>
        <v>Augusto</v>
      </c>
      <c r="H268" s="323" t="s">
        <v>157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45</v>
      </c>
      <c r="N268" s="325">
        <v>0.012</v>
      </c>
      <c r="O268" s="312" t="s">
        <v>2381</v>
      </c>
      <c r="P268" s="315">
        <v>0.0</v>
      </c>
      <c r="Q268" s="94" t="str">
        <f>IFERROR(VLOOKUP(F268,'Cadastro de assessores'!A:B,2,FALSE),"Não Cadastrado")</f>
        <v>2971</v>
      </c>
      <c r="R268" s="94" t="s">
        <v>2393</v>
      </c>
      <c r="S268" s="324">
        <v>43622.0</v>
      </c>
      <c r="T268" s="156"/>
      <c r="U268" s="156"/>
      <c r="V268" s="24" t="s">
        <v>89</v>
      </c>
      <c r="W268" s="13" t="s">
        <v>3111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2410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2396</v>
      </c>
      <c r="BJ268" s="158">
        <v>0.0</v>
      </c>
      <c r="BK268" s="158" t="s">
        <v>2396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2376</v>
      </c>
      <c r="B269" s="225" t="s">
        <v>3109</v>
      </c>
      <c r="C269" s="322" t="s">
        <v>3112</v>
      </c>
      <c r="D269" s="312" t="s">
        <v>2379</v>
      </c>
      <c r="E269" s="312" t="s">
        <v>29</v>
      </c>
      <c r="F269" s="94" t="s">
        <v>2392</v>
      </c>
      <c r="G269" s="47" t="str">
        <f t="shared" si="1"/>
        <v>Augusto</v>
      </c>
      <c r="H269" s="323" t="s">
        <v>157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111</v>
      </c>
      <c r="N269" s="325">
        <v>0.01</v>
      </c>
      <c r="O269" s="312" t="s">
        <v>46</v>
      </c>
      <c r="P269" s="315">
        <v>0.1</v>
      </c>
      <c r="Q269" s="94" t="str">
        <f>IFERROR(VLOOKUP(F269,'Cadastro de assessores'!A:B,2,FALSE),"Não Cadastrado")</f>
        <v>2971</v>
      </c>
      <c r="R269" s="94" t="s">
        <v>2393</v>
      </c>
      <c r="S269" s="324">
        <v>43622.0</v>
      </c>
      <c r="T269" s="156"/>
      <c r="U269" s="156"/>
      <c r="V269" s="24" t="s">
        <v>89</v>
      </c>
      <c r="W269" s="13" t="s">
        <v>3111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2410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2396</v>
      </c>
      <c r="BJ269" s="158">
        <v>0.0</v>
      </c>
      <c r="BK269" s="158" t="s">
        <v>2396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2376</v>
      </c>
      <c r="B270" s="221" t="s">
        <v>3113</v>
      </c>
      <c r="C270" s="322" t="s">
        <v>3114</v>
      </c>
      <c r="D270" s="312" t="s">
        <v>2379</v>
      </c>
      <c r="E270" s="312" t="s">
        <v>29</v>
      </c>
      <c r="F270" s="312" t="s">
        <v>2380</v>
      </c>
      <c r="G270" s="47" t="str">
        <f t="shared" si="1"/>
        <v>Augusto</v>
      </c>
      <c r="H270" s="152" t="s">
        <v>116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45</v>
      </c>
      <c r="N270" s="325">
        <v>0.012</v>
      </c>
      <c r="O270" s="312" t="s">
        <v>2381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3115</v>
      </c>
      <c r="S270" s="313">
        <v>43917.0</v>
      </c>
      <c r="T270" s="316"/>
      <c r="U270" s="316"/>
      <c r="V270" s="24" t="s">
        <v>89</v>
      </c>
      <c r="W270" s="13" t="s">
        <v>3116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95</v>
      </c>
      <c r="AC270" s="94"/>
      <c r="AD270" s="312" t="s">
        <v>2505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2376</v>
      </c>
      <c r="B271" s="221" t="s">
        <v>3117</v>
      </c>
      <c r="C271" s="322" t="s">
        <v>3118</v>
      </c>
      <c r="D271" s="312" t="s">
        <v>18</v>
      </c>
      <c r="E271" s="312" t="s">
        <v>145</v>
      </c>
      <c r="F271" s="94" t="s">
        <v>2464</v>
      </c>
      <c r="G271" s="47" t="str">
        <f t="shared" si="1"/>
        <v>Augusto</v>
      </c>
      <c r="H271" s="323" t="s">
        <v>157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45</v>
      </c>
      <c r="N271" s="325">
        <v>0.012</v>
      </c>
      <c r="O271" s="312" t="s">
        <v>2381</v>
      </c>
      <c r="P271" s="315">
        <v>0.0</v>
      </c>
      <c r="Q271" s="94" t="str">
        <f>IFERROR(VLOOKUP(F271,'Cadastro de assessores'!A:B,2,FALSE),"Não Cadastrado")</f>
        <v>22066</v>
      </c>
      <c r="R271" s="94" t="s">
        <v>2393</v>
      </c>
      <c r="S271" s="324">
        <v>44280.0</v>
      </c>
      <c r="T271" s="156"/>
      <c r="U271" s="156"/>
      <c r="V271" s="24" t="s">
        <v>89</v>
      </c>
      <c r="W271" s="13" t="s">
        <v>3119</v>
      </c>
      <c r="X271" s="151" t="s">
        <v>149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2439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2396</v>
      </c>
      <c r="BJ271" s="158">
        <v>0.0</v>
      </c>
      <c r="BK271" s="158" t="s">
        <v>2396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2376</v>
      </c>
      <c r="B272" s="45" t="s">
        <v>1625</v>
      </c>
      <c r="C272" s="321" t="s">
        <v>3120</v>
      </c>
      <c r="D272" s="312" t="s">
        <v>18</v>
      </c>
      <c r="E272" s="312" t="s">
        <v>145</v>
      </c>
      <c r="F272" s="312" t="s">
        <v>171</v>
      </c>
      <c r="G272" s="47" t="str">
        <f t="shared" si="1"/>
        <v>Augusto</v>
      </c>
      <c r="H272" s="152" t="s">
        <v>116</v>
      </c>
      <c r="I272" s="53" t="s">
        <v>161</v>
      </c>
      <c r="J272" s="312" t="str">
        <f t="shared" si="2"/>
        <v>Não</v>
      </c>
      <c r="K272" s="313">
        <v>44679.0</v>
      </c>
      <c r="L272" s="24"/>
      <c r="M272" s="94" t="s">
        <v>45</v>
      </c>
      <c r="N272" s="116">
        <v>0.012</v>
      </c>
      <c r="O272" s="312" t="s">
        <v>2381</v>
      </c>
      <c r="P272" s="315">
        <v>0.0</v>
      </c>
      <c r="Q272" s="312" t="str">
        <f>IFERROR(VLOOKUP(F272,'Cadastro de assessores'!A:B,2,FALSE),"Não Cadastrado")</f>
        <v>28411</v>
      </c>
      <c r="R272" s="312" t="s">
        <v>88</v>
      </c>
      <c r="S272" s="313">
        <v>44679.0</v>
      </c>
      <c r="T272" s="52"/>
      <c r="U272" s="52"/>
      <c r="V272" s="24" t="s">
        <v>89</v>
      </c>
      <c r="W272" s="5" t="s">
        <v>1627</v>
      </c>
      <c r="X272" s="151" t="s">
        <v>149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95</v>
      </c>
      <c r="AC272" s="94"/>
      <c r="AD272" s="94" t="s">
        <v>2439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2376</v>
      </c>
      <c r="B273" s="221" t="s">
        <v>3121</v>
      </c>
      <c r="C273" s="322" t="s">
        <v>3122</v>
      </c>
      <c r="D273" s="312" t="s">
        <v>2379</v>
      </c>
      <c r="E273" s="312" t="s">
        <v>29</v>
      </c>
      <c r="F273" s="94" t="s">
        <v>2392</v>
      </c>
      <c r="G273" s="47" t="str">
        <f t="shared" si="1"/>
        <v>Augusto</v>
      </c>
      <c r="H273" s="323" t="s">
        <v>157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45</v>
      </c>
      <c r="N273" s="325">
        <v>0.01</v>
      </c>
      <c r="O273" s="312" t="s">
        <v>2381</v>
      </c>
      <c r="P273" s="315">
        <v>0.0</v>
      </c>
      <c r="Q273" s="94" t="str">
        <f>IFERROR(VLOOKUP(F273,'Cadastro de assessores'!A:B,2,FALSE),"Não Cadastrado")</f>
        <v>2971</v>
      </c>
      <c r="R273" s="94" t="s">
        <v>2393</v>
      </c>
      <c r="S273" s="329">
        <v>43795.0</v>
      </c>
      <c r="T273" s="156"/>
      <c r="U273" s="156"/>
      <c r="V273" s="24" t="s">
        <v>89</v>
      </c>
      <c r="W273" s="13" t="s">
        <v>3123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2486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2396</v>
      </c>
      <c r="BJ273" s="158">
        <v>0.0</v>
      </c>
      <c r="BK273" s="158" t="s">
        <v>2396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2376</v>
      </c>
      <c r="B274" s="63" t="s">
        <v>1657</v>
      </c>
      <c r="C274" s="357" t="s">
        <v>3124</v>
      </c>
      <c r="D274" s="312" t="s">
        <v>18</v>
      </c>
      <c r="E274" s="312" t="s">
        <v>145</v>
      </c>
      <c r="F274" s="94" t="s">
        <v>146</v>
      </c>
      <c r="G274" s="47" t="str">
        <f t="shared" si="1"/>
        <v>Augusto</v>
      </c>
      <c r="H274" s="323" t="s">
        <v>157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60</v>
      </c>
      <c r="N274" s="325">
        <v>0.007</v>
      </c>
      <c r="O274" s="312" t="s">
        <v>2381</v>
      </c>
      <c r="P274" s="315">
        <v>0.0</v>
      </c>
      <c r="Q274" s="94" t="str">
        <f>IFERROR(VLOOKUP(F274,'Cadastro de assessores'!A:B,2,FALSE),"Não Cadastrado")</f>
        <v>250</v>
      </c>
      <c r="R274" s="94" t="s">
        <v>2393</v>
      </c>
      <c r="S274" s="324">
        <v>44627.0</v>
      </c>
      <c r="T274" s="52"/>
      <c r="U274" s="52"/>
      <c r="V274" s="24" t="s">
        <v>89</v>
      </c>
      <c r="W274" s="5" t="s">
        <v>1659</v>
      </c>
      <c r="X274" s="151" t="s">
        <v>180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95</v>
      </c>
      <c r="AC274" s="94"/>
      <c r="AD274" s="94" t="s">
        <v>2590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2396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2376</v>
      </c>
      <c r="B275" s="63" t="s">
        <v>1657</v>
      </c>
      <c r="C275" s="357" t="s">
        <v>3125</v>
      </c>
      <c r="D275" s="312" t="s">
        <v>18</v>
      </c>
      <c r="E275" s="312" t="s">
        <v>145</v>
      </c>
      <c r="F275" s="94" t="s">
        <v>146</v>
      </c>
      <c r="G275" s="47" t="str">
        <f t="shared" si="1"/>
        <v>Augusto</v>
      </c>
      <c r="H275" s="323" t="s">
        <v>157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2743</v>
      </c>
      <c r="N275" s="325">
        <v>0.01</v>
      </c>
      <c r="O275" s="312" t="s">
        <v>2381</v>
      </c>
      <c r="P275" s="315">
        <v>0.0</v>
      </c>
      <c r="Q275" s="94" t="str">
        <f>IFERROR(VLOOKUP(F275,'Cadastro de assessores'!A:B,2,FALSE),"Não Cadastrado")</f>
        <v>250</v>
      </c>
      <c r="R275" s="94" t="s">
        <v>2393</v>
      </c>
      <c r="S275" s="94"/>
      <c r="T275" s="52"/>
      <c r="U275" s="52"/>
      <c r="V275" s="24" t="s">
        <v>89</v>
      </c>
      <c r="W275" s="5" t="s">
        <v>1659</v>
      </c>
      <c r="X275" s="151" t="s">
        <v>180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2590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2396</v>
      </c>
      <c r="BJ275" s="158">
        <v>0.0</v>
      </c>
      <c r="BK275" s="158" t="s">
        <v>2396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2376</v>
      </c>
      <c r="B276" s="63" t="s">
        <v>1657</v>
      </c>
      <c r="C276" s="321" t="s">
        <v>3126</v>
      </c>
      <c r="D276" s="312" t="s">
        <v>18</v>
      </c>
      <c r="E276" s="312" t="s">
        <v>145</v>
      </c>
      <c r="F276" s="312" t="s">
        <v>478</v>
      </c>
      <c r="G276" s="47" t="str">
        <f t="shared" si="1"/>
        <v>Bruno</v>
      </c>
      <c r="H276" s="152" t="s">
        <v>88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60</v>
      </c>
      <c r="N276" s="325">
        <v>0.007</v>
      </c>
      <c r="O276" s="312" t="s">
        <v>2381</v>
      </c>
      <c r="P276" s="315">
        <v>0.0</v>
      </c>
      <c r="Q276" s="312">
        <f>IFERROR(VLOOKUP(F276,'Cadastro de assessores'!A:B,2,FALSE),"Não Cadastrado")</f>
        <v>12362</v>
      </c>
      <c r="R276" s="312" t="s">
        <v>88</v>
      </c>
      <c r="S276" s="313">
        <v>44622.0</v>
      </c>
      <c r="T276" s="52"/>
      <c r="U276" s="52"/>
      <c r="V276" s="24" t="s">
        <v>89</v>
      </c>
      <c r="W276" s="5" t="s">
        <v>1659</v>
      </c>
      <c r="X276" s="151" t="s">
        <v>180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91</v>
      </c>
      <c r="AC276" s="94"/>
      <c r="AD276" s="94" t="s">
        <v>2590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2376</v>
      </c>
      <c r="B277" s="63" t="s">
        <v>3127</v>
      </c>
      <c r="C277" s="321" t="s">
        <v>3128</v>
      </c>
      <c r="D277" s="312" t="s">
        <v>18</v>
      </c>
      <c r="E277" s="312" t="s">
        <v>145</v>
      </c>
      <c r="F277" s="312" t="s">
        <v>146</v>
      </c>
      <c r="G277" s="47" t="str">
        <f t="shared" si="1"/>
        <v>Augusto</v>
      </c>
      <c r="H277" s="323" t="s">
        <v>157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111</v>
      </c>
      <c r="N277" s="325">
        <v>0.015</v>
      </c>
      <c r="O277" s="312" t="s">
        <v>46</v>
      </c>
      <c r="P277" s="315">
        <v>0.1</v>
      </c>
      <c r="Q277" s="312" t="str">
        <f>IFERROR(VLOOKUP(F277,'Cadastro de assessores'!A:B,2,FALSE),"Não Cadastrado")</f>
        <v>250</v>
      </c>
      <c r="R277" s="312" t="s">
        <v>88</v>
      </c>
      <c r="S277" s="313">
        <v>44319.0</v>
      </c>
      <c r="T277" s="52"/>
      <c r="U277" s="52"/>
      <c r="V277" s="24" t="s">
        <v>89</v>
      </c>
      <c r="W277" s="5" t="s">
        <v>3129</v>
      </c>
      <c r="X277" s="151" t="s">
        <v>149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95</v>
      </c>
      <c r="AC277" s="94"/>
      <c r="AD277" s="94" t="s">
        <v>2439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2376</v>
      </c>
      <c r="B278" s="45" t="s">
        <v>3130</v>
      </c>
      <c r="C278" s="137">
        <v>326845.0</v>
      </c>
      <c r="D278" s="312" t="s">
        <v>18</v>
      </c>
      <c r="E278" s="312" t="s">
        <v>145</v>
      </c>
      <c r="F278" s="312" t="s">
        <v>171</v>
      </c>
      <c r="G278" s="47" t="str">
        <f t="shared" si="1"/>
        <v>Augusto</v>
      </c>
      <c r="H278" s="152" t="s">
        <v>116</v>
      </c>
      <c r="I278" s="53" t="s">
        <v>161</v>
      </c>
      <c r="J278" s="312" t="str">
        <f t="shared" si="2"/>
        <v>Não</v>
      </c>
      <c r="K278" s="313">
        <v>44585.0</v>
      </c>
      <c r="L278" s="24"/>
      <c r="M278" s="94" t="s">
        <v>60</v>
      </c>
      <c r="N278" s="325">
        <v>0.007</v>
      </c>
      <c r="O278" s="312" t="s">
        <v>2381</v>
      </c>
      <c r="P278" s="315">
        <v>0.0</v>
      </c>
      <c r="Q278" s="312" t="str">
        <f>IFERROR(VLOOKUP(F278,'Cadastro de assessores'!A:B,2,FALSE),"Não Cadastrado")</f>
        <v>28411</v>
      </c>
      <c r="R278" s="312" t="s">
        <v>88</v>
      </c>
      <c r="S278" s="313">
        <v>44585.0</v>
      </c>
      <c r="T278" s="52"/>
      <c r="U278" s="52"/>
      <c r="V278" s="24" t="s">
        <v>89</v>
      </c>
      <c r="W278" s="5" t="s">
        <v>3131</v>
      </c>
      <c r="X278" s="151" t="s">
        <v>149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95</v>
      </c>
      <c r="AC278" s="94"/>
      <c r="AD278" s="94" t="s">
        <v>2439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2376</v>
      </c>
      <c r="B279" s="310" t="s">
        <v>3132</v>
      </c>
      <c r="C279" s="311" t="s">
        <v>3133</v>
      </c>
      <c r="D279" s="312" t="s">
        <v>2489</v>
      </c>
      <c r="E279" s="312" t="s">
        <v>29</v>
      </c>
      <c r="F279" s="312" t="s">
        <v>2489</v>
      </c>
      <c r="G279" s="47" t="str">
        <f t="shared" si="1"/>
        <v>Breno</v>
      </c>
      <c r="H279" s="152" t="s">
        <v>88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162</v>
      </c>
      <c r="N279" s="314">
        <v>0.01</v>
      </c>
      <c r="O279" s="312" t="s">
        <v>2381</v>
      </c>
      <c r="P279" s="315">
        <v>0.0</v>
      </c>
      <c r="Q279" s="312" t="str">
        <f>IFERROR(VLOOKUP(F279,'Cadastro de assessores'!A:B,2,FALSE),"Não Cadastrado")</f>
        <v>22400</v>
      </c>
      <c r="R279" s="312" t="s">
        <v>88</v>
      </c>
      <c r="S279" s="313">
        <v>43441.0</v>
      </c>
      <c r="T279" s="156"/>
      <c r="U279" s="156"/>
      <c r="V279" s="24" t="s">
        <v>89</v>
      </c>
      <c r="W279" s="317" t="s">
        <v>3134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95</v>
      </c>
      <c r="AC279" s="94"/>
      <c r="AD279" s="312" t="s">
        <v>2421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2376</v>
      </c>
      <c r="B280" s="359" t="s">
        <v>3135</v>
      </c>
      <c r="C280" s="73" t="s">
        <v>3136</v>
      </c>
      <c r="D280" s="312" t="s">
        <v>18</v>
      </c>
      <c r="E280" s="312" t="s">
        <v>29</v>
      </c>
      <c r="F280" s="94" t="s">
        <v>110</v>
      </c>
      <c r="G280" s="47" t="str">
        <f t="shared" si="1"/>
        <v>Breno</v>
      </c>
      <c r="H280" s="152" t="s">
        <v>88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60</v>
      </c>
      <c r="N280" s="314">
        <v>0.01</v>
      </c>
      <c r="O280" s="312" t="s">
        <v>2381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89</v>
      </c>
      <c r="W280" s="13" t="s">
        <v>1681</v>
      </c>
      <c r="X280" s="13" t="s">
        <v>465</v>
      </c>
      <c r="Y280" s="53" t="str">
        <f t="shared" si="3"/>
        <v>Ativo</v>
      </c>
      <c r="Z280" s="126"/>
      <c r="AA280" s="94" t="str">
        <f t="shared" si="7"/>
        <v/>
      </c>
      <c r="AB280" s="13" t="s">
        <v>95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2376</v>
      </c>
      <c r="B281" s="221" t="s">
        <v>3137</v>
      </c>
      <c r="C281" s="322" t="s">
        <v>3138</v>
      </c>
      <c r="D281" s="312" t="s">
        <v>2379</v>
      </c>
      <c r="E281" s="312" t="s">
        <v>29</v>
      </c>
      <c r="F281" s="94" t="s">
        <v>2379</v>
      </c>
      <c r="G281" s="47" t="str">
        <f t="shared" si="1"/>
        <v>Augusto</v>
      </c>
      <c r="H281" s="323" t="s">
        <v>157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3139</v>
      </c>
      <c r="N281" s="325">
        <v>0.02</v>
      </c>
      <c r="O281" s="312" t="s">
        <v>163</v>
      </c>
      <c r="P281" s="315">
        <v>0.2</v>
      </c>
      <c r="Q281" s="312" t="str">
        <f>IFERROR(VLOOKUP(F281,'Cadastro de assessores'!A:B,2,FALSE),"Não Cadastrado")</f>
        <v>18986</v>
      </c>
      <c r="R281" s="94" t="s">
        <v>2393</v>
      </c>
      <c r="S281" s="325"/>
      <c r="T281" s="156"/>
      <c r="U281" s="156"/>
      <c r="V281" s="24" t="s">
        <v>89</v>
      </c>
      <c r="W281" s="13" t="s">
        <v>3140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3141</v>
      </c>
      <c r="AE281" s="158"/>
      <c r="AF281" s="158"/>
      <c r="AG281" s="158"/>
      <c r="AH281" s="158"/>
      <c r="AI281" s="158"/>
      <c r="AJ281" s="158"/>
      <c r="AK281" s="158" t="s">
        <v>3142</v>
      </c>
      <c r="AL281" s="328" t="s">
        <v>3142</v>
      </c>
      <c r="AM281" s="328" t="s">
        <v>3142</v>
      </c>
      <c r="AN281" s="328" t="s">
        <v>3142</v>
      </c>
      <c r="AO281" s="158" t="s">
        <v>3142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2376</v>
      </c>
      <c r="B282" s="221" t="s">
        <v>3143</v>
      </c>
      <c r="C282" s="322" t="s">
        <v>3144</v>
      </c>
      <c r="D282" s="312" t="s">
        <v>2489</v>
      </c>
      <c r="E282" s="312" t="s">
        <v>29</v>
      </c>
      <c r="F282" s="312" t="s">
        <v>2489</v>
      </c>
      <c r="G282" s="47" t="str">
        <f t="shared" si="1"/>
        <v>Augusto</v>
      </c>
      <c r="H282" s="152" t="s">
        <v>116</v>
      </c>
      <c r="I282" s="53" t="s">
        <v>161</v>
      </c>
      <c r="J282" s="312" t="str">
        <f t="shared" si="2"/>
        <v>Não</v>
      </c>
      <c r="K282" s="313">
        <v>43441.0</v>
      </c>
      <c r="L282" s="94"/>
      <c r="M282" s="94" t="s">
        <v>162</v>
      </c>
      <c r="N282" s="314">
        <v>0.01</v>
      </c>
      <c r="O282" s="312" t="s">
        <v>163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3145</v>
      </c>
      <c r="S282" s="313">
        <v>43441.0</v>
      </c>
      <c r="T282" s="156"/>
      <c r="U282" s="156"/>
      <c r="V282" s="24" t="s">
        <v>89</v>
      </c>
      <c r="W282" s="13" t="s">
        <v>3146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95</v>
      </c>
      <c r="AC282" s="94"/>
      <c r="AD282" s="94" t="s">
        <v>2486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2376</v>
      </c>
      <c r="B283" s="221" t="s">
        <v>3147</v>
      </c>
      <c r="C283" s="204" t="s">
        <v>3148</v>
      </c>
      <c r="D283" s="312" t="s">
        <v>18</v>
      </c>
      <c r="E283" s="312" t="s">
        <v>145</v>
      </c>
      <c r="F283" s="312" t="s">
        <v>171</v>
      </c>
      <c r="G283" s="47" t="str">
        <f t="shared" si="1"/>
        <v>Augusto</v>
      </c>
      <c r="H283" s="152" t="s">
        <v>116</v>
      </c>
      <c r="I283" s="53" t="s">
        <v>161</v>
      </c>
      <c r="J283" s="312" t="str">
        <f t="shared" si="2"/>
        <v>Não</v>
      </c>
      <c r="K283" s="313">
        <v>44280.0</v>
      </c>
      <c r="L283" s="94"/>
      <c r="M283" s="94" t="s">
        <v>111</v>
      </c>
      <c r="N283" s="314">
        <v>0.015</v>
      </c>
      <c r="O283" s="312" t="s">
        <v>46</v>
      </c>
      <c r="P283" s="315">
        <v>0.1</v>
      </c>
      <c r="Q283" s="312" t="str">
        <f>IFERROR(VLOOKUP(F283,'Cadastro de assessores'!A:B,2,FALSE),"Não Cadastrado")</f>
        <v>28411</v>
      </c>
      <c r="R283" s="312" t="s">
        <v>88</v>
      </c>
      <c r="S283" s="313">
        <v>44280.0</v>
      </c>
      <c r="T283" s="156"/>
      <c r="U283" s="156"/>
      <c r="V283" s="24" t="s">
        <v>89</v>
      </c>
      <c r="W283" s="13" t="s">
        <v>3149</v>
      </c>
      <c r="X283" s="151" t="s">
        <v>149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95</v>
      </c>
      <c r="AC283" s="94"/>
      <c r="AD283" s="94" t="s">
        <v>2439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2376</v>
      </c>
      <c r="B284" s="45" t="s">
        <v>3150</v>
      </c>
      <c r="C284" s="357" t="s">
        <v>3151</v>
      </c>
      <c r="D284" s="312" t="s">
        <v>18</v>
      </c>
      <c r="E284" s="312" t="s">
        <v>145</v>
      </c>
      <c r="F284" s="151" t="s">
        <v>171</v>
      </c>
      <c r="G284" s="47" t="str">
        <f t="shared" si="1"/>
        <v>Augusto</v>
      </c>
      <c r="H284" s="323" t="s">
        <v>157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111</v>
      </c>
      <c r="N284" s="325">
        <v>0.015</v>
      </c>
      <c r="O284" s="312" t="s">
        <v>46</v>
      </c>
      <c r="P284" s="315">
        <v>0.1</v>
      </c>
      <c r="Q284" s="151" t="str">
        <f>IFERROR(VLOOKUP(F284,'Cadastro de assessores'!A:B,2,FALSE),"Não Cadastrado")</f>
        <v>28411</v>
      </c>
      <c r="R284" s="94" t="s">
        <v>2393</v>
      </c>
      <c r="S284" s="74">
        <v>44391.0</v>
      </c>
      <c r="T284" s="52"/>
      <c r="U284" s="52"/>
      <c r="V284" s="24" t="s">
        <v>329</v>
      </c>
      <c r="W284" s="5" t="s">
        <v>3152</v>
      </c>
      <c r="X284" s="151" t="s">
        <v>149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95</v>
      </c>
      <c r="AC284" s="94"/>
      <c r="AD284" s="24" t="s">
        <v>3153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2396</v>
      </c>
      <c r="BJ284" s="158">
        <v>0.0</v>
      </c>
      <c r="BK284" s="158" t="s">
        <v>2396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2376</v>
      </c>
      <c r="B285" s="221" t="s">
        <v>3154</v>
      </c>
      <c r="C285" s="322" t="s">
        <v>3155</v>
      </c>
      <c r="D285" s="312" t="s">
        <v>2379</v>
      </c>
      <c r="E285" s="312" t="s">
        <v>29</v>
      </c>
      <c r="F285" s="94" t="s">
        <v>2380</v>
      </c>
      <c r="G285" s="47" t="str">
        <f t="shared" si="1"/>
        <v>Augusto</v>
      </c>
      <c r="H285" s="323" t="s">
        <v>157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111</v>
      </c>
      <c r="N285" s="325">
        <v>0.01</v>
      </c>
      <c r="O285" s="312" t="s">
        <v>46</v>
      </c>
      <c r="P285" s="315">
        <v>0.1</v>
      </c>
      <c r="Q285" s="94" t="str">
        <f>IFERROR(VLOOKUP(F285,'Cadastro de assessores'!A:B,2,FALSE),"Não Cadastrado")</f>
        <v>17573</v>
      </c>
      <c r="R285" s="94" t="s">
        <v>2393</v>
      </c>
      <c r="S285" s="324">
        <v>43710.0</v>
      </c>
      <c r="T285" s="316"/>
      <c r="U285" s="316"/>
      <c r="V285" s="24" t="s">
        <v>89</v>
      </c>
      <c r="W285" s="13" t="s">
        <v>3156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2421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2396</v>
      </c>
      <c r="BJ285" s="158">
        <v>0.0</v>
      </c>
      <c r="BK285" s="158" t="s">
        <v>2396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2376</v>
      </c>
      <c r="B286" s="63" t="s">
        <v>1721</v>
      </c>
      <c r="C286" s="333">
        <v>323595.0</v>
      </c>
      <c r="D286" s="312" t="s">
        <v>18</v>
      </c>
      <c r="E286" s="312" t="s">
        <v>145</v>
      </c>
      <c r="F286" s="312" t="s">
        <v>146</v>
      </c>
      <c r="G286" s="47" t="str">
        <f t="shared" si="1"/>
        <v>Augusto</v>
      </c>
      <c r="H286" s="323" t="s">
        <v>116</v>
      </c>
      <c r="I286" s="53" t="s">
        <v>161</v>
      </c>
      <c r="J286" s="312" t="str">
        <f t="shared" si="2"/>
        <v>Não</v>
      </c>
      <c r="K286" s="74">
        <v>44477.0</v>
      </c>
      <c r="L286" s="24"/>
      <c r="M286" s="94" t="s">
        <v>60</v>
      </c>
      <c r="N286" s="314">
        <v>0.007</v>
      </c>
      <c r="O286" s="312" t="s">
        <v>2381</v>
      </c>
      <c r="P286" s="315">
        <v>0.0</v>
      </c>
      <c r="Q286" s="312" t="str">
        <f>IFERROR(VLOOKUP(F286,'Cadastro de assessores'!A:B,2,FALSE),"Não Cadastrado")</f>
        <v>250</v>
      </c>
      <c r="R286" s="312" t="s">
        <v>88</v>
      </c>
      <c r="S286" s="74">
        <v>44477.0</v>
      </c>
      <c r="T286" s="52"/>
      <c r="U286" s="52"/>
      <c r="V286" s="24" t="s">
        <v>89</v>
      </c>
      <c r="W286" s="5" t="s">
        <v>1724</v>
      </c>
      <c r="X286" s="151" t="s">
        <v>149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95</v>
      </c>
      <c r="AC286" s="94"/>
      <c r="AD286" s="94" t="s">
        <v>2439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2376</v>
      </c>
      <c r="B287" s="335" t="s">
        <v>1725</v>
      </c>
      <c r="C287" s="322" t="s">
        <v>3157</v>
      </c>
      <c r="D287" s="312" t="s">
        <v>18</v>
      </c>
      <c r="E287" s="312" t="s">
        <v>145</v>
      </c>
      <c r="F287" s="312" t="s">
        <v>146</v>
      </c>
      <c r="G287" s="47" t="str">
        <f t="shared" si="1"/>
        <v>Augusto</v>
      </c>
      <c r="H287" s="152" t="s">
        <v>116</v>
      </c>
      <c r="I287" s="53" t="s">
        <v>161</v>
      </c>
      <c r="J287" s="312" t="str">
        <f t="shared" si="2"/>
        <v>Não</v>
      </c>
      <c r="K287" s="324">
        <v>44263.0</v>
      </c>
      <c r="L287" s="94"/>
      <c r="M287" s="94" t="s">
        <v>45</v>
      </c>
      <c r="N287" s="325">
        <v>0.025</v>
      </c>
      <c r="O287" s="312" t="s">
        <v>2381</v>
      </c>
      <c r="P287" s="315">
        <v>0.0</v>
      </c>
      <c r="Q287" s="312" t="str">
        <f>IFERROR(VLOOKUP(F287,'Cadastro de assessores'!A:B,2,FALSE),"Não Cadastrado")</f>
        <v>250</v>
      </c>
      <c r="R287" s="312" t="s">
        <v>88</v>
      </c>
      <c r="S287" s="313">
        <v>44223.0</v>
      </c>
      <c r="T287" s="65"/>
      <c r="U287" s="156"/>
      <c r="V287" s="24" t="s">
        <v>89</v>
      </c>
      <c r="W287" s="317" t="s">
        <v>1727</v>
      </c>
      <c r="X287" s="151" t="s">
        <v>149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95</v>
      </c>
      <c r="AC287" s="94"/>
      <c r="AD287" s="94" t="s">
        <v>2439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2376</v>
      </c>
      <c r="B288" s="225" t="s">
        <v>3158</v>
      </c>
      <c r="C288" s="322" t="s">
        <v>3159</v>
      </c>
      <c r="D288" s="312" t="s">
        <v>2379</v>
      </c>
      <c r="E288" s="312" t="s">
        <v>29</v>
      </c>
      <c r="F288" s="94" t="s">
        <v>2380</v>
      </c>
      <c r="G288" s="47" t="str">
        <f t="shared" si="1"/>
        <v>Augusto</v>
      </c>
      <c r="H288" s="323" t="s">
        <v>157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111</v>
      </c>
      <c r="N288" s="325">
        <v>0.01</v>
      </c>
      <c r="O288" s="312" t="s">
        <v>46</v>
      </c>
      <c r="P288" s="315">
        <v>0.1</v>
      </c>
      <c r="Q288" s="94" t="str">
        <f>IFERROR(VLOOKUP(F288,'Cadastro de assessores'!A:B,2,FALSE),"Não Cadastrado")</f>
        <v>17573</v>
      </c>
      <c r="R288" s="94" t="s">
        <v>2393</v>
      </c>
      <c r="S288" s="324">
        <v>43699.0</v>
      </c>
      <c r="T288" s="368"/>
      <c r="U288" s="368"/>
      <c r="V288" s="24" t="s">
        <v>89</v>
      </c>
      <c r="W288" s="13" t="s">
        <v>3160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2421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2396</v>
      </c>
      <c r="BJ288" s="158">
        <v>0.0</v>
      </c>
      <c r="BK288" s="158" t="s">
        <v>2396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2376</v>
      </c>
      <c r="B289" s="335" t="s">
        <v>1741</v>
      </c>
      <c r="C289" s="322" t="s">
        <v>3161</v>
      </c>
      <c r="D289" s="312" t="s">
        <v>18</v>
      </c>
      <c r="E289" s="312" t="s">
        <v>145</v>
      </c>
      <c r="F289" s="312" t="s">
        <v>146</v>
      </c>
      <c r="G289" s="47" t="str">
        <f t="shared" si="1"/>
        <v>Augusto</v>
      </c>
      <c r="H289" s="323" t="s">
        <v>116</v>
      </c>
      <c r="I289" s="53" t="s">
        <v>161</v>
      </c>
      <c r="J289" s="312" t="str">
        <f t="shared" si="2"/>
        <v>Sim</v>
      </c>
      <c r="K289" s="313">
        <v>44263.0</v>
      </c>
      <c r="L289" s="24"/>
      <c r="M289" s="94" t="s">
        <v>111</v>
      </c>
      <c r="N289" s="325">
        <v>0.015</v>
      </c>
      <c r="O289" s="312" t="s">
        <v>46</v>
      </c>
      <c r="P289" s="315">
        <v>0.1</v>
      </c>
      <c r="Q289" s="312" t="str">
        <f>IFERROR(VLOOKUP(F289,'Cadastro de assessores'!A:B,2,FALSE),"Não Cadastrado")</f>
        <v>250</v>
      </c>
      <c r="R289" s="312" t="s">
        <v>88</v>
      </c>
      <c r="S289" s="313">
        <v>44263.0</v>
      </c>
      <c r="T289" s="327" t="s">
        <v>3162</v>
      </c>
      <c r="U289" s="156"/>
      <c r="V289" s="24" t="s">
        <v>89</v>
      </c>
      <c r="W289" s="317" t="s">
        <v>1744</v>
      </c>
      <c r="X289" s="151" t="s">
        <v>149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95</v>
      </c>
      <c r="AC289" s="94"/>
      <c r="AD289" s="94" t="s">
        <v>2439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2376</v>
      </c>
      <c r="B290" s="225" t="s">
        <v>3163</v>
      </c>
      <c r="C290" s="322" t="s">
        <v>3164</v>
      </c>
      <c r="D290" s="312" t="s">
        <v>18</v>
      </c>
      <c r="E290" s="312" t="s">
        <v>145</v>
      </c>
      <c r="F290" s="312" t="s">
        <v>146</v>
      </c>
      <c r="G290" s="47" t="str">
        <f t="shared" si="1"/>
        <v>Augusto</v>
      </c>
      <c r="H290" s="152" t="s">
        <v>88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60</v>
      </c>
      <c r="N290" s="325">
        <v>0.01</v>
      </c>
      <c r="O290" s="312" t="s">
        <v>2381</v>
      </c>
      <c r="P290" s="315">
        <v>0.0</v>
      </c>
      <c r="Q290" s="312" t="str">
        <f>IFERROR(VLOOKUP(F290,'Cadastro de assessores'!A:B,2,FALSE),"Não Cadastrado")</f>
        <v>250</v>
      </c>
      <c r="R290" s="94" t="s">
        <v>88</v>
      </c>
      <c r="S290" s="324">
        <v>44873.0</v>
      </c>
      <c r="T290" s="327" t="s">
        <v>3162</v>
      </c>
      <c r="U290" s="156"/>
      <c r="V290" s="24" t="s">
        <v>89</v>
      </c>
      <c r="W290" s="13" t="s">
        <v>1744</v>
      </c>
      <c r="X290" s="13" t="s">
        <v>149</v>
      </c>
      <c r="Y290" s="53" t="str">
        <f t="shared" si="3"/>
        <v>Ativo</v>
      </c>
      <c r="Z290" s="126"/>
      <c r="AA290" s="94" t="str">
        <f t="shared" si="7"/>
        <v/>
      </c>
      <c r="AB290" s="13" t="s">
        <v>95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2376</v>
      </c>
      <c r="B291" s="225" t="s">
        <v>3165</v>
      </c>
      <c r="C291" s="322" t="s">
        <v>3166</v>
      </c>
      <c r="D291" s="312" t="s">
        <v>2379</v>
      </c>
      <c r="E291" s="312" t="s">
        <v>29</v>
      </c>
      <c r="F291" s="94" t="s">
        <v>2392</v>
      </c>
      <c r="G291" s="47" t="str">
        <f t="shared" si="1"/>
        <v>Augusto</v>
      </c>
      <c r="H291" s="323" t="s">
        <v>157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111</v>
      </c>
      <c r="N291" s="325">
        <v>0.01</v>
      </c>
      <c r="O291" s="312" t="s">
        <v>46</v>
      </c>
      <c r="P291" s="315">
        <v>0.1</v>
      </c>
      <c r="Q291" s="94" t="str">
        <f>IFERROR(VLOOKUP(F291,'Cadastro de assessores'!A:B,2,FALSE),"Não Cadastrado")</f>
        <v>2971</v>
      </c>
      <c r="R291" s="94" t="s">
        <v>2393</v>
      </c>
      <c r="S291" s="324">
        <v>43531.0</v>
      </c>
      <c r="T291" s="316"/>
      <c r="U291" s="316"/>
      <c r="V291" s="24" t="s">
        <v>89</v>
      </c>
      <c r="W291" s="13" t="s">
        <v>3167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2432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2396</v>
      </c>
      <c r="BJ291" s="158">
        <v>0.0</v>
      </c>
      <c r="BK291" s="158" t="s">
        <v>2396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2376</v>
      </c>
      <c r="B292" s="225" t="s">
        <v>3165</v>
      </c>
      <c r="C292" s="322" t="s">
        <v>3168</v>
      </c>
      <c r="D292" s="312" t="s">
        <v>2379</v>
      </c>
      <c r="E292" s="312" t="s">
        <v>29</v>
      </c>
      <c r="F292" s="94" t="s">
        <v>2392</v>
      </c>
      <c r="G292" s="47" t="str">
        <f t="shared" si="1"/>
        <v>Augusto</v>
      </c>
      <c r="H292" s="323" t="s">
        <v>157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45</v>
      </c>
      <c r="N292" s="325">
        <v>0.005</v>
      </c>
      <c r="O292" s="312" t="s">
        <v>2381</v>
      </c>
      <c r="P292" s="315">
        <v>0.0</v>
      </c>
      <c r="Q292" s="94" t="str">
        <f>IFERROR(VLOOKUP(F292,'Cadastro de assessores'!A:B,2,FALSE),"Não Cadastrado")</f>
        <v>2971</v>
      </c>
      <c r="R292" s="94" t="s">
        <v>2393</v>
      </c>
      <c r="S292" s="324">
        <v>43566.0</v>
      </c>
      <c r="T292" s="156"/>
      <c r="U292" s="156"/>
      <c r="V292" s="24" t="s">
        <v>89</v>
      </c>
      <c r="W292" s="13" t="s">
        <v>3167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2432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2396</v>
      </c>
      <c r="BJ292" s="158">
        <v>0.0</v>
      </c>
      <c r="BK292" s="158" t="s">
        <v>2396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2376</v>
      </c>
      <c r="B293" s="221" t="s">
        <v>3169</v>
      </c>
      <c r="C293" s="322" t="s">
        <v>3170</v>
      </c>
      <c r="D293" s="312" t="s">
        <v>18</v>
      </c>
      <c r="E293" s="312" t="s">
        <v>145</v>
      </c>
      <c r="F293" s="94" t="s">
        <v>146</v>
      </c>
      <c r="G293" s="47" t="str">
        <f t="shared" si="1"/>
        <v>Augusto</v>
      </c>
      <c r="H293" s="323" t="s">
        <v>157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162</v>
      </c>
      <c r="N293" s="325">
        <v>0.025</v>
      </c>
      <c r="O293" s="312" t="s">
        <v>163</v>
      </c>
      <c r="P293" s="315">
        <v>0.2</v>
      </c>
      <c r="Q293" s="94" t="str">
        <f>IFERROR(VLOOKUP(F293,'Cadastro de assessores'!A:B,2,FALSE),"Não Cadastrado")</f>
        <v>250</v>
      </c>
      <c r="R293" s="94" t="s">
        <v>2393</v>
      </c>
      <c r="S293" s="324">
        <v>44280.0</v>
      </c>
      <c r="T293" s="156"/>
      <c r="U293" s="156"/>
      <c r="V293" s="24" t="s">
        <v>329</v>
      </c>
      <c r="W293" s="13" t="s">
        <v>3171</v>
      </c>
      <c r="X293" s="151" t="s">
        <v>149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95</v>
      </c>
      <c r="AC293" s="94"/>
      <c r="AD293" s="94" t="s">
        <v>2439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2396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2376</v>
      </c>
      <c r="B294" s="335" t="s">
        <v>3172</v>
      </c>
      <c r="C294" s="322" t="s">
        <v>3173</v>
      </c>
      <c r="D294" s="312" t="s">
        <v>18</v>
      </c>
      <c r="E294" s="312" t="s">
        <v>145</v>
      </c>
      <c r="F294" s="312" t="s">
        <v>146</v>
      </c>
      <c r="G294" s="47" t="str">
        <f t="shared" si="1"/>
        <v>Augusto</v>
      </c>
      <c r="H294" s="152" t="s">
        <v>116</v>
      </c>
      <c r="I294" s="53" t="s">
        <v>161</v>
      </c>
      <c r="J294" s="312" t="str">
        <f t="shared" si="2"/>
        <v>Não</v>
      </c>
      <c r="K294" s="313">
        <v>44280.0</v>
      </c>
      <c r="L294" s="94"/>
      <c r="M294" s="94" t="s">
        <v>243</v>
      </c>
      <c r="N294" s="325">
        <v>0.02</v>
      </c>
      <c r="O294" s="312" t="s">
        <v>46</v>
      </c>
      <c r="P294" s="315">
        <v>0.2</v>
      </c>
      <c r="Q294" s="312" t="str">
        <f>IFERROR(VLOOKUP(F294,'Cadastro de assessores'!A:B,2,FALSE),"Não Cadastrado")</f>
        <v>250</v>
      </c>
      <c r="R294" s="338" t="s">
        <v>88</v>
      </c>
      <c r="S294" s="313">
        <v>44232.0</v>
      </c>
      <c r="T294" s="156"/>
      <c r="U294" s="156"/>
      <c r="V294" s="24" t="s">
        <v>89</v>
      </c>
      <c r="W294" s="317" t="s">
        <v>3174</v>
      </c>
      <c r="X294" s="151" t="s">
        <v>149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95</v>
      </c>
      <c r="AC294" s="94"/>
      <c r="AD294" s="94" t="s">
        <v>2439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2376</v>
      </c>
      <c r="B295" s="45" t="s">
        <v>1762</v>
      </c>
      <c r="C295" s="321" t="s">
        <v>3175</v>
      </c>
      <c r="D295" s="312" t="s">
        <v>18</v>
      </c>
      <c r="E295" s="312" t="s">
        <v>145</v>
      </c>
      <c r="F295" s="92" t="s">
        <v>171</v>
      </c>
      <c r="G295" s="47" t="str">
        <f t="shared" si="1"/>
        <v>Augusto</v>
      </c>
      <c r="H295" s="323" t="s">
        <v>116</v>
      </c>
      <c r="I295" s="53" t="s">
        <v>161</v>
      </c>
      <c r="J295" s="312" t="str">
        <f t="shared" si="2"/>
        <v>Não</v>
      </c>
      <c r="K295" s="74">
        <v>44362.0</v>
      </c>
      <c r="L295" s="24"/>
      <c r="M295" s="94" t="s">
        <v>111</v>
      </c>
      <c r="N295" s="314">
        <v>0.015</v>
      </c>
      <c r="O295" s="312" t="s">
        <v>46</v>
      </c>
      <c r="P295" s="315">
        <v>0.1</v>
      </c>
      <c r="Q295" s="312" t="str">
        <f>IFERROR(VLOOKUP(F295,'Cadastro de assessores'!A:B,2,FALSE),"Não Cadastrado")</f>
        <v>28411</v>
      </c>
      <c r="R295" s="312" t="s">
        <v>88</v>
      </c>
      <c r="S295" s="74">
        <v>44362.0</v>
      </c>
      <c r="T295" s="156"/>
      <c r="U295" s="156"/>
      <c r="V295" s="24" t="s">
        <v>329</v>
      </c>
      <c r="W295" s="5" t="s">
        <v>1765</v>
      </c>
      <c r="X295" s="151" t="s">
        <v>149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95</v>
      </c>
      <c r="AC295" s="94"/>
      <c r="AD295" s="94" t="s">
        <v>2439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2376</v>
      </c>
      <c r="B296" s="225" t="s">
        <v>3176</v>
      </c>
      <c r="C296" s="322" t="s">
        <v>3177</v>
      </c>
      <c r="D296" s="312" t="s">
        <v>2489</v>
      </c>
      <c r="E296" s="312" t="s">
        <v>29</v>
      </c>
      <c r="F296" s="94" t="s">
        <v>2489</v>
      </c>
      <c r="G296" s="47" t="str">
        <f t="shared" si="1"/>
        <v>Augusto</v>
      </c>
      <c r="H296" s="323" t="s">
        <v>157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162</v>
      </c>
      <c r="N296" s="325">
        <v>0.008</v>
      </c>
      <c r="O296" s="312" t="s">
        <v>163</v>
      </c>
      <c r="P296" s="315">
        <v>0.2</v>
      </c>
      <c r="Q296" s="94" t="str">
        <f>IFERROR(VLOOKUP(F296,'Cadastro de assessores'!A:B,2,FALSE),"Não Cadastrado")</f>
        <v>22400</v>
      </c>
      <c r="R296" s="94" t="s">
        <v>2393</v>
      </c>
      <c r="S296" s="329">
        <v>43426.0</v>
      </c>
      <c r="T296" s="156"/>
      <c r="U296" s="156"/>
      <c r="V296" s="24" t="s">
        <v>329</v>
      </c>
      <c r="W296" s="13" t="s">
        <v>3178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2395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2396</v>
      </c>
      <c r="BJ296" s="158">
        <v>0.0</v>
      </c>
      <c r="BK296" s="158" t="s">
        <v>2396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2376</v>
      </c>
      <c r="B297" s="221" t="s">
        <v>3179</v>
      </c>
      <c r="C297" s="322" t="s">
        <v>3180</v>
      </c>
      <c r="D297" s="312" t="s">
        <v>2379</v>
      </c>
      <c r="E297" s="312" t="s">
        <v>29</v>
      </c>
      <c r="F297" s="94" t="s">
        <v>2380</v>
      </c>
      <c r="G297" s="47" t="str">
        <f t="shared" si="1"/>
        <v>Augusto</v>
      </c>
      <c r="H297" s="323" t="s">
        <v>157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45</v>
      </c>
      <c r="N297" s="325">
        <v>0.012</v>
      </c>
      <c r="O297" s="312" t="s">
        <v>2381</v>
      </c>
      <c r="P297" s="315">
        <v>0.0</v>
      </c>
      <c r="Q297" s="94" t="str">
        <f>IFERROR(VLOOKUP(F297,'Cadastro de assessores'!A:B,2,FALSE),"Não Cadastrado")</f>
        <v>17573</v>
      </c>
      <c r="R297" s="94" t="s">
        <v>2393</v>
      </c>
      <c r="S297" s="329">
        <v>43816.0</v>
      </c>
      <c r="T297" s="156"/>
      <c r="U297" s="156"/>
      <c r="V297" s="24" t="s">
        <v>89</v>
      </c>
      <c r="W297" s="13" t="s">
        <v>3181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3182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2396</v>
      </c>
      <c r="BJ297" s="158">
        <v>0.0</v>
      </c>
      <c r="BK297" s="158" t="s">
        <v>2396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2376</v>
      </c>
      <c r="B298" s="225" t="s">
        <v>3183</v>
      </c>
      <c r="C298" s="311" t="s">
        <v>3184</v>
      </c>
      <c r="D298" s="312" t="s">
        <v>18</v>
      </c>
      <c r="E298" s="312" t="s">
        <v>29</v>
      </c>
      <c r="F298" s="94" t="s">
        <v>633</v>
      </c>
      <c r="G298" s="47" t="str">
        <f t="shared" si="1"/>
        <v>Augusto</v>
      </c>
      <c r="H298" s="152" t="s">
        <v>116</v>
      </c>
      <c r="I298" s="53" t="s">
        <v>161</v>
      </c>
      <c r="J298" s="312" t="str">
        <f t="shared" si="2"/>
        <v>Sim</v>
      </c>
      <c r="K298" s="324">
        <v>45019.0</v>
      </c>
      <c r="L298" s="324"/>
      <c r="M298" s="94" t="s">
        <v>243</v>
      </c>
      <c r="N298" s="325">
        <v>0.02</v>
      </c>
      <c r="O298" s="312" t="s">
        <v>46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3185</v>
      </c>
      <c r="U298" s="156"/>
      <c r="V298" s="24" t="s">
        <v>89</v>
      </c>
      <c r="W298" s="13" t="s">
        <v>3186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95</v>
      </c>
      <c r="AC298" s="94"/>
      <c r="AD298" s="94" t="s">
        <v>2482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2396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2376</v>
      </c>
      <c r="B299" s="225" t="s">
        <v>3187</v>
      </c>
      <c r="C299" s="322" t="s">
        <v>3188</v>
      </c>
      <c r="D299" s="312" t="s">
        <v>2379</v>
      </c>
      <c r="E299" s="312" t="s">
        <v>29</v>
      </c>
      <c r="F299" s="94" t="s">
        <v>2380</v>
      </c>
      <c r="G299" s="47" t="str">
        <f t="shared" si="1"/>
        <v>Augusto</v>
      </c>
      <c r="H299" s="323" t="s">
        <v>157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162</v>
      </c>
      <c r="N299" s="325">
        <v>0.02</v>
      </c>
      <c r="O299" s="312" t="s">
        <v>163</v>
      </c>
      <c r="P299" s="315">
        <v>0.2</v>
      </c>
      <c r="Q299" s="94" t="str">
        <f>IFERROR(VLOOKUP(F299,'Cadastro de assessores'!A:B,2,FALSE),"Não Cadastrado")</f>
        <v>17573</v>
      </c>
      <c r="R299" s="94" t="s">
        <v>2393</v>
      </c>
      <c r="S299" s="324">
        <v>43563.0</v>
      </c>
      <c r="T299" s="156"/>
      <c r="U299" s="156"/>
      <c r="V299" s="24" t="s">
        <v>329</v>
      </c>
      <c r="W299" s="13" t="s">
        <v>3189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2453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2396</v>
      </c>
      <c r="BJ299" s="158">
        <v>0.0</v>
      </c>
      <c r="BK299" s="158" t="s">
        <v>2396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2376</v>
      </c>
      <c r="B300" s="310" t="s">
        <v>3190</v>
      </c>
      <c r="C300" s="311" t="s">
        <v>3191</v>
      </c>
      <c r="D300" s="312" t="s">
        <v>18</v>
      </c>
      <c r="E300" s="312" t="s">
        <v>29</v>
      </c>
      <c r="F300" s="312" t="s">
        <v>110</v>
      </c>
      <c r="G300" s="47" t="str">
        <f t="shared" si="1"/>
        <v>Augusto</v>
      </c>
      <c r="H300" s="323" t="s">
        <v>116</v>
      </c>
      <c r="I300" s="53" t="s">
        <v>161</v>
      </c>
      <c r="J300" s="312" t="str">
        <f t="shared" si="2"/>
        <v>Sim</v>
      </c>
      <c r="K300" s="313">
        <v>43473.0</v>
      </c>
      <c r="L300" s="94"/>
      <c r="M300" s="94" t="s">
        <v>45</v>
      </c>
      <c r="N300" s="314">
        <v>0.005</v>
      </c>
      <c r="O300" s="312" t="s">
        <v>2381</v>
      </c>
      <c r="P300" s="315">
        <v>0.0</v>
      </c>
      <c r="Q300" s="312">
        <f>IFERROR(VLOOKUP(F300,'Cadastro de assessores'!A:B,2,FALSE),"Não Cadastrado")</f>
        <v>12332</v>
      </c>
      <c r="R300" s="312" t="s">
        <v>88</v>
      </c>
      <c r="S300" s="313">
        <v>43473.0</v>
      </c>
      <c r="T300" s="156" t="s">
        <v>3192</v>
      </c>
      <c r="U300" s="156"/>
      <c r="V300" s="24" t="s">
        <v>329</v>
      </c>
      <c r="W300" s="317" t="s">
        <v>3193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95</v>
      </c>
      <c r="AC300" s="94"/>
      <c r="AD300" s="94" t="s">
        <v>2453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2376</v>
      </c>
      <c r="B301" s="310" t="s">
        <v>3190</v>
      </c>
      <c r="C301" s="311" t="s">
        <v>3194</v>
      </c>
      <c r="D301" s="312" t="s">
        <v>18</v>
      </c>
      <c r="E301" s="312" t="s">
        <v>29</v>
      </c>
      <c r="F301" s="312" t="s">
        <v>110</v>
      </c>
      <c r="G301" s="47" t="str">
        <f t="shared" si="1"/>
        <v>Augusto</v>
      </c>
      <c r="H301" s="323" t="s">
        <v>116</v>
      </c>
      <c r="I301" s="53" t="s">
        <v>161</v>
      </c>
      <c r="J301" s="312" t="str">
        <f t="shared" si="2"/>
        <v>Sim</v>
      </c>
      <c r="K301" s="313">
        <v>43545.0</v>
      </c>
      <c r="L301" s="94"/>
      <c r="M301" s="94" t="s">
        <v>162</v>
      </c>
      <c r="N301" s="314">
        <v>0.02</v>
      </c>
      <c r="O301" s="312" t="s">
        <v>163</v>
      </c>
      <c r="P301" s="315">
        <v>0.2</v>
      </c>
      <c r="Q301" s="312">
        <f>IFERROR(VLOOKUP(F301,'Cadastro de assessores'!A:B,2,FALSE),"Não Cadastrado")</f>
        <v>12332</v>
      </c>
      <c r="R301" s="312" t="s">
        <v>88</v>
      </c>
      <c r="S301" s="313">
        <v>43545.0</v>
      </c>
      <c r="T301" s="156" t="s">
        <v>3192</v>
      </c>
      <c r="U301" s="156"/>
      <c r="V301" s="24" t="s">
        <v>329</v>
      </c>
      <c r="W301" s="317" t="s">
        <v>3193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95</v>
      </c>
      <c r="AC301" s="94"/>
      <c r="AD301" s="94" t="s">
        <v>2453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2376</v>
      </c>
      <c r="B302" s="63" t="s">
        <v>3195</v>
      </c>
      <c r="C302" s="137">
        <v>3797286.0</v>
      </c>
      <c r="D302" s="312" t="s">
        <v>18</v>
      </c>
      <c r="E302" s="312" t="s">
        <v>29</v>
      </c>
      <c r="F302" s="312" t="s">
        <v>2760</v>
      </c>
      <c r="G302" s="47" t="str">
        <f t="shared" si="1"/>
        <v>Breno</v>
      </c>
      <c r="H302" s="152" t="s">
        <v>88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111</v>
      </c>
      <c r="N302" s="314">
        <v>0.015</v>
      </c>
      <c r="O302" s="312" t="s">
        <v>46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89</v>
      </c>
      <c r="W302" s="5" t="s">
        <v>3196</v>
      </c>
      <c r="X302" s="5" t="s">
        <v>121</v>
      </c>
      <c r="Y302" s="53" t="str">
        <f t="shared" si="3"/>
        <v>Ativo</v>
      </c>
      <c r="Z302" s="126"/>
      <c r="AA302" s="94" t="str">
        <f t="shared" si="7"/>
        <v/>
      </c>
      <c r="AB302" s="13" t="s">
        <v>95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2376</v>
      </c>
      <c r="B303" s="225" t="s">
        <v>3197</v>
      </c>
      <c r="C303" s="322" t="s">
        <v>3198</v>
      </c>
      <c r="D303" s="312" t="s">
        <v>2379</v>
      </c>
      <c r="E303" s="312" t="s">
        <v>29</v>
      </c>
      <c r="F303" s="94" t="s">
        <v>2380</v>
      </c>
      <c r="G303" s="47" t="str">
        <f t="shared" si="1"/>
        <v>Augusto</v>
      </c>
      <c r="H303" s="323" t="s">
        <v>157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111</v>
      </c>
      <c r="N303" s="325">
        <v>0.01</v>
      </c>
      <c r="O303" s="312" t="s">
        <v>46</v>
      </c>
      <c r="P303" s="315">
        <v>0.1</v>
      </c>
      <c r="Q303" s="94" t="str">
        <f>IFERROR(VLOOKUP(F303,'Cadastro de assessores'!A:B,2,FALSE),"Não Cadastrado")</f>
        <v>17573</v>
      </c>
      <c r="R303" s="94" t="s">
        <v>2393</v>
      </c>
      <c r="S303" s="324">
        <v>43700.0</v>
      </c>
      <c r="T303" s="78"/>
      <c r="U303" s="78"/>
      <c r="V303" s="24" t="s">
        <v>89</v>
      </c>
      <c r="W303" s="13" t="s">
        <v>3199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2410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2396</v>
      </c>
      <c r="BJ303" s="158">
        <v>0.0</v>
      </c>
      <c r="BK303" s="158" t="s">
        <v>2396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2376</v>
      </c>
      <c r="B304" s="221" t="s">
        <v>1819</v>
      </c>
      <c r="C304" s="204" t="s">
        <v>3200</v>
      </c>
      <c r="D304" s="312" t="s">
        <v>18</v>
      </c>
      <c r="E304" s="312" t="s">
        <v>145</v>
      </c>
      <c r="F304" s="312" t="s">
        <v>146</v>
      </c>
      <c r="G304" s="47" t="str">
        <f t="shared" si="1"/>
        <v>Augusto</v>
      </c>
      <c r="H304" s="323" t="s">
        <v>116</v>
      </c>
      <c r="I304" s="53" t="s">
        <v>161</v>
      </c>
      <c r="J304" s="312" t="str">
        <f t="shared" si="2"/>
        <v>Não</v>
      </c>
      <c r="K304" s="313">
        <v>44266.0</v>
      </c>
      <c r="L304" s="24"/>
      <c r="M304" s="94" t="s">
        <v>45</v>
      </c>
      <c r="N304" s="325">
        <v>0.012</v>
      </c>
      <c r="O304" s="312" t="s">
        <v>2381</v>
      </c>
      <c r="P304" s="315">
        <v>0.0</v>
      </c>
      <c r="Q304" s="312" t="str">
        <f>IFERROR(VLOOKUP(F304,'Cadastro de assessores'!A:B,2,FALSE),"Não Cadastrado")</f>
        <v>250</v>
      </c>
      <c r="R304" s="312" t="s">
        <v>88</v>
      </c>
      <c r="S304" s="313">
        <v>44266.0</v>
      </c>
      <c r="T304" s="65"/>
      <c r="U304" s="156"/>
      <c r="V304" s="24" t="s">
        <v>89</v>
      </c>
      <c r="W304" s="13" t="s">
        <v>1822</v>
      </c>
      <c r="X304" s="151" t="s">
        <v>149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95</v>
      </c>
      <c r="AC304" s="94"/>
      <c r="AD304" s="94" t="s">
        <v>2439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2376</v>
      </c>
      <c r="B305" s="63" t="s">
        <v>3201</v>
      </c>
      <c r="C305" s="371" t="s">
        <v>3202</v>
      </c>
      <c r="D305" s="338" t="s">
        <v>18</v>
      </c>
      <c r="E305" s="338" t="s">
        <v>145</v>
      </c>
      <c r="F305" s="338" t="s">
        <v>478</v>
      </c>
      <c r="G305" s="47" t="str">
        <f t="shared" si="1"/>
        <v>Augusto</v>
      </c>
      <c r="H305" s="339" t="s">
        <v>116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60</v>
      </c>
      <c r="N305" s="351">
        <v>0.007</v>
      </c>
      <c r="O305" s="338" t="s">
        <v>2381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3203</v>
      </c>
      <c r="U305" s="156"/>
      <c r="V305" s="24" t="s">
        <v>89</v>
      </c>
      <c r="W305" s="5" t="s">
        <v>1827</v>
      </c>
      <c r="X305" s="151" t="s">
        <v>180</v>
      </c>
      <c r="Y305" s="53" t="str">
        <f t="shared" si="3"/>
        <v>Ativo</v>
      </c>
      <c r="Z305" s="126"/>
      <c r="AA305" s="94" t="str">
        <f t="shared" si="7"/>
        <v/>
      </c>
      <c r="AB305" s="13" t="s">
        <v>95</v>
      </c>
      <c r="AC305" s="94"/>
      <c r="AD305" s="94" t="s">
        <v>2590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2376</v>
      </c>
      <c r="B306" s="63" t="s">
        <v>3201</v>
      </c>
      <c r="C306" s="321" t="s">
        <v>3204</v>
      </c>
      <c r="D306" s="312" t="s">
        <v>18</v>
      </c>
      <c r="E306" s="312" t="s">
        <v>145</v>
      </c>
      <c r="F306" s="312" t="s">
        <v>478</v>
      </c>
      <c r="G306" s="47" t="str">
        <f t="shared" si="1"/>
        <v>Bruno</v>
      </c>
      <c r="H306" s="152" t="s">
        <v>88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60</v>
      </c>
      <c r="N306" s="314">
        <v>0.007</v>
      </c>
      <c r="O306" s="312" t="s">
        <v>2381</v>
      </c>
      <c r="P306" s="315">
        <v>0.0</v>
      </c>
      <c r="Q306" s="312">
        <f>IFERROR(VLOOKUP(F306,'Cadastro de assessores'!A:B,2,FALSE),"Não Cadastrado")</f>
        <v>12362</v>
      </c>
      <c r="R306" s="312" t="s">
        <v>88</v>
      </c>
      <c r="S306" s="313">
        <v>44677.0</v>
      </c>
      <c r="T306" s="156" t="s">
        <v>3203</v>
      </c>
      <c r="U306" s="156"/>
      <c r="V306" s="24" t="s">
        <v>89</v>
      </c>
      <c r="W306" s="5" t="s">
        <v>1827</v>
      </c>
      <c r="X306" s="151" t="s">
        <v>180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95</v>
      </c>
      <c r="AC306" s="94"/>
      <c r="AD306" s="94" t="s">
        <v>2590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2376</v>
      </c>
      <c r="B307" s="225" t="s">
        <v>3201</v>
      </c>
      <c r="C307" s="322" t="s">
        <v>3205</v>
      </c>
      <c r="D307" s="312" t="s">
        <v>18</v>
      </c>
      <c r="E307" s="312" t="s">
        <v>145</v>
      </c>
      <c r="F307" s="94" t="s">
        <v>478</v>
      </c>
      <c r="G307" s="47" t="str">
        <f t="shared" si="1"/>
        <v>Augusto</v>
      </c>
      <c r="H307" s="323" t="s">
        <v>157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2743</v>
      </c>
      <c r="N307" s="325">
        <v>0.01</v>
      </c>
      <c r="O307" s="312" t="s">
        <v>2381</v>
      </c>
      <c r="P307" s="315">
        <v>0.0</v>
      </c>
      <c r="Q307" s="94">
        <f>IFERROR(VLOOKUP(F307,'Cadastro de assessores'!A:B,2,FALSE),"Não Cadastrado")</f>
        <v>12362</v>
      </c>
      <c r="R307" s="94" t="s">
        <v>2393</v>
      </c>
      <c r="S307" s="94" t="s">
        <v>3206</v>
      </c>
      <c r="T307" s="156"/>
      <c r="U307" s="156"/>
      <c r="V307" s="24" t="s">
        <v>89</v>
      </c>
      <c r="W307" s="13" t="s">
        <v>1827</v>
      </c>
      <c r="X307" s="151" t="s">
        <v>180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2590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2396</v>
      </c>
      <c r="BJ307" s="158">
        <v>0.0</v>
      </c>
      <c r="BK307" s="158" t="s">
        <v>2396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2376</v>
      </c>
      <c r="B308" s="114" t="s">
        <v>3207</v>
      </c>
      <c r="C308" s="24">
        <v>3436437.0</v>
      </c>
      <c r="D308" s="312" t="s">
        <v>18</v>
      </c>
      <c r="E308" s="312" t="s">
        <v>145</v>
      </c>
      <c r="F308" s="94" t="s">
        <v>2464</v>
      </c>
      <c r="G308" s="47" t="str">
        <f t="shared" si="1"/>
        <v>Augusto</v>
      </c>
      <c r="H308" s="323" t="s">
        <v>157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60</v>
      </c>
      <c r="N308" s="325">
        <v>0.007</v>
      </c>
      <c r="O308" s="312" t="s">
        <v>2381</v>
      </c>
      <c r="P308" s="315">
        <v>0.0</v>
      </c>
      <c r="Q308" s="94" t="str">
        <f>IFERROR(VLOOKUP(F308,'Cadastro de assessores'!A:B,2,FALSE),"Não Cadastrado")</f>
        <v>22066</v>
      </c>
      <c r="R308" s="94" t="s">
        <v>88</v>
      </c>
      <c r="S308" s="329">
        <v>44726.0</v>
      </c>
      <c r="T308" s="156"/>
      <c r="U308" s="156"/>
      <c r="V308" s="24" t="s">
        <v>89</v>
      </c>
      <c r="W308" s="5" t="s">
        <v>3208</v>
      </c>
      <c r="X308" s="94" t="s">
        <v>3209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2389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2376</v>
      </c>
      <c r="B309" s="225" t="s">
        <v>3210</v>
      </c>
      <c r="C309" s="380" t="s">
        <v>3211</v>
      </c>
      <c r="D309" s="312" t="s">
        <v>18</v>
      </c>
      <c r="E309" s="312" t="s">
        <v>29</v>
      </c>
      <c r="F309" s="94" t="s">
        <v>2633</v>
      </c>
      <c r="G309" s="47" t="str">
        <f t="shared" si="1"/>
        <v>Augusto</v>
      </c>
      <c r="H309" s="323" t="s">
        <v>157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243</v>
      </c>
      <c r="N309" s="325">
        <v>0.02</v>
      </c>
      <c r="O309" s="312" t="s">
        <v>46</v>
      </c>
      <c r="P309" s="315">
        <v>0.2</v>
      </c>
      <c r="Q309" s="94" t="str">
        <f>IFERROR(VLOOKUP(F309,'Cadastro de assessores'!A:B,2,FALSE),"Não Cadastrado")</f>
        <v>18236</v>
      </c>
      <c r="R309" s="94" t="s">
        <v>2393</v>
      </c>
      <c r="S309" s="329">
        <v>43417.0</v>
      </c>
      <c r="T309" s="78"/>
      <c r="U309" s="78"/>
      <c r="V309" s="24" t="s">
        <v>89</v>
      </c>
      <c r="W309" s="13" t="s">
        <v>3212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2453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2396</v>
      </c>
      <c r="BJ309" s="158">
        <v>0.0</v>
      </c>
      <c r="BK309" s="158" t="s">
        <v>2396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2376</v>
      </c>
      <c r="B310" s="225" t="s">
        <v>3210</v>
      </c>
      <c r="C310" s="322" t="s">
        <v>3213</v>
      </c>
      <c r="D310" s="312" t="s">
        <v>18</v>
      </c>
      <c r="E310" s="312" t="s">
        <v>29</v>
      </c>
      <c r="F310" s="94" t="s">
        <v>110</v>
      </c>
      <c r="G310" s="47" t="str">
        <f t="shared" si="1"/>
        <v>Bruno</v>
      </c>
      <c r="H310" s="152" t="s">
        <v>88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111</v>
      </c>
      <c r="N310" s="325">
        <v>0.015</v>
      </c>
      <c r="O310" s="312" t="s">
        <v>46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89</v>
      </c>
      <c r="W310" s="13" t="s">
        <v>3212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91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2376</v>
      </c>
      <c r="B311" s="310" t="s">
        <v>3214</v>
      </c>
      <c r="C311" s="73" t="s">
        <v>3215</v>
      </c>
      <c r="D311" s="312" t="s">
        <v>18</v>
      </c>
      <c r="E311" s="312" t="s">
        <v>29</v>
      </c>
      <c r="F311" s="94" t="s">
        <v>110</v>
      </c>
      <c r="G311" s="47" t="str">
        <f t="shared" si="1"/>
        <v>Breno</v>
      </c>
      <c r="H311" s="152" t="s">
        <v>88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60</v>
      </c>
      <c r="N311" s="325">
        <v>0.012</v>
      </c>
      <c r="O311" s="312" t="s">
        <v>2381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3216</v>
      </c>
      <c r="U311" s="156"/>
      <c r="V311" s="24" t="s">
        <v>89</v>
      </c>
      <c r="W311" s="317" t="s">
        <v>3212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91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2376</v>
      </c>
      <c r="B312" s="310" t="s">
        <v>1838</v>
      </c>
      <c r="C312" s="311" t="s">
        <v>3217</v>
      </c>
      <c r="D312" s="312" t="s">
        <v>18</v>
      </c>
      <c r="E312" s="312" t="s">
        <v>29</v>
      </c>
      <c r="F312" s="317" t="s">
        <v>569</v>
      </c>
      <c r="G312" s="47" t="str">
        <f t="shared" si="1"/>
        <v>Breno</v>
      </c>
      <c r="H312" s="323" t="s">
        <v>116</v>
      </c>
      <c r="I312" s="53" t="s">
        <v>161</v>
      </c>
      <c r="J312" s="312" t="str">
        <f t="shared" si="2"/>
        <v>Sim</v>
      </c>
      <c r="K312" s="313">
        <v>43620.0</v>
      </c>
      <c r="L312" s="24"/>
      <c r="M312" s="94" t="s">
        <v>111</v>
      </c>
      <c r="N312" s="325">
        <v>0.015</v>
      </c>
      <c r="O312" s="312" t="s">
        <v>2381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88</v>
      </c>
      <c r="S312" s="313">
        <v>43620.0</v>
      </c>
      <c r="T312" s="327" t="s">
        <v>3218</v>
      </c>
      <c r="U312" s="327" t="s">
        <v>2533</v>
      </c>
      <c r="V312" s="24" t="s">
        <v>89</v>
      </c>
      <c r="W312" s="317" t="s">
        <v>1840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95</v>
      </c>
      <c r="AC312" s="94"/>
      <c r="AD312" s="94" t="s">
        <v>2432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2376</v>
      </c>
      <c r="B313" s="45" t="s">
        <v>1854</v>
      </c>
      <c r="C313" s="321" t="s">
        <v>3219</v>
      </c>
      <c r="D313" s="312" t="s">
        <v>18</v>
      </c>
      <c r="E313" s="312" t="s">
        <v>145</v>
      </c>
      <c r="F313" s="312" t="s">
        <v>146</v>
      </c>
      <c r="G313" s="47" t="str">
        <f t="shared" si="1"/>
        <v>Augusto</v>
      </c>
      <c r="H313" s="323" t="s">
        <v>116</v>
      </c>
      <c r="I313" s="53" t="s">
        <v>161</v>
      </c>
      <c r="J313" s="312" t="str">
        <f t="shared" si="2"/>
        <v>Não</v>
      </c>
      <c r="K313" s="313">
        <v>44319.0</v>
      </c>
      <c r="L313" s="24"/>
      <c r="M313" s="94" t="s">
        <v>243</v>
      </c>
      <c r="N313" s="116">
        <v>0.02</v>
      </c>
      <c r="O313" s="312" t="s">
        <v>46</v>
      </c>
      <c r="P313" s="315">
        <v>0.2</v>
      </c>
      <c r="Q313" s="312" t="str">
        <f>IFERROR(VLOOKUP(F313,'Cadastro de assessores'!A:B,2,FALSE),"Não Cadastrado")</f>
        <v>250</v>
      </c>
      <c r="R313" s="312" t="s">
        <v>88</v>
      </c>
      <c r="S313" s="313">
        <v>44319.0</v>
      </c>
      <c r="T313" s="52"/>
      <c r="U313" s="52"/>
      <c r="V313" s="24" t="s">
        <v>89</v>
      </c>
      <c r="W313" s="5" t="s">
        <v>1856</v>
      </c>
      <c r="X313" s="151" t="s">
        <v>149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91</v>
      </c>
      <c r="AC313" s="94"/>
      <c r="AD313" s="94" t="s">
        <v>2439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2376</v>
      </c>
      <c r="B314" s="63" t="s">
        <v>3220</v>
      </c>
      <c r="C314" s="24">
        <v>3788732.0</v>
      </c>
      <c r="D314" s="312" t="s">
        <v>18</v>
      </c>
      <c r="E314" s="312" t="s">
        <v>29</v>
      </c>
      <c r="F314" s="312" t="s">
        <v>2435</v>
      </c>
      <c r="G314" s="47" t="str">
        <f t="shared" si="1"/>
        <v>Breno</v>
      </c>
      <c r="H314" s="152" t="s">
        <v>88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162</v>
      </c>
      <c r="N314" s="325">
        <v>0.025</v>
      </c>
      <c r="O314" s="312" t="s">
        <v>163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89</v>
      </c>
      <c r="W314" s="5" t="s">
        <v>3221</v>
      </c>
      <c r="X314" s="13" t="s">
        <v>715</v>
      </c>
      <c r="Y314" s="53" t="str">
        <f t="shared" si="3"/>
        <v>Ativo</v>
      </c>
      <c r="Z314" s="126"/>
      <c r="AA314" s="94" t="str">
        <f t="shared" si="7"/>
        <v/>
      </c>
      <c r="AB314" s="13" t="s">
        <v>91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2376</v>
      </c>
      <c r="B315" s="63" t="s">
        <v>3220</v>
      </c>
      <c r="C315" s="24">
        <v>3789976.0</v>
      </c>
      <c r="D315" s="312" t="s">
        <v>18</v>
      </c>
      <c r="E315" s="312" t="s">
        <v>29</v>
      </c>
      <c r="F315" s="312" t="s">
        <v>2435</v>
      </c>
      <c r="G315" s="47" t="str">
        <f t="shared" si="1"/>
        <v>Breno</v>
      </c>
      <c r="H315" s="152" t="s">
        <v>88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60</v>
      </c>
      <c r="N315" s="325">
        <v>0.01</v>
      </c>
      <c r="O315" s="312" t="s">
        <v>2381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89</v>
      </c>
      <c r="W315" s="5" t="s">
        <v>3221</v>
      </c>
      <c r="X315" s="13" t="s">
        <v>715</v>
      </c>
      <c r="Y315" s="53" t="str">
        <f t="shared" si="3"/>
        <v>Ativo</v>
      </c>
      <c r="Z315" s="126"/>
      <c r="AA315" s="94" t="str">
        <f t="shared" si="7"/>
        <v/>
      </c>
      <c r="AB315" s="13" t="s">
        <v>91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2376</v>
      </c>
      <c r="B316" s="221" t="s">
        <v>1868</v>
      </c>
      <c r="C316" s="204" t="s">
        <v>3222</v>
      </c>
      <c r="D316" s="312" t="s">
        <v>18</v>
      </c>
      <c r="E316" s="312" t="s">
        <v>145</v>
      </c>
      <c r="F316" s="312" t="s">
        <v>146</v>
      </c>
      <c r="G316" s="47" t="str">
        <f t="shared" si="1"/>
        <v>Augusto</v>
      </c>
      <c r="H316" s="152" t="s">
        <v>116</v>
      </c>
      <c r="I316" s="53" t="s">
        <v>161</v>
      </c>
      <c r="J316" s="312" t="str">
        <f t="shared" si="2"/>
        <v>Sim</v>
      </c>
      <c r="K316" s="313">
        <v>44280.0</v>
      </c>
      <c r="L316" s="24"/>
      <c r="M316" s="94" t="s">
        <v>111</v>
      </c>
      <c r="N316" s="325">
        <v>0.015</v>
      </c>
      <c r="O316" s="312" t="s">
        <v>46</v>
      </c>
      <c r="P316" s="315">
        <v>0.1</v>
      </c>
      <c r="Q316" s="312" t="str">
        <f>IFERROR(VLOOKUP(F316,'Cadastro de assessores'!A:B,2,FALSE),"Não Cadastrado")</f>
        <v>250</v>
      </c>
      <c r="R316" s="312" t="s">
        <v>88</v>
      </c>
      <c r="S316" s="313">
        <v>44280.0</v>
      </c>
      <c r="T316" s="156" t="s">
        <v>3223</v>
      </c>
      <c r="U316" s="156"/>
      <c r="V316" s="24" t="s">
        <v>89</v>
      </c>
      <c r="W316" s="13" t="s">
        <v>1871</v>
      </c>
      <c r="X316" s="94" t="s">
        <v>121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91</v>
      </c>
      <c r="AC316" s="94"/>
      <c r="AD316" s="94" t="s">
        <v>3224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2376</v>
      </c>
      <c r="B317" s="221" t="s">
        <v>1868</v>
      </c>
      <c r="C317" s="321" t="s">
        <v>3225</v>
      </c>
      <c r="D317" s="312" t="s">
        <v>18</v>
      </c>
      <c r="E317" s="312" t="s">
        <v>145</v>
      </c>
      <c r="F317" s="312" t="s">
        <v>146</v>
      </c>
      <c r="G317" s="47" t="str">
        <f t="shared" si="1"/>
        <v>Augusto</v>
      </c>
      <c r="H317" s="152" t="s">
        <v>116</v>
      </c>
      <c r="I317" s="53" t="s">
        <v>161</v>
      </c>
      <c r="J317" s="312" t="str">
        <f t="shared" si="2"/>
        <v>Não</v>
      </c>
      <c r="K317" s="74">
        <v>44382.0</v>
      </c>
      <c r="L317" s="24"/>
      <c r="M317" s="94" t="s">
        <v>111</v>
      </c>
      <c r="N317" s="325">
        <v>0.015</v>
      </c>
      <c r="O317" s="312" t="s">
        <v>46</v>
      </c>
      <c r="P317" s="315">
        <v>0.1</v>
      </c>
      <c r="Q317" s="312" t="str">
        <f>IFERROR(VLOOKUP(F317,'Cadastro de assessores'!A:B,2,FALSE),"Não Cadastrado")</f>
        <v>250</v>
      </c>
      <c r="R317" s="312" t="s">
        <v>88</v>
      </c>
      <c r="S317" s="74">
        <v>44382.0</v>
      </c>
      <c r="T317" s="75"/>
      <c r="U317" s="156" t="s">
        <v>3226</v>
      </c>
      <c r="V317" s="24" t="s">
        <v>89</v>
      </c>
      <c r="W317" s="13" t="s">
        <v>1871</v>
      </c>
      <c r="X317" s="94" t="s">
        <v>121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95</v>
      </c>
      <c r="AC317" s="94"/>
      <c r="AD317" s="94" t="s">
        <v>3224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2376</v>
      </c>
      <c r="B318" s="45" t="s">
        <v>3227</v>
      </c>
      <c r="C318" s="321" t="s">
        <v>3228</v>
      </c>
      <c r="D318" s="312" t="s">
        <v>18</v>
      </c>
      <c r="E318" s="312" t="s">
        <v>145</v>
      </c>
      <c r="F318" s="92" t="s">
        <v>171</v>
      </c>
      <c r="G318" s="47" t="str">
        <f t="shared" si="1"/>
        <v>Augusto</v>
      </c>
      <c r="H318" s="152" t="s">
        <v>116</v>
      </c>
      <c r="I318" s="53" t="s">
        <v>161</v>
      </c>
      <c r="J318" s="312" t="str">
        <f t="shared" si="2"/>
        <v>Não</v>
      </c>
      <c r="K318" s="74">
        <v>44389.0</v>
      </c>
      <c r="L318" s="24"/>
      <c r="M318" s="94" t="s">
        <v>111</v>
      </c>
      <c r="N318" s="325">
        <v>0.015</v>
      </c>
      <c r="O318" s="312" t="s">
        <v>46</v>
      </c>
      <c r="P318" s="315">
        <v>0.1</v>
      </c>
      <c r="Q318" s="92" t="str">
        <f>IFERROR(VLOOKUP(F318,'Cadastro de assessores'!A:B,2,FALSE),"Não Cadastrado")</f>
        <v>28411</v>
      </c>
      <c r="R318" s="312" t="s">
        <v>88</v>
      </c>
      <c r="S318" s="74">
        <v>44389.0</v>
      </c>
      <c r="T318" s="52"/>
      <c r="U318" s="52"/>
      <c r="V318" s="24" t="s">
        <v>89</v>
      </c>
      <c r="W318" s="5" t="s">
        <v>1878</v>
      </c>
      <c r="X318" s="24" t="s">
        <v>715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95</v>
      </c>
      <c r="AC318" s="94"/>
      <c r="AD318" s="24" t="s">
        <v>2494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2376</v>
      </c>
      <c r="B319" s="221" t="s">
        <v>3229</v>
      </c>
      <c r="C319" s="349" t="s">
        <v>3230</v>
      </c>
      <c r="D319" s="338" t="s">
        <v>18</v>
      </c>
      <c r="E319" s="338" t="s">
        <v>29</v>
      </c>
      <c r="F319" s="317" t="s">
        <v>569</v>
      </c>
      <c r="G319" s="47" t="str">
        <f t="shared" si="1"/>
        <v>Augusto</v>
      </c>
      <c r="H319" s="339" t="s">
        <v>88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243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88</v>
      </c>
      <c r="S319" s="313">
        <v>43564.0</v>
      </c>
      <c r="T319" s="75"/>
      <c r="U319" s="327" t="s">
        <v>3231</v>
      </c>
      <c r="V319" s="24" t="s">
        <v>89</v>
      </c>
      <c r="W319" s="13" t="s">
        <v>3232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95</v>
      </c>
      <c r="AC319" s="94"/>
      <c r="AD319" s="94" t="s">
        <v>3233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2376</v>
      </c>
      <c r="B320" s="221" t="s">
        <v>3234</v>
      </c>
      <c r="C320" s="322" t="s">
        <v>3235</v>
      </c>
      <c r="D320" s="312" t="s">
        <v>2379</v>
      </c>
      <c r="E320" s="312" t="s">
        <v>29</v>
      </c>
      <c r="F320" s="312" t="s">
        <v>2380</v>
      </c>
      <c r="G320" s="47" t="str">
        <f t="shared" si="1"/>
        <v>Augusto</v>
      </c>
      <c r="H320" s="152" t="s">
        <v>116</v>
      </c>
      <c r="I320" s="53" t="s">
        <v>161</v>
      </c>
      <c r="J320" s="312" t="str">
        <f t="shared" si="2"/>
        <v>Não</v>
      </c>
      <c r="K320" s="313">
        <v>43894.0</v>
      </c>
      <c r="L320" s="94"/>
      <c r="M320" s="94" t="s">
        <v>45</v>
      </c>
      <c r="N320" s="325">
        <v>0.012</v>
      </c>
      <c r="O320" s="312" t="s">
        <v>2381</v>
      </c>
      <c r="P320" s="315">
        <v>0.0</v>
      </c>
      <c r="Q320" s="312" t="str">
        <f>IFERROR(VLOOKUP(F320,'Cadastro de assessores'!A:B,2,FALSE),"Não Cadastrado")</f>
        <v>17573</v>
      </c>
      <c r="R320" s="312" t="s">
        <v>88</v>
      </c>
      <c r="S320" s="313">
        <v>43892.0</v>
      </c>
      <c r="T320" s="156"/>
      <c r="U320" s="156"/>
      <c r="V320" s="24" t="s">
        <v>89</v>
      </c>
      <c r="W320" s="13" t="s">
        <v>3236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95</v>
      </c>
      <c r="AC320" s="94"/>
      <c r="AD320" s="94" t="s">
        <v>2505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2376</v>
      </c>
      <c r="B321" s="221" t="s">
        <v>3237</v>
      </c>
      <c r="C321" s="347" t="s">
        <v>3238</v>
      </c>
      <c r="D321" s="312" t="s">
        <v>18</v>
      </c>
      <c r="E321" s="312" t="s">
        <v>145</v>
      </c>
      <c r="F321" s="94" t="s">
        <v>171</v>
      </c>
      <c r="G321" s="47" t="str">
        <f t="shared" si="1"/>
        <v>Augusto</v>
      </c>
      <c r="H321" s="323" t="s">
        <v>157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111</v>
      </c>
      <c r="N321" s="325">
        <v>0.015</v>
      </c>
      <c r="O321" s="312" t="s">
        <v>46</v>
      </c>
      <c r="P321" s="315">
        <v>0.1</v>
      </c>
      <c r="Q321" s="94" t="str">
        <f>IFERROR(VLOOKUP(F321,'Cadastro de assessores'!A:B,2,FALSE),"Não Cadastrado")</f>
        <v>28411</v>
      </c>
      <c r="R321" s="94" t="s">
        <v>2393</v>
      </c>
      <c r="S321" s="324">
        <v>44279.0</v>
      </c>
      <c r="T321" s="156"/>
      <c r="U321" s="156"/>
      <c r="V321" s="24" t="s">
        <v>89</v>
      </c>
      <c r="W321" s="13" t="s">
        <v>3239</v>
      </c>
      <c r="X321" s="94" t="s">
        <v>149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2439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2396</v>
      </c>
      <c r="BJ321" s="158">
        <v>0.0</v>
      </c>
      <c r="BK321" s="158" t="s">
        <v>2396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2376</v>
      </c>
      <c r="B322" s="225" t="s">
        <v>3240</v>
      </c>
      <c r="C322" s="322" t="s">
        <v>3241</v>
      </c>
      <c r="D322" s="312" t="s">
        <v>2379</v>
      </c>
      <c r="E322" s="312" t="s">
        <v>29</v>
      </c>
      <c r="F322" s="94" t="s">
        <v>2380</v>
      </c>
      <c r="G322" s="47" t="str">
        <f t="shared" si="1"/>
        <v>Augusto</v>
      </c>
      <c r="H322" s="323" t="s">
        <v>157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111</v>
      </c>
      <c r="N322" s="325">
        <v>0.01</v>
      </c>
      <c r="O322" s="312" t="s">
        <v>46</v>
      </c>
      <c r="P322" s="315">
        <v>0.1</v>
      </c>
      <c r="Q322" s="94" t="str">
        <f>IFERROR(VLOOKUP(F322,'Cadastro de assessores'!A:B,2,FALSE),"Não Cadastrado")</f>
        <v>17573</v>
      </c>
      <c r="R322" s="94" t="s">
        <v>2393</v>
      </c>
      <c r="S322" s="324">
        <v>43668.0</v>
      </c>
      <c r="T322" s="368"/>
      <c r="U322" s="156"/>
      <c r="V322" s="24" t="s">
        <v>89</v>
      </c>
      <c r="W322" s="13" t="s">
        <v>3242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2432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2396</v>
      </c>
      <c r="BJ322" s="158">
        <v>0.0</v>
      </c>
      <c r="BK322" s="158" t="s">
        <v>2396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2376</v>
      </c>
      <c r="B323" s="225" t="s">
        <v>1912</v>
      </c>
      <c r="C323" s="322" t="s">
        <v>3243</v>
      </c>
      <c r="D323" s="312" t="s">
        <v>18</v>
      </c>
      <c r="E323" s="312" t="s">
        <v>145</v>
      </c>
      <c r="F323" s="94" t="s">
        <v>146</v>
      </c>
      <c r="G323" s="47" t="str">
        <f t="shared" si="1"/>
        <v>Augusto</v>
      </c>
      <c r="H323" s="152" t="s">
        <v>116</v>
      </c>
      <c r="I323" s="53" t="s">
        <v>161</v>
      </c>
      <c r="J323" s="312" t="str">
        <f t="shared" si="2"/>
        <v>Não</v>
      </c>
      <c r="K323" s="324">
        <v>44844.0</v>
      </c>
      <c r="L323" s="381"/>
      <c r="M323" s="94" t="s">
        <v>60</v>
      </c>
      <c r="N323" s="325">
        <v>0.01</v>
      </c>
      <c r="O323" s="312" t="s">
        <v>2381</v>
      </c>
      <c r="P323" s="315">
        <v>0.0</v>
      </c>
      <c r="Q323" s="94" t="str">
        <f>IFERROR(VLOOKUP(F323,'Cadastro de assessores'!A:B,2,FALSE),"Não Cadastrado")</f>
        <v>250</v>
      </c>
      <c r="R323" s="94" t="s">
        <v>88</v>
      </c>
      <c r="S323" s="324">
        <v>44826.0</v>
      </c>
      <c r="T323" s="156"/>
      <c r="U323" s="156"/>
      <c r="V323" s="24" t="s">
        <v>89</v>
      </c>
      <c r="W323" s="13" t="s">
        <v>1914</v>
      </c>
      <c r="X323" s="13" t="s">
        <v>149</v>
      </c>
      <c r="Y323" s="53" t="str">
        <f t="shared" si="3"/>
        <v>Ativo</v>
      </c>
      <c r="Z323" s="126"/>
      <c r="AA323" s="94" t="str">
        <f t="shared" si="7"/>
        <v/>
      </c>
      <c r="AB323" s="13" t="s">
        <v>95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2376</v>
      </c>
      <c r="B324" s="335" t="s">
        <v>3244</v>
      </c>
      <c r="C324" s="204" t="s">
        <v>3245</v>
      </c>
      <c r="D324" s="312" t="s">
        <v>18</v>
      </c>
      <c r="E324" s="312" t="s">
        <v>145</v>
      </c>
      <c r="F324" s="312" t="s">
        <v>171</v>
      </c>
      <c r="G324" s="47" t="str">
        <f t="shared" si="1"/>
        <v>Augusto</v>
      </c>
      <c r="H324" s="152" t="s">
        <v>116</v>
      </c>
      <c r="I324" s="53" t="s">
        <v>161</v>
      </c>
      <c r="J324" s="312" t="str">
        <f t="shared" si="2"/>
        <v>Não</v>
      </c>
      <c r="K324" s="313">
        <v>44279.0</v>
      </c>
      <c r="L324" s="24"/>
      <c r="M324" s="94" t="s">
        <v>111</v>
      </c>
      <c r="N324" s="325">
        <v>0.015</v>
      </c>
      <c r="O324" s="312" t="s">
        <v>46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3206</v>
      </c>
      <c r="S324" s="313">
        <v>44277.0</v>
      </c>
      <c r="T324" s="156"/>
      <c r="U324" s="156"/>
      <c r="V324" s="24" t="s">
        <v>89</v>
      </c>
      <c r="W324" s="317" t="s">
        <v>3246</v>
      </c>
      <c r="X324" s="151" t="s">
        <v>149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95</v>
      </c>
      <c r="AC324" s="94"/>
      <c r="AD324" s="94" t="s">
        <v>3153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2396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2376</v>
      </c>
      <c r="B325" s="225" t="s">
        <v>3247</v>
      </c>
      <c r="C325" s="322" t="s">
        <v>3248</v>
      </c>
      <c r="D325" s="312" t="s">
        <v>2379</v>
      </c>
      <c r="E325" s="312" t="s">
        <v>29</v>
      </c>
      <c r="F325" s="94" t="s">
        <v>2392</v>
      </c>
      <c r="G325" s="47" t="str">
        <f t="shared" si="1"/>
        <v>Augusto</v>
      </c>
      <c r="H325" s="323" t="s">
        <v>157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111</v>
      </c>
      <c r="N325" s="325">
        <v>0.015</v>
      </c>
      <c r="O325" s="312" t="s">
        <v>46</v>
      </c>
      <c r="P325" s="315">
        <v>0.1</v>
      </c>
      <c r="Q325" s="94" t="str">
        <f>IFERROR(VLOOKUP(F325,'Cadastro de assessores'!A:B,2,FALSE),"Não Cadastrado")</f>
        <v>2971</v>
      </c>
      <c r="R325" s="94" t="s">
        <v>2393</v>
      </c>
      <c r="S325" s="324">
        <v>43865.0</v>
      </c>
      <c r="T325" s="156"/>
      <c r="U325" s="156"/>
      <c r="V325" s="24" t="s">
        <v>89</v>
      </c>
      <c r="W325" s="13" t="s">
        <v>3249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95</v>
      </c>
      <c r="AC325" s="94"/>
      <c r="AD325" s="94" t="s">
        <v>2432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2376</v>
      </c>
      <c r="B326" s="225" t="s">
        <v>3250</v>
      </c>
      <c r="C326" s="322" t="s">
        <v>3251</v>
      </c>
      <c r="D326" s="312" t="s">
        <v>2379</v>
      </c>
      <c r="E326" s="312" t="s">
        <v>29</v>
      </c>
      <c r="F326" s="94" t="s">
        <v>2380</v>
      </c>
      <c r="G326" s="47" t="str">
        <f t="shared" si="1"/>
        <v>Augusto</v>
      </c>
      <c r="H326" s="323" t="s">
        <v>157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45</v>
      </c>
      <c r="N326" s="325">
        <v>0.012</v>
      </c>
      <c r="O326" s="312" t="s">
        <v>2381</v>
      </c>
      <c r="P326" s="315">
        <v>0.0</v>
      </c>
      <c r="Q326" s="94" t="str">
        <f>IFERROR(VLOOKUP(F326,'Cadastro de assessores'!A:B,2,FALSE),"Não Cadastrado")</f>
        <v>17573</v>
      </c>
      <c r="R326" s="94" t="s">
        <v>2393</v>
      </c>
      <c r="S326" s="324">
        <v>43840.0</v>
      </c>
      <c r="T326" s="156"/>
      <c r="U326" s="156"/>
      <c r="V326" s="24" t="s">
        <v>89</v>
      </c>
      <c r="W326" s="13" t="s">
        <v>2644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2771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2396</v>
      </c>
      <c r="BJ326" s="158">
        <v>0.0</v>
      </c>
      <c r="BK326" s="158" t="s">
        <v>2396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2376</v>
      </c>
      <c r="B327" s="221" t="s">
        <v>3252</v>
      </c>
      <c r="C327" s="322" t="s">
        <v>3253</v>
      </c>
      <c r="D327" s="312" t="s">
        <v>2379</v>
      </c>
      <c r="E327" s="312" t="s">
        <v>29</v>
      </c>
      <c r="F327" s="312" t="s">
        <v>2380</v>
      </c>
      <c r="G327" s="47" t="str">
        <f t="shared" si="1"/>
        <v>Augusto</v>
      </c>
      <c r="H327" s="152" t="s">
        <v>88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45</v>
      </c>
      <c r="N327" s="325">
        <v>0.012</v>
      </c>
      <c r="O327" s="312" t="s">
        <v>2381</v>
      </c>
      <c r="P327" s="315">
        <v>0.0</v>
      </c>
      <c r="Q327" s="312" t="str">
        <f>IFERROR(VLOOKUP(F327,'Cadastro de assessores'!A:B,2,FALSE),"Não Cadastrado")</f>
        <v>17573</v>
      </c>
      <c r="R327" s="312" t="s">
        <v>88</v>
      </c>
      <c r="S327" s="313">
        <v>43844.0</v>
      </c>
      <c r="T327" s="75"/>
      <c r="U327" s="156" t="s">
        <v>3254</v>
      </c>
      <c r="V327" s="24" t="s">
        <v>89</v>
      </c>
      <c r="W327" s="13" t="s">
        <v>3255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95</v>
      </c>
      <c r="AC327" s="94"/>
      <c r="AD327" s="94" t="s">
        <v>2410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2376</v>
      </c>
      <c r="B328" s="310" t="s">
        <v>3256</v>
      </c>
      <c r="C328" s="311" t="s">
        <v>3257</v>
      </c>
      <c r="D328" s="312" t="s">
        <v>2489</v>
      </c>
      <c r="E328" s="312" t="s">
        <v>29</v>
      </c>
      <c r="F328" s="312" t="s">
        <v>2489</v>
      </c>
      <c r="G328" s="47" t="str">
        <f t="shared" si="1"/>
        <v>Breno</v>
      </c>
      <c r="H328" s="152" t="s">
        <v>88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162</v>
      </c>
      <c r="N328" s="314">
        <v>0.008</v>
      </c>
      <c r="O328" s="312" t="s">
        <v>2381</v>
      </c>
      <c r="P328" s="315">
        <v>0.0</v>
      </c>
      <c r="Q328" s="312" t="str">
        <f>IFERROR(VLOOKUP(F328,'Cadastro de assessores'!A:B,2,FALSE),"Não Cadastrado")</f>
        <v>22400</v>
      </c>
      <c r="R328" s="312" t="s">
        <v>88</v>
      </c>
      <c r="S328" s="326">
        <v>43416.0</v>
      </c>
      <c r="T328" s="156"/>
      <c r="U328" s="156"/>
      <c r="V328" s="24" t="s">
        <v>89</v>
      </c>
      <c r="W328" s="317" t="s">
        <v>3258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95</v>
      </c>
      <c r="AC328" s="94"/>
      <c r="AD328" s="94" t="s">
        <v>2453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2376</v>
      </c>
      <c r="B329" s="221" t="s">
        <v>3259</v>
      </c>
      <c r="C329" s="322" t="s">
        <v>3260</v>
      </c>
      <c r="D329" s="312" t="s">
        <v>2379</v>
      </c>
      <c r="E329" s="312" t="s">
        <v>29</v>
      </c>
      <c r="F329" s="94" t="s">
        <v>2392</v>
      </c>
      <c r="G329" s="47" t="str">
        <f t="shared" si="1"/>
        <v>Augusto</v>
      </c>
      <c r="H329" s="323" t="s">
        <v>157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45</v>
      </c>
      <c r="N329" s="325">
        <v>0.012</v>
      </c>
      <c r="O329" s="312" t="s">
        <v>2381</v>
      </c>
      <c r="P329" s="315">
        <v>0.0</v>
      </c>
      <c r="Q329" s="94" t="str">
        <f>IFERROR(VLOOKUP(F329,'Cadastro de assessores'!A:B,2,FALSE),"Não Cadastrado")</f>
        <v>2971</v>
      </c>
      <c r="R329" s="94" t="s">
        <v>2393</v>
      </c>
      <c r="S329" s="324">
        <v>43861.0</v>
      </c>
      <c r="T329" s="156"/>
      <c r="U329" s="156"/>
      <c r="V329" s="24" t="s">
        <v>89</v>
      </c>
      <c r="W329" s="13" t="s">
        <v>3261</v>
      </c>
      <c r="X329" s="13" t="s">
        <v>180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2426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2396</v>
      </c>
      <c r="BJ329" s="158">
        <v>0.0</v>
      </c>
      <c r="BK329" s="158" t="s">
        <v>2396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2376</v>
      </c>
      <c r="B330" s="45" t="s">
        <v>1943</v>
      </c>
      <c r="C330" s="321" t="s">
        <v>3262</v>
      </c>
      <c r="D330" s="312" t="s">
        <v>18</v>
      </c>
      <c r="E330" s="312" t="s">
        <v>145</v>
      </c>
      <c r="F330" s="312" t="s">
        <v>146</v>
      </c>
      <c r="G330" s="47" t="str">
        <f t="shared" si="1"/>
        <v>Augusto</v>
      </c>
      <c r="H330" s="152" t="s">
        <v>116</v>
      </c>
      <c r="I330" s="53" t="s">
        <v>161</v>
      </c>
      <c r="J330" s="312" t="str">
        <f t="shared" si="2"/>
        <v>Não</v>
      </c>
      <c r="K330" s="313">
        <v>44321.0</v>
      </c>
      <c r="L330" s="24"/>
      <c r="M330" s="94" t="s">
        <v>111</v>
      </c>
      <c r="N330" s="325">
        <v>0.015</v>
      </c>
      <c r="O330" s="312" t="s">
        <v>46</v>
      </c>
      <c r="P330" s="315">
        <v>0.1</v>
      </c>
      <c r="Q330" s="312" t="str">
        <f>IFERROR(VLOOKUP(F330,'Cadastro de assessores'!A:B,2,FALSE),"Não Cadastrado")</f>
        <v>250</v>
      </c>
      <c r="R330" s="312" t="s">
        <v>88</v>
      </c>
      <c r="S330" s="313">
        <v>44295.0</v>
      </c>
      <c r="T330" s="52"/>
      <c r="U330" s="52"/>
      <c r="V330" s="24" t="s">
        <v>89</v>
      </c>
      <c r="W330" s="5" t="s">
        <v>1946</v>
      </c>
      <c r="X330" s="151" t="s">
        <v>149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95</v>
      </c>
      <c r="AC330" s="94"/>
      <c r="AD330" s="94" t="s">
        <v>2508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2376</v>
      </c>
      <c r="B331" s="45" t="s">
        <v>3263</v>
      </c>
      <c r="C331" s="321" t="s">
        <v>3264</v>
      </c>
      <c r="D331" s="312" t="s">
        <v>18</v>
      </c>
      <c r="E331" s="312" t="s">
        <v>145</v>
      </c>
      <c r="F331" s="312" t="s">
        <v>146</v>
      </c>
      <c r="G331" s="47" t="str">
        <f t="shared" si="1"/>
        <v>Augusto</v>
      </c>
      <c r="H331" s="323" t="s">
        <v>157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111</v>
      </c>
      <c r="N331" s="325">
        <v>0.015</v>
      </c>
      <c r="O331" s="312" t="s">
        <v>46</v>
      </c>
      <c r="P331" s="315">
        <v>0.1</v>
      </c>
      <c r="Q331" s="312" t="str">
        <f>IFERROR(VLOOKUP(F331,'Cadastro de assessores'!A:B,2,FALSE),"Não Cadastrado")</f>
        <v>250</v>
      </c>
      <c r="R331" s="312" t="s">
        <v>88</v>
      </c>
      <c r="S331" s="313">
        <v>44319.0</v>
      </c>
      <c r="T331" s="52"/>
      <c r="U331" s="52"/>
      <c r="V331" s="24" t="s">
        <v>89</v>
      </c>
      <c r="W331" s="5" t="s">
        <v>3265</v>
      </c>
      <c r="X331" s="151" t="s">
        <v>149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95</v>
      </c>
      <c r="AC331" s="94"/>
      <c r="AD331" s="94" t="s">
        <v>2439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2376</v>
      </c>
      <c r="B332" s="45" t="s">
        <v>3266</v>
      </c>
      <c r="C332" s="321" t="s">
        <v>3267</v>
      </c>
      <c r="D332" s="312" t="s">
        <v>18</v>
      </c>
      <c r="E332" s="312" t="s">
        <v>145</v>
      </c>
      <c r="F332" s="312" t="s">
        <v>171</v>
      </c>
      <c r="G332" s="47" t="str">
        <f t="shared" si="1"/>
        <v>Augusto</v>
      </c>
      <c r="H332" s="152" t="s">
        <v>116</v>
      </c>
      <c r="I332" s="53" t="s">
        <v>161</v>
      </c>
      <c r="J332" s="312" t="str">
        <f t="shared" si="2"/>
        <v>Não</v>
      </c>
      <c r="K332" s="313">
        <v>44319.0</v>
      </c>
      <c r="L332" s="24"/>
      <c r="M332" s="94" t="s">
        <v>111</v>
      </c>
      <c r="N332" s="325">
        <v>0.015</v>
      </c>
      <c r="O332" s="312" t="s">
        <v>46</v>
      </c>
      <c r="P332" s="315">
        <v>0.1</v>
      </c>
      <c r="Q332" s="312" t="str">
        <f>IFERROR(VLOOKUP(F332,'Cadastro de assessores'!A:B,2,FALSE),"Não Cadastrado")</f>
        <v>28411</v>
      </c>
      <c r="R332" s="312" t="s">
        <v>88</v>
      </c>
      <c r="S332" s="313">
        <v>44319.0</v>
      </c>
      <c r="T332" s="65"/>
      <c r="U332" s="52" t="s">
        <v>3268</v>
      </c>
      <c r="V332" s="24" t="s">
        <v>89</v>
      </c>
      <c r="W332" s="5" t="s">
        <v>1957</v>
      </c>
      <c r="X332" s="151" t="s">
        <v>149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95</v>
      </c>
      <c r="AC332" s="94"/>
      <c r="AD332" s="94" t="s">
        <v>2439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2376</v>
      </c>
      <c r="B333" s="63" t="s">
        <v>1961</v>
      </c>
      <c r="C333" s="92">
        <v>4534702.0</v>
      </c>
      <c r="D333" s="312" t="s">
        <v>18</v>
      </c>
      <c r="E333" s="312" t="s">
        <v>145</v>
      </c>
      <c r="F333" s="92" t="s">
        <v>171</v>
      </c>
      <c r="G333" s="47" t="str">
        <f t="shared" si="1"/>
        <v>Augusto</v>
      </c>
      <c r="H333" s="152" t="s">
        <v>116</v>
      </c>
      <c r="I333" s="53" t="s">
        <v>161</v>
      </c>
      <c r="J333" s="312" t="str">
        <f t="shared" si="2"/>
        <v>Não</v>
      </c>
      <c r="K333" s="74">
        <v>44462.0</v>
      </c>
      <c r="L333" s="24"/>
      <c r="M333" s="94" t="s">
        <v>162</v>
      </c>
      <c r="N333" s="325">
        <v>0.025</v>
      </c>
      <c r="O333" s="312" t="s">
        <v>163</v>
      </c>
      <c r="P333" s="315">
        <v>0.2</v>
      </c>
      <c r="Q333" s="312" t="str">
        <f>IFERROR(VLOOKUP(F333,'Cadastro de assessores'!A:B,2,FALSE),"Não Cadastrado")</f>
        <v>28411</v>
      </c>
      <c r="R333" s="312" t="s">
        <v>88</v>
      </c>
      <c r="S333" s="74">
        <v>44414.0</v>
      </c>
      <c r="T333" s="65"/>
      <c r="U333" s="52" t="s">
        <v>3269</v>
      </c>
      <c r="V333" s="24" t="s">
        <v>89</v>
      </c>
      <c r="W333" s="5" t="s">
        <v>1964</v>
      </c>
      <c r="X333" s="24" t="s">
        <v>796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95</v>
      </c>
      <c r="AC333" s="94"/>
      <c r="AD333" s="24" t="s">
        <v>3270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2376</v>
      </c>
      <c r="B334" s="387" t="s">
        <v>3271</v>
      </c>
      <c r="C334" s="388" t="s">
        <v>3272</v>
      </c>
      <c r="D334" s="312" t="s">
        <v>2379</v>
      </c>
      <c r="E334" s="312" t="s">
        <v>29</v>
      </c>
      <c r="F334" s="348" t="s">
        <v>2380</v>
      </c>
      <c r="G334" s="47" t="str">
        <f t="shared" si="1"/>
        <v>Augusto</v>
      </c>
      <c r="H334" s="152" t="s">
        <v>116</v>
      </c>
      <c r="I334" s="53" t="s">
        <v>161</v>
      </c>
      <c r="J334" s="312" t="str">
        <f t="shared" si="2"/>
        <v>Sim</v>
      </c>
      <c r="K334" s="389">
        <v>43675.0</v>
      </c>
      <c r="L334" s="348"/>
      <c r="M334" s="94" t="s">
        <v>111</v>
      </c>
      <c r="N334" s="390">
        <v>0.01</v>
      </c>
      <c r="O334" s="312" t="s">
        <v>46</v>
      </c>
      <c r="P334" s="315">
        <v>0.1</v>
      </c>
      <c r="Q334" s="348" t="str">
        <f>IFERROR(VLOOKUP(F334,'Cadastro de assessores'!A:B,2,FALSE),"Não Cadastrado")</f>
        <v>17573</v>
      </c>
      <c r="R334" s="383" t="s">
        <v>116</v>
      </c>
      <c r="S334" s="389">
        <v>43649.0</v>
      </c>
      <c r="T334" s="391" t="s">
        <v>2419</v>
      </c>
      <c r="U334" s="44"/>
      <c r="V334" s="24" t="s">
        <v>89</v>
      </c>
      <c r="W334" s="392" t="s">
        <v>3273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95</v>
      </c>
      <c r="AC334" s="94"/>
      <c r="AD334" s="348" t="s">
        <v>2950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2396</v>
      </c>
      <c r="BJ334" s="319">
        <v>0.0</v>
      </c>
      <c r="BK334" s="319" t="s">
        <v>2396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2376</v>
      </c>
      <c r="B335" s="387" t="s">
        <v>3274</v>
      </c>
      <c r="C335" s="388" t="s">
        <v>3275</v>
      </c>
      <c r="D335" s="312" t="s">
        <v>86</v>
      </c>
      <c r="E335" s="312" t="s">
        <v>29</v>
      </c>
      <c r="F335" s="348" t="s">
        <v>3276</v>
      </c>
      <c r="G335" s="47" t="str">
        <f t="shared" si="1"/>
        <v>Augusto</v>
      </c>
      <c r="H335" s="152" t="s">
        <v>116</v>
      </c>
      <c r="I335" s="53" t="s">
        <v>161</v>
      </c>
      <c r="J335" s="312" t="str">
        <f t="shared" si="2"/>
        <v>Não</v>
      </c>
      <c r="K335" s="389"/>
      <c r="L335" s="348"/>
      <c r="M335" s="94" t="s">
        <v>45</v>
      </c>
      <c r="N335" s="390">
        <v>0.012</v>
      </c>
      <c r="O335" s="312" t="s">
        <v>2381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89</v>
      </c>
      <c r="W335" s="392" t="s">
        <v>3277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95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2396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2376</v>
      </c>
      <c r="B336" s="359" t="s">
        <v>3278</v>
      </c>
      <c r="C336" s="322" t="s">
        <v>3279</v>
      </c>
      <c r="D336" s="312" t="s">
        <v>18</v>
      </c>
      <c r="E336" s="312" t="s">
        <v>145</v>
      </c>
      <c r="F336" s="94" t="s">
        <v>146</v>
      </c>
      <c r="G336" s="47" t="str">
        <f t="shared" si="1"/>
        <v>Augusto</v>
      </c>
      <c r="H336" s="323" t="s">
        <v>157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111</v>
      </c>
      <c r="N336" s="325">
        <v>0.015</v>
      </c>
      <c r="O336" s="312" t="s">
        <v>46</v>
      </c>
      <c r="P336" s="315">
        <v>0.1</v>
      </c>
      <c r="Q336" s="94" t="str">
        <f>IFERROR(VLOOKUP(F336,'Cadastro de assessores'!A:B,2,FALSE),"Não Cadastrado")</f>
        <v>250</v>
      </c>
      <c r="R336" s="94" t="s">
        <v>2393</v>
      </c>
      <c r="S336" s="324">
        <v>44278.0</v>
      </c>
      <c r="T336" s="156"/>
      <c r="U336" s="156"/>
      <c r="V336" s="24" t="s">
        <v>329</v>
      </c>
      <c r="W336" s="13" t="s">
        <v>3280</v>
      </c>
      <c r="X336" s="151" t="s">
        <v>149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2439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2396</v>
      </c>
      <c r="BJ336" s="158">
        <v>0.0</v>
      </c>
      <c r="BK336" s="158" t="s">
        <v>2396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2376</v>
      </c>
      <c r="B337" s="221" t="s">
        <v>3281</v>
      </c>
      <c r="C337" s="204" t="s">
        <v>3282</v>
      </c>
      <c r="D337" s="312" t="s">
        <v>18</v>
      </c>
      <c r="E337" s="312" t="s">
        <v>145</v>
      </c>
      <c r="F337" s="312" t="s">
        <v>171</v>
      </c>
      <c r="G337" s="47" t="str">
        <f t="shared" si="1"/>
        <v>Augusto</v>
      </c>
      <c r="H337" s="152" t="s">
        <v>116</v>
      </c>
      <c r="I337" s="53" t="s">
        <v>161</v>
      </c>
      <c r="J337" s="312" t="str">
        <f t="shared" si="2"/>
        <v>Não</v>
      </c>
      <c r="K337" s="313">
        <v>44280.0</v>
      </c>
      <c r="L337" s="24"/>
      <c r="M337" s="94" t="s">
        <v>60</v>
      </c>
      <c r="N337" s="314">
        <v>0.007</v>
      </c>
      <c r="O337" s="312" t="s">
        <v>2381</v>
      </c>
      <c r="P337" s="315">
        <v>0.0</v>
      </c>
      <c r="Q337" s="312" t="str">
        <f>IFERROR(VLOOKUP(F337,'Cadastro de assessores'!A:B,2,FALSE),"Não Cadastrado")</f>
        <v>28411</v>
      </c>
      <c r="R337" s="312" t="s">
        <v>88</v>
      </c>
      <c r="S337" s="313">
        <v>44238.0</v>
      </c>
      <c r="T337" s="65"/>
      <c r="U337" s="156" t="s">
        <v>2756</v>
      </c>
      <c r="V337" s="24" t="s">
        <v>329</v>
      </c>
      <c r="W337" s="13" t="s">
        <v>3283</v>
      </c>
      <c r="X337" s="151" t="s">
        <v>149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95</v>
      </c>
      <c r="AC337" s="94"/>
      <c r="AD337" s="94" t="s">
        <v>2599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2376</v>
      </c>
      <c r="B338" s="63" t="s">
        <v>3284</v>
      </c>
      <c r="C338" s="321" t="s">
        <v>3285</v>
      </c>
      <c r="D338" s="312" t="s">
        <v>18</v>
      </c>
      <c r="E338" s="312" t="s">
        <v>145</v>
      </c>
      <c r="F338" s="94" t="s">
        <v>146</v>
      </c>
      <c r="G338" s="47" t="str">
        <f t="shared" si="1"/>
        <v>Augusto</v>
      </c>
      <c r="H338" s="152" t="s">
        <v>88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162</v>
      </c>
      <c r="N338" s="314">
        <v>0.025</v>
      </c>
      <c r="O338" s="312" t="s">
        <v>163</v>
      </c>
      <c r="P338" s="315">
        <v>0.2</v>
      </c>
      <c r="Q338" s="312"/>
      <c r="R338" s="312"/>
      <c r="S338" s="74"/>
      <c r="T338" s="156"/>
      <c r="U338" s="156"/>
      <c r="V338" s="24" t="s">
        <v>89</v>
      </c>
      <c r="W338" s="5" t="s">
        <v>3286</v>
      </c>
      <c r="X338" s="5" t="s">
        <v>149</v>
      </c>
      <c r="Y338" s="53" t="str">
        <f t="shared" si="3"/>
        <v>Ativo</v>
      </c>
      <c r="Z338" s="126"/>
      <c r="AA338" s="94" t="str">
        <f t="shared" si="7"/>
        <v/>
      </c>
      <c r="AB338" s="13" t="s">
        <v>95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2376</v>
      </c>
      <c r="B339" s="63" t="s">
        <v>3284</v>
      </c>
      <c r="C339" s="321" t="s">
        <v>3287</v>
      </c>
      <c r="D339" s="312" t="s">
        <v>18</v>
      </c>
      <c r="E339" s="312" t="s">
        <v>145</v>
      </c>
      <c r="F339" s="94" t="s">
        <v>146</v>
      </c>
      <c r="G339" s="47" t="str">
        <f t="shared" si="1"/>
        <v>Breno</v>
      </c>
      <c r="H339" s="152" t="s">
        <v>88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45</v>
      </c>
      <c r="N339" s="314">
        <v>0.012</v>
      </c>
      <c r="O339" s="312" t="s">
        <v>2381</v>
      </c>
      <c r="P339" s="315">
        <v>0.0</v>
      </c>
      <c r="Q339" s="312" t="str">
        <f>IFERROR(VLOOKUP(F339,'Cadastro de assessores'!A:B,2,FALSE),"Não Cadastrado")</f>
        <v>250</v>
      </c>
      <c r="R339" s="312" t="s">
        <v>88</v>
      </c>
      <c r="S339" s="74">
        <v>44644.0</v>
      </c>
      <c r="T339" s="156"/>
      <c r="U339" s="156"/>
      <c r="V339" s="24" t="s">
        <v>89</v>
      </c>
      <c r="W339" s="5" t="s">
        <v>3286</v>
      </c>
      <c r="X339" s="151" t="s">
        <v>149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95</v>
      </c>
      <c r="AC339" s="94"/>
      <c r="AD339" s="94" t="s">
        <v>2439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2376</v>
      </c>
      <c r="B340" s="57" t="s">
        <v>3284</v>
      </c>
      <c r="C340" s="21" t="s">
        <v>3288</v>
      </c>
      <c r="D340" s="317" t="s">
        <v>18</v>
      </c>
      <c r="E340" s="317" t="s">
        <v>145</v>
      </c>
      <c r="F340" s="94" t="s">
        <v>146</v>
      </c>
      <c r="G340" s="47" t="str">
        <f t="shared" si="1"/>
        <v>Augusto</v>
      </c>
      <c r="H340" s="323" t="s">
        <v>88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54</v>
      </c>
      <c r="N340" s="373">
        <v>0.005</v>
      </c>
      <c r="O340" s="317" t="s">
        <v>2381</v>
      </c>
      <c r="P340" s="374">
        <v>0.0</v>
      </c>
      <c r="Q340" s="312"/>
      <c r="R340" s="312"/>
      <c r="S340" s="74"/>
      <c r="T340" s="156"/>
      <c r="U340" s="327" t="s">
        <v>3289</v>
      </c>
      <c r="V340" s="25" t="s">
        <v>89</v>
      </c>
      <c r="W340" s="5" t="s">
        <v>3286</v>
      </c>
      <c r="X340" s="151" t="s">
        <v>149</v>
      </c>
      <c r="Y340" s="53" t="str">
        <f t="shared" si="3"/>
        <v>Inativo</v>
      </c>
      <c r="Z340" s="126"/>
      <c r="AA340" s="94"/>
      <c r="AB340" s="13" t="s">
        <v>95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2376</v>
      </c>
      <c r="B341" s="225" t="s">
        <v>3290</v>
      </c>
      <c r="C341" s="322" t="s">
        <v>3291</v>
      </c>
      <c r="D341" s="312" t="s">
        <v>2379</v>
      </c>
      <c r="E341" s="312" t="s">
        <v>29</v>
      </c>
      <c r="F341" s="94" t="s">
        <v>2392</v>
      </c>
      <c r="G341" s="47" t="str">
        <f t="shared" si="1"/>
        <v>Augusto</v>
      </c>
      <c r="H341" s="323" t="s">
        <v>157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111</v>
      </c>
      <c r="N341" s="325">
        <v>0.01</v>
      </c>
      <c r="O341" s="312" t="s">
        <v>46</v>
      </c>
      <c r="P341" s="315">
        <v>0.1</v>
      </c>
      <c r="Q341" s="94" t="str">
        <f>IFERROR(VLOOKUP(F341,'Cadastro de assessores'!A:B,2,FALSE),"Não Cadastrado")</f>
        <v>2971</v>
      </c>
      <c r="R341" s="94" t="s">
        <v>2393</v>
      </c>
      <c r="S341" s="324">
        <v>43607.0</v>
      </c>
      <c r="T341" s="156"/>
      <c r="U341" s="75"/>
      <c r="V341" s="24" t="s">
        <v>89</v>
      </c>
      <c r="W341" s="13" t="s">
        <v>3292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2771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2396</v>
      </c>
      <c r="BJ341" s="158">
        <v>0.0</v>
      </c>
      <c r="BK341" s="158" t="s">
        <v>2396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2376</v>
      </c>
      <c r="B342" s="63" t="s">
        <v>1995</v>
      </c>
      <c r="C342" s="321" t="s">
        <v>3293</v>
      </c>
      <c r="D342" s="312" t="s">
        <v>18</v>
      </c>
      <c r="E342" s="312" t="s">
        <v>145</v>
      </c>
      <c r="F342" s="312" t="s">
        <v>146</v>
      </c>
      <c r="G342" s="47" t="str">
        <f t="shared" si="1"/>
        <v>Augusto</v>
      </c>
      <c r="H342" s="152" t="s">
        <v>116</v>
      </c>
      <c r="I342" s="53" t="s">
        <v>161</v>
      </c>
      <c r="J342" s="312" t="str">
        <f t="shared" si="2"/>
        <v>Não</v>
      </c>
      <c r="K342" s="313">
        <v>44595.0</v>
      </c>
      <c r="L342" s="24"/>
      <c r="M342" s="94" t="s">
        <v>111</v>
      </c>
      <c r="N342" s="314">
        <v>0.015</v>
      </c>
      <c r="O342" s="312" t="s">
        <v>46</v>
      </c>
      <c r="P342" s="315">
        <v>0.1</v>
      </c>
      <c r="Q342" s="312" t="str">
        <f>IFERROR(VLOOKUP(F342,'Cadastro de assessores'!A:B,2,FALSE),"Não Cadastrado")</f>
        <v>250</v>
      </c>
      <c r="R342" s="312" t="s">
        <v>88</v>
      </c>
      <c r="S342" s="313">
        <v>44595.0</v>
      </c>
      <c r="T342" s="75"/>
      <c r="U342" s="156" t="s">
        <v>3294</v>
      </c>
      <c r="V342" s="24" t="s">
        <v>89</v>
      </c>
      <c r="W342" s="5" t="s">
        <v>1997</v>
      </c>
      <c r="X342" s="151" t="s">
        <v>149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95</v>
      </c>
      <c r="AC342" s="94"/>
      <c r="AD342" s="94" t="s">
        <v>2439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2376</v>
      </c>
      <c r="B343" s="63" t="s">
        <v>1995</v>
      </c>
      <c r="C343" s="321" t="s">
        <v>3295</v>
      </c>
      <c r="D343" s="312" t="s">
        <v>18</v>
      </c>
      <c r="E343" s="312" t="s">
        <v>145</v>
      </c>
      <c r="F343" s="312" t="s">
        <v>146</v>
      </c>
      <c r="G343" s="47" t="str">
        <f t="shared" si="1"/>
        <v>Augusto</v>
      </c>
      <c r="H343" s="152" t="s">
        <v>116</v>
      </c>
      <c r="I343" s="53" t="s">
        <v>161</v>
      </c>
      <c r="J343" s="312" t="str">
        <f t="shared" si="2"/>
        <v>Não</v>
      </c>
      <c r="K343" s="312"/>
      <c r="L343" s="24"/>
      <c r="M343" s="24" t="s">
        <v>2743</v>
      </c>
      <c r="N343" s="314">
        <v>0.01</v>
      </c>
      <c r="O343" s="312" t="s">
        <v>2381</v>
      </c>
      <c r="P343" s="315">
        <v>0.0</v>
      </c>
      <c r="Q343" s="312" t="str">
        <f>IFERROR(VLOOKUP(F343,'Cadastro de assessores'!A:B,2,FALSE),"Não Cadastrado")</f>
        <v>250</v>
      </c>
      <c r="R343" s="312" t="s">
        <v>2430</v>
      </c>
      <c r="S343" s="94" t="s">
        <v>2430</v>
      </c>
      <c r="T343" s="156"/>
      <c r="U343" s="156"/>
      <c r="V343" s="24" t="s">
        <v>89</v>
      </c>
      <c r="W343" s="5" t="s">
        <v>1997</v>
      </c>
      <c r="X343" s="151" t="s">
        <v>149</v>
      </c>
      <c r="Y343" s="53" t="str">
        <f t="shared" si="3"/>
        <v>Inativo</v>
      </c>
      <c r="Z343" s="126"/>
      <c r="AA343" s="94" t="str">
        <f t="shared" si="8"/>
        <v/>
      </c>
      <c r="AB343" s="13" t="s">
        <v>91</v>
      </c>
      <c r="AC343" s="94"/>
      <c r="AD343" s="94" t="s">
        <v>2439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2396</v>
      </c>
      <c r="BJ343" s="319">
        <v>0.0</v>
      </c>
      <c r="BK343" s="319" t="s">
        <v>2396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2376</v>
      </c>
      <c r="B344" s="221" t="s">
        <v>3296</v>
      </c>
      <c r="C344" s="322" t="s">
        <v>3297</v>
      </c>
      <c r="D344" s="312" t="s">
        <v>2489</v>
      </c>
      <c r="E344" s="312" t="s">
        <v>29</v>
      </c>
      <c r="F344" s="94" t="s">
        <v>2489</v>
      </c>
      <c r="G344" s="47" t="str">
        <f t="shared" si="1"/>
        <v>Augusto</v>
      </c>
      <c r="H344" s="323" t="s">
        <v>157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162</v>
      </c>
      <c r="N344" s="325">
        <v>0.025</v>
      </c>
      <c r="O344" s="312" t="s">
        <v>163</v>
      </c>
      <c r="P344" s="315">
        <v>0.2</v>
      </c>
      <c r="Q344" s="94" t="str">
        <f>IFERROR(VLOOKUP(F344,'Cadastro de assessores'!A:B,2,FALSE),"Não Cadastrado")</f>
        <v>22400</v>
      </c>
      <c r="R344" s="94" t="s">
        <v>2393</v>
      </c>
      <c r="S344" s="324">
        <v>43990.0</v>
      </c>
      <c r="T344" s="156"/>
      <c r="U344" s="156"/>
      <c r="V344" s="24" t="s">
        <v>89</v>
      </c>
      <c r="W344" s="13" t="s">
        <v>3298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3299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2396</v>
      </c>
      <c r="BJ344" s="158">
        <v>0.0</v>
      </c>
      <c r="BK344" s="158" t="s">
        <v>2396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2376</v>
      </c>
      <c r="B345" s="45" t="s">
        <v>3300</v>
      </c>
      <c r="C345" s="357" t="s">
        <v>3301</v>
      </c>
      <c r="D345" s="312" t="s">
        <v>18</v>
      </c>
      <c r="E345" s="312" t="s">
        <v>145</v>
      </c>
      <c r="F345" s="94" t="s">
        <v>2464</v>
      </c>
      <c r="G345" s="47" t="str">
        <f t="shared" si="1"/>
        <v>Augusto</v>
      </c>
      <c r="H345" s="323" t="s">
        <v>157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45</v>
      </c>
      <c r="N345" s="325">
        <v>0.012</v>
      </c>
      <c r="O345" s="312" t="s">
        <v>2381</v>
      </c>
      <c r="P345" s="315">
        <v>0.0</v>
      </c>
      <c r="Q345" s="94" t="str">
        <f>IFERROR(VLOOKUP(F345,'Cadastro de assessores'!A:B,2,FALSE),"Não Cadastrado")</f>
        <v>22066</v>
      </c>
      <c r="R345" s="94" t="s">
        <v>2393</v>
      </c>
      <c r="S345" s="324">
        <v>44322.0</v>
      </c>
      <c r="T345" s="96"/>
      <c r="U345" s="52" t="s">
        <v>3302</v>
      </c>
      <c r="V345" s="24" t="s">
        <v>89</v>
      </c>
      <c r="W345" s="5" t="s">
        <v>3303</v>
      </c>
      <c r="X345" s="151" t="s">
        <v>149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95</v>
      </c>
      <c r="AC345" s="94"/>
      <c r="AD345" s="94" t="s">
        <v>2868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2396</v>
      </c>
      <c r="BJ345" s="158">
        <v>0.0</v>
      </c>
      <c r="BK345" s="158" t="s">
        <v>2396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2376</v>
      </c>
      <c r="B346" s="221" t="s">
        <v>2014</v>
      </c>
      <c r="C346" s="204" t="s">
        <v>3304</v>
      </c>
      <c r="D346" s="312" t="s">
        <v>18</v>
      </c>
      <c r="E346" s="312" t="s">
        <v>145</v>
      </c>
      <c r="F346" s="312" t="s">
        <v>146</v>
      </c>
      <c r="G346" s="47" t="str">
        <f t="shared" si="1"/>
        <v>Augusto</v>
      </c>
      <c r="H346" s="323" t="s">
        <v>116</v>
      </c>
      <c r="I346" s="53" t="s">
        <v>161</v>
      </c>
      <c r="J346" s="312" t="str">
        <f t="shared" si="2"/>
        <v>Não</v>
      </c>
      <c r="K346" s="313">
        <v>44280.0</v>
      </c>
      <c r="L346" s="24"/>
      <c r="M346" s="94" t="s">
        <v>243</v>
      </c>
      <c r="N346" s="325">
        <v>0.02</v>
      </c>
      <c r="O346" s="312" t="s">
        <v>46</v>
      </c>
      <c r="P346" s="315">
        <v>0.2</v>
      </c>
      <c r="Q346" s="312" t="str">
        <f>IFERROR(VLOOKUP(F346,'Cadastro de assessores'!A:B,2,FALSE),"Não Cadastrado")</f>
        <v>250</v>
      </c>
      <c r="R346" s="312" t="s">
        <v>88</v>
      </c>
      <c r="S346" s="313">
        <v>44280.0</v>
      </c>
      <c r="T346" s="65"/>
      <c r="U346" s="327" t="s">
        <v>3305</v>
      </c>
      <c r="V346" s="24" t="s">
        <v>89</v>
      </c>
      <c r="W346" s="13" t="s">
        <v>2016</v>
      </c>
      <c r="X346" s="13" t="s">
        <v>180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95</v>
      </c>
      <c r="AC346" s="94"/>
      <c r="AD346" s="94" t="s">
        <v>2426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2376</v>
      </c>
      <c r="B347" s="63" t="s">
        <v>2017</v>
      </c>
      <c r="C347" s="321" t="s">
        <v>3306</v>
      </c>
      <c r="D347" s="312" t="s">
        <v>18</v>
      </c>
      <c r="E347" s="312" t="s">
        <v>145</v>
      </c>
      <c r="F347" s="312" t="s">
        <v>171</v>
      </c>
      <c r="G347" s="47" t="str">
        <f t="shared" si="1"/>
        <v>Augusto</v>
      </c>
      <c r="H347" s="323" t="s">
        <v>116</v>
      </c>
      <c r="I347" s="53" t="s">
        <v>161</v>
      </c>
      <c r="J347" s="312" t="str">
        <f t="shared" si="2"/>
        <v>Não</v>
      </c>
      <c r="K347" s="313">
        <v>44615.0</v>
      </c>
      <c r="L347" s="24"/>
      <c r="M347" s="94" t="s">
        <v>45</v>
      </c>
      <c r="N347" s="325">
        <v>0.012</v>
      </c>
      <c r="O347" s="312" t="s">
        <v>2381</v>
      </c>
      <c r="P347" s="315">
        <v>0.0</v>
      </c>
      <c r="Q347" s="312" t="str">
        <f>IFERROR(VLOOKUP(F347,'Cadastro de assessores'!A:B,2,FALSE),"Não Cadastrado")</f>
        <v>28411</v>
      </c>
      <c r="R347" s="312" t="s">
        <v>88</v>
      </c>
      <c r="S347" s="313">
        <v>44615.0</v>
      </c>
      <c r="T347" s="52"/>
      <c r="U347" s="52"/>
      <c r="V347" s="24" t="s">
        <v>89</v>
      </c>
      <c r="W347" s="5" t="s">
        <v>2020</v>
      </c>
      <c r="X347" s="24" t="s">
        <v>180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95</v>
      </c>
      <c r="AC347" s="94"/>
      <c r="AD347" s="24" t="s">
        <v>3307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2376</v>
      </c>
      <c r="B348" s="63" t="s">
        <v>3308</v>
      </c>
      <c r="C348" s="92">
        <v>4341602.0</v>
      </c>
      <c r="D348" s="312" t="s">
        <v>18</v>
      </c>
      <c r="E348" s="312" t="s">
        <v>145</v>
      </c>
      <c r="F348" s="92" t="s">
        <v>171</v>
      </c>
      <c r="G348" s="47" t="str">
        <f t="shared" si="1"/>
        <v>Augusto</v>
      </c>
      <c r="H348" s="152" t="s">
        <v>116</v>
      </c>
      <c r="I348" s="53" t="s">
        <v>161</v>
      </c>
      <c r="J348" s="312" t="str">
        <f t="shared" si="2"/>
        <v>Não</v>
      </c>
      <c r="K348" s="74">
        <v>44462.0</v>
      </c>
      <c r="L348" s="24"/>
      <c r="M348" s="94" t="s">
        <v>243</v>
      </c>
      <c r="N348" s="325">
        <v>0.02</v>
      </c>
      <c r="O348" s="312" t="s">
        <v>46</v>
      </c>
      <c r="P348" s="315">
        <v>0.2</v>
      </c>
      <c r="Q348" s="312" t="str">
        <f>IFERROR(VLOOKUP(F348,'Cadastro de assessores'!A:B,2,FALSE),"Não Cadastrado")</f>
        <v>28411</v>
      </c>
      <c r="R348" s="312" t="s">
        <v>88</v>
      </c>
      <c r="S348" s="74">
        <v>44455.0</v>
      </c>
      <c r="T348" s="52"/>
      <c r="U348" s="52"/>
      <c r="V348" s="24" t="s">
        <v>89</v>
      </c>
      <c r="W348" s="5" t="s">
        <v>2020</v>
      </c>
      <c r="X348" s="24" t="s">
        <v>180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95</v>
      </c>
      <c r="AC348" s="94"/>
      <c r="AD348" s="24" t="s">
        <v>3309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2376</v>
      </c>
      <c r="B349" s="310" t="s">
        <v>3310</v>
      </c>
      <c r="C349" s="311" t="s">
        <v>3311</v>
      </c>
      <c r="D349" s="312" t="s">
        <v>2489</v>
      </c>
      <c r="E349" s="312" t="s">
        <v>29</v>
      </c>
      <c r="F349" s="312" t="s">
        <v>2489</v>
      </c>
      <c r="G349" s="47" t="str">
        <f t="shared" si="1"/>
        <v>Augusto</v>
      </c>
      <c r="H349" s="152" t="s">
        <v>88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162</v>
      </c>
      <c r="N349" s="314">
        <v>0.01</v>
      </c>
      <c r="O349" s="312" t="s">
        <v>2381</v>
      </c>
      <c r="P349" s="315">
        <v>0.0</v>
      </c>
      <c r="Q349" s="312" t="str">
        <f>IFERROR(VLOOKUP(F349,'Cadastro de assessores'!A:B,2,FALSE),"Não Cadastrado")</f>
        <v>22400</v>
      </c>
      <c r="R349" s="312" t="s">
        <v>88</v>
      </c>
      <c r="S349" s="313">
        <v>43537.0</v>
      </c>
      <c r="T349" s="156"/>
      <c r="U349" s="156"/>
      <c r="V349" s="24" t="s">
        <v>89</v>
      </c>
      <c r="W349" s="317" t="s">
        <v>3312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95</v>
      </c>
      <c r="AC349" s="94"/>
      <c r="AD349" s="94" t="s">
        <v>3313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2376</v>
      </c>
      <c r="B350" s="225" t="s">
        <v>3314</v>
      </c>
      <c r="C350" s="322" t="s">
        <v>3315</v>
      </c>
      <c r="D350" s="312" t="s">
        <v>2379</v>
      </c>
      <c r="E350" s="312" t="s">
        <v>29</v>
      </c>
      <c r="F350" s="94" t="s">
        <v>2392</v>
      </c>
      <c r="G350" s="47" t="str">
        <f t="shared" si="1"/>
        <v>Augusto</v>
      </c>
      <c r="H350" s="323" t="s">
        <v>157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111</v>
      </c>
      <c r="N350" s="325">
        <v>0.015</v>
      </c>
      <c r="O350" s="312" t="s">
        <v>46</v>
      </c>
      <c r="P350" s="315">
        <v>0.1</v>
      </c>
      <c r="Q350" s="94" t="str">
        <f>IFERROR(VLOOKUP(F350,'Cadastro de assessores'!A:B,2,FALSE),"Não Cadastrado")</f>
        <v>2971</v>
      </c>
      <c r="R350" s="94" t="s">
        <v>2393</v>
      </c>
      <c r="S350" s="324">
        <v>43539.0</v>
      </c>
      <c r="T350" s="156"/>
      <c r="U350" s="156"/>
      <c r="V350" s="24" t="s">
        <v>89</v>
      </c>
      <c r="W350" s="13" t="s">
        <v>3316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2505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2396</v>
      </c>
      <c r="BJ350" s="158">
        <v>0.0</v>
      </c>
      <c r="BK350" s="158" t="s">
        <v>2396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2376</v>
      </c>
      <c r="B351" s="225" t="s">
        <v>3314</v>
      </c>
      <c r="C351" s="322" t="s">
        <v>3317</v>
      </c>
      <c r="D351" s="312" t="s">
        <v>2379</v>
      </c>
      <c r="E351" s="312" t="s">
        <v>29</v>
      </c>
      <c r="F351" s="94" t="s">
        <v>2392</v>
      </c>
      <c r="G351" s="47" t="str">
        <f t="shared" si="1"/>
        <v>Augusto</v>
      </c>
      <c r="H351" s="323" t="s">
        <v>157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166</v>
      </c>
      <c r="N351" s="325">
        <v>0.008</v>
      </c>
      <c r="O351" s="312" t="s">
        <v>2381</v>
      </c>
      <c r="P351" s="315">
        <v>0.0</v>
      </c>
      <c r="Q351" s="94" t="str">
        <f>IFERROR(VLOOKUP(F351,'Cadastro de assessores'!A:B,2,FALSE),"Não Cadastrado")</f>
        <v>2971</v>
      </c>
      <c r="R351" s="94" t="s">
        <v>2393</v>
      </c>
      <c r="S351" s="324">
        <v>44397.0</v>
      </c>
      <c r="T351" s="156"/>
      <c r="U351" s="156"/>
      <c r="V351" s="24" t="s">
        <v>89</v>
      </c>
      <c r="W351" s="13" t="s">
        <v>3316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2505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2396</v>
      </c>
      <c r="BJ351" s="158">
        <v>0.0</v>
      </c>
      <c r="BK351" s="158" t="s">
        <v>2396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2376</v>
      </c>
      <c r="B352" s="221" t="s">
        <v>3318</v>
      </c>
      <c r="C352" s="204" t="s">
        <v>3319</v>
      </c>
      <c r="D352" s="312" t="s">
        <v>18</v>
      </c>
      <c r="E352" s="312" t="s">
        <v>145</v>
      </c>
      <c r="F352" s="312" t="s">
        <v>171</v>
      </c>
      <c r="G352" s="47" t="str">
        <f t="shared" si="1"/>
        <v>Augusto</v>
      </c>
      <c r="H352" s="323" t="s">
        <v>157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162</v>
      </c>
      <c r="N352" s="314">
        <v>0.025</v>
      </c>
      <c r="O352" s="312" t="s">
        <v>163</v>
      </c>
      <c r="P352" s="315">
        <v>0.2</v>
      </c>
      <c r="Q352" s="312" t="str">
        <f>IFERROR(VLOOKUP(F352,'Cadastro de assessores'!A:B,2,FALSE),"Não Cadastrado")</f>
        <v>28411</v>
      </c>
      <c r="R352" s="312" t="s">
        <v>88</v>
      </c>
      <c r="S352" s="313">
        <v>44280.0</v>
      </c>
      <c r="T352" s="156"/>
      <c r="U352" s="156"/>
      <c r="V352" s="24" t="s">
        <v>89</v>
      </c>
      <c r="W352" s="13" t="s">
        <v>3320</v>
      </c>
      <c r="X352" s="151" t="s">
        <v>149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95</v>
      </c>
      <c r="AC352" s="94"/>
      <c r="AD352" s="94" t="s">
        <v>2439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2376</v>
      </c>
      <c r="B353" s="221" t="s">
        <v>3321</v>
      </c>
      <c r="C353" s="322" t="s">
        <v>3322</v>
      </c>
      <c r="D353" s="312" t="s">
        <v>2379</v>
      </c>
      <c r="E353" s="312" t="s">
        <v>29</v>
      </c>
      <c r="F353" s="94" t="s">
        <v>2380</v>
      </c>
      <c r="G353" s="47" t="str">
        <f t="shared" si="1"/>
        <v>Augusto</v>
      </c>
      <c r="H353" s="323" t="s">
        <v>157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111</v>
      </c>
      <c r="N353" s="325">
        <v>0.015</v>
      </c>
      <c r="O353" s="312" t="s">
        <v>46</v>
      </c>
      <c r="P353" s="315">
        <v>0.1</v>
      </c>
      <c r="Q353" s="94" t="str">
        <f>IFERROR(VLOOKUP(F353,'Cadastro de assessores'!A:B,2,FALSE),"Não Cadastrado")</f>
        <v>17573</v>
      </c>
      <c r="R353" s="94" t="s">
        <v>2393</v>
      </c>
      <c r="S353" s="324">
        <v>44041.0</v>
      </c>
      <c r="T353" s="156"/>
      <c r="U353" s="156"/>
      <c r="V353" s="24" t="s">
        <v>89</v>
      </c>
      <c r="W353" s="13" t="s">
        <v>3323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2771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2396</v>
      </c>
      <c r="BJ353" s="158">
        <v>0.0</v>
      </c>
      <c r="BK353" s="158" t="s">
        <v>2396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2376</v>
      </c>
      <c r="B354" s="63" t="s">
        <v>3324</v>
      </c>
      <c r="C354" s="357" t="s">
        <v>3325</v>
      </c>
      <c r="D354" s="312" t="s">
        <v>18</v>
      </c>
      <c r="E354" s="312" t="s">
        <v>145</v>
      </c>
      <c r="F354" s="151" t="s">
        <v>146</v>
      </c>
      <c r="G354" s="47" t="str">
        <f t="shared" si="1"/>
        <v>Augusto</v>
      </c>
      <c r="H354" s="323" t="s">
        <v>157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111</v>
      </c>
      <c r="N354" s="325">
        <v>0.015</v>
      </c>
      <c r="O354" s="312" t="s">
        <v>46</v>
      </c>
      <c r="P354" s="315">
        <v>0.1</v>
      </c>
      <c r="Q354" s="151" t="str">
        <f>IFERROR(VLOOKUP(F354,'Cadastro de assessores'!A:B,2,FALSE),"Não Cadastrado")</f>
        <v>250</v>
      </c>
      <c r="R354" s="94" t="s">
        <v>2393</v>
      </c>
      <c r="S354" s="74">
        <v>44411.0</v>
      </c>
      <c r="T354" s="156"/>
      <c r="U354" s="156"/>
      <c r="V354" s="24" t="s">
        <v>89</v>
      </c>
      <c r="W354" s="5" t="s">
        <v>3326</v>
      </c>
      <c r="X354" s="151" t="s">
        <v>149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95</v>
      </c>
      <c r="AC354" s="94"/>
      <c r="AD354" s="94" t="s">
        <v>2439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2396</v>
      </c>
      <c r="BJ354" s="158">
        <v>0.0</v>
      </c>
      <c r="BK354" s="158" t="s">
        <v>2396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2376</v>
      </c>
      <c r="B355" s="225" t="s">
        <v>3327</v>
      </c>
      <c r="C355" s="322" t="s">
        <v>3328</v>
      </c>
      <c r="D355" s="312" t="s">
        <v>2489</v>
      </c>
      <c r="E355" s="312" t="s">
        <v>29</v>
      </c>
      <c r="F355" s="94" t="s">
        <v>2489</v>
      </c>
      <c r="G355" s="47" t="str">
        <f t="shared" si="1"/>
        <v>Augusto</v>
      </c>
      <c r="H355" s="323" t="s">
        <v>157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162</v>
      </c>
      <c r="N355" s="325">
        <v>0.01</v>
      </c>
      <c r="O355" s="312" t="s">
        <v>163</v>
      </c>
      <c r="P355" s="315">
        <v>0.2</v>
      </c>
      <c r="Q355" s="94" t="str">
        <f>IFERROR(VLOOKUP(F355,'Cadastro de assessores'!A:B,2,FALSE),"Não Cadastrado")</f>
        <v>22400</v>
      </c>
      <c r="R355" s="94" t="s">
        <v>2393</v>
      </c>
      <c r="S355" s="324">
        <v>43441.0</v>
      </c>
      <c r="T355" s="156"/>
      <c r="U355" s="156"/>
      <c r="V355" s="24" t="s">
        <v>89</v>
      </c>
      <c r="W355" s="13" t="s">
        <v>3329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2486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2396</v>
      </c>
      <c r="BJ355" s="158">
        <v>0.0</v>
      </c>
      <c r="BK355" s="158" t="s">
        <v>2396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2376</v>
      </c>
      <c r="B356" s="63" t="s">
        <v>2074</v>
      </c>
      <c r="C356" s="321" t="s">
        <v>3330</v>
      </c>
      <c r="D356" s="312" t="s">
        <v>18</v>
      </c>
      <c r="E356" s="312" t="s">
        <v>145</v>
      </c>
      <c r="F356" s="312" t="s">
        <v>171</v>
      </c>
      <c r="G356" s="47" t="str">
        <f t="shared" si="1"/>
        <v>Augusto</v>
      </c>
      <c r="H356" s="323" t="s">
        <v>116</v>
      </c>
      <c r="I356" s="53" t="s">
        <v>161</v>
      </c>
      <c r="J356" s="312" t="str">
        <f t="shared" si="2"/>
        <v>Não</v>
      </c>
      <c r="K356" s="74">
        <v>44638.0</v>
      </c>
      <c r="L356" s="94"/>
      <c r="M356" s="94" t="s">
        <v>45</v>
      </c>
      <c r="N356" s="314">
        <v>0.012</v>
      </c>
      <c r="O356" s="312" t="s">
        <v>2381</v>
      </c>
      <c r="P356" s="315">
        <v>0.0</v>
      </c>
      <c r="Q356" s="92" t="str">
        <f>IFERROR(VLOOKUP(F356,'Cadastro de assessores'!A:B,2,FALSE),"Não Cadastrado")</f>
        <v>28411</v>
      </c>
      <c r="R356" s="312" t="s">
        <v>88</v>
      </c>
      <c r="S356" s="74">
        <v>44638.0</v>
      </c>
      <c r="T356" s="156"/>
      <c r="U356" s="156"/>
      <c r="V356" s="24" t="s">
        <v>89</v>
      </c>
      <c r="W356" s="5" t="s">
        <v>2076</v>
      </c>
      <c r="X356" s="151" t="s">
        <v>149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95</v>
      </c>
      <c r="AC356" s="94"/>
      <c r="AD356" s="94" t="s">
        <v>2439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2376</v>
      </c>
      <c r="B357" s="45" t="s">
        <v>2080</v>
      </c>
      <c r="C357" s="321" t="s">
        <v>3331</v>
      </c>
      <c r="D357" s="312" t="s">
        <v>18</v>
      </c>
      <c r="E357" s="312" t="s">
        <v>145</v>
      </c>
      <c r="F357" s="94" t="s">
        <v>146</v>
      </c>
      <c r="G357" s="47" t="str">
        <f t="shared" si="1"/>
        <v>Augusto</v>
      </c>
      <c r="H357" s="323" t="s">
        <v>116</v>
      </c>
      <c r="I357" s="53" t="s">
        <v>161</v>
      </c>
      <c r="J357" s="312" t="str">
        <f t="shared" si="2"/>
        <v>Não</v>
      </c>
      <c r="K357" s="74">
        <v>44365.0</v>
      </c>
      <c r="L357" s="94"/>
      <c r="M357" s="94" t="s">
        <v>45</v>
      </c>
      <c r="N357" s="314">
        <v>0.012</v>
      </c>
      <c r="O357" s="312" t="s">
        <v>2381</v>
      </c>
      <c r="P357" s="315">
        <v>0.0</v>
      </c>
      <c r="Q357" s="92" t="str">
        <f>IFERROR(VLOOKUP(F357,'Cadastro de assessores'!A:B,2,FALSE),"Não Cadastrado")</f>
        <v>250</v>
      </c>
      <c r="R357" s="312" t="s">
        <v>88</v>
      </c>
      <c r="S357" s="74">
        <v>44363.0</v>
      </c>
      <c r="T357" s="52"/>
      <c r="U357" s="52"/>
      <c r="V357" s="24" t="s">
        <v>89</v>
      </c>
      <c r="W357" s="5" t="s">
        <v>2083</v>
      </c>
      <c r="X357" s="151" t="s">
        <v>149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95</v>
      </c>
      <c r="AC357" s="94"/>
      <c r="AD357" s="94" t="s">
        <v>2439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2376</v>
      </c>
      <c r="B358" s="335" t="s">
        <v>3332</v>
      </c>
      <c r="C358" s="322" t="s">
        <v>3333</v>
      </c>
      <c r="D358" s="312" t="s">
        <v>18</v>
      </c>
      <c r="E358" s="312" t="s">
        <v>145</v>
      </c>
      <c r="F358" s="312" t="s">
        <v>146</v>
      </c>
      <c r="G358" s="47" t="str">
        <f t="shared" si="1"/>
        <v>Augusto</v>
      </c>
      <c r="H358" s="152" t="s">
        <v>116</v>
      </c>
      <c r="I358" s="53" t="s">
        <v>161</v>
      </c>
      <c r="J358" s="312" t="str">
        <f t="shared" si="2"/>
        <v>Não</v>
      </c>
      <c r="K358" s="324">
        <v>44263.0</v>
      </c>
      <c r="L358" s="94"/>
      <c r="M358" s="94" t="s">
        <v>45</v>
      </c>
      <c r="N358" s="314">
        <v>0.012</v>
      </c>
      <c r="O358" s="312" t="s">
        <v>2381</v>
      </c>
      <c r="P358" s="315">
        <v>0.0</v>
      </c>
      <c r="Q358" s="312" t="str">
        <f>IFERROR(VLOOKUP(F358,'Cadastro de assessores'!A:B,2,FALSE),"Não Cadastrado")</f>
        <v>250</v>
      </c>
      <c r="R358" s="312" t="s">
        <v>88</v>
      </c>
      <c r="S358" s="324">
        <v>44263.0</v>
      </c>
      <c r="T358" s="75"/>
      <c r="U358" s="156" t="s">
        <v>3334</v>
      </c>
      <c r="V358" s="24" t="s">
        <v>89</v>
      </c>
      <c r="W358" s="317" t="s">
        <v>3335</v>
      </c>
      <c r="X358" s="151" t="s">
        <v>149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95</v>
      </c>
      <c r="AC358" s="94"/>
      <c r="AD358" s="94" t="s">
        <v>2439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2376</v>
      </c>
      <c r="B359" s="335" t="s">
        <v>3332</v>
      </c>
      <c r="C359" s="24">
        <v>858723.0</v>
      </c>
      <c r="D359" s="312" t="s">
        <v>18</v>
      </c>
      <c r="E359" s="312" t="s">
        <v>145</v>
      </c>
      <c r="F359" s="92" t="s">
        <v>146</v>
      </c>
      <c r="G359" s="47" t="str">
        <f t="shared" si="1"/>
        <v>Augusto</v>
      </c>
      <c r="H359" s="152" t="s">
        <v>116</v>
      </c>
      <c r="I359" s="53" t="s">
        <v>161</v>
      </c>
      <c r="J359" s="312" t="str">
        <f t="shared" si="2"/>
        <v>Sim</v>
      </c>
      <c r="K359" s="324">
        <v>44585.0</v>
      </c>
      <c r="L359" s="24"/>
      <c r="M359" s="94" t="s">
        <v>60</v>
      </c>
      <c r="N359" s="314">
        <v>0.007</v>
      </c>
      <c r="O359" s="312" t="s">
        <v>2381</v>
      </c>
      <c r="P359" s="315">
        <v>0.0</v>
      </c>
      <c r="Q359" s="312" t="str">
        <f>IFERROR(VLOOKUP(F359,'Cadastro de assessores'!A:B,2,FALSE),"Não Cadastrado")</f>
        <v>250</v>
      </c>
      <c r="R359" s="312" t="s">
        <v>88</v>
      </c>
      <c r="S359" s="324">
        <v>44585.0</v>
      </c>
      <c r="T359" s="52" t="s">
        <v>3336</v>
      </c>
      <c r="U359" s="52"/>
      <c r="V359" s="24" t="s">
        <v>89</v>
      </c>
      <c r="W359" s="317" t="s">
        <v>3335</v>
      </c>
      <c r="X359" s="151" t="s">
        <v>149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95</v>
      </c>
      <c r="AC359" s="94"/>
      <c r="AD359" s="94" t="s">
        <v>2439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2376</v>
      </c>
      <c r="B360" s="310" t="s">
        <v>3337</v>
      </c>
      <c r="C360" s="311" t="s">
        <v>3338</v>
      </c>
      <c r="D360" s="312" t="s">
        <v>2379</v>
      </c>
      <c r="E360" s="312" t="s">
        <v>29</v>
      </c>
      <c r="F360" s="312" t="s">
        <v>2380</v>
      </c>
      <c r="G360" s="47" t="str">
        <f t="shared" si="1"/>
        <v>Augusto</v>
      </c>
      <c r="H360" s="152" t="s">
        <v>116</v>
      </c>
      <c r="I360" s="53" t="s">
        <v>161</v>
      </c>
      <c r="J360" s="312" t="str">
        <f t="shared" si="2"/>
        <v>Não</v>
      </c>
      <c r="K360" s="313">
        <v>43804.0</v>
      </c>
      <c r="L360" s="24"/>
      <c r="M360" s="94" t="s">
        <v>111</v>
      </c>
      <c r="N360" s="314">
        <v>0.015</v>
      </c>
      <c r="O360" s="312" t="s">
        <v>46</v>
      </c>
      <c r="P360" s="315">
        <v>0.1</v>
      </c>
      <c r="Q360" s="312" t="str">
        <f>IFERROR(VLOOKUP(F360,'Cadastro de assessores'!A:B,2,FALSE),"Não Cadastrado")</f>
        <v>17573</v>
      </c>
      <c r="R360" s="312" t="s">
        <v>88</v>
      </c>
      <c r="S360" s="313">
        <v>43794.0</v>
      </c>
      <c r="T360" s="75"/>
      <c r="U360" s="156" t="s">
        <v>3339</v>
      </c>
      <c r="V360" s="24" t="s">
        <v>89</v>
      </c>
      <c r="W360" s="317" t="s">
        <v>3340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95</v>
      </c>
      <c r="AC360" s="94"/>
      <c r="AD360" s="94" t="s">
        <v>2671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2376</v>
      </c>
      <c r="B361" s="221" t="s">
        <v>3341</v>
      </c>
      <c r="C361" s="322" t="s">
        <v>3342</v>
      </c>
      <c r="D361" s="312" t="s">
        <v>2379</v>
      </c>
      <c r="E361" s="312" t="s">
        <v>29</v>
      </c>
      <c r="F361" s="94" t="s">
        <v>2380</v>
      </c>
      <c r="G361" s="47" t="str">
        <f t="shared" si="1"/>
        <v>Augusto</v>
      </c>
      <c r="H361" s="323" t="s">
        <v>157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111</v>
      </c>
      <c r="N361" s="325">
        <v>0.01</v>
      </c>
      <c r="O361" s="312" t="s">
        <v>46</v>
      </c>
      <c r="P361" s="315">
        <v>0.1</v>
      </c>
      <c r="Q361" s="94" t="str">
        <f>IFERROR(VLOOKUP(F361,'Cadastro de assessores'!A:B,2,FALSE),"Não Cadastrado")</f>
        <v>17573</v>
      </c>
      <c r="R361" s="94" t="s">
        <v>2393</v>
      </c>
      <c r="S361" s="324">
        <v>43717.0</v>
      </c>
      <c r="T361" s="156"/>
      <c r="U361" s="156"/>
      <c r="V361" s="24" t="s">
        <v>89</v>
      </c>
      <c r="W361" s="13" t="s">
        <v>3343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95</v>
      </c>
      <c r="AC361" s="94"/>
      <c r="AD361" s="94" t="s">
        <v>2421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2396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2376</v>
      </c>
      <c r="B362" s="310" t="s">
        <v>3344</v>
      </c>
      <c r="C362" s="311" t="s">
        <v>3345</v>
      </c>
      <c r="D362" s="312" t="s">
        <v>2489</v>
      </c>
      <c r="E362" s="312" t="s">
        <v>29</v>
      </c>
      <c r="F362" s="312" t="s">
        <v>2489</v>
      </c>
      <c r="G362" s="47" t="str">
        <f t="shared" si="1"/>
        <v>Augusto</v>
      </c>
      <c r="H362" s="323" t="s">
        <v>157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162</v>
      </c>
      <c r="N362" s="314">
        <v>0.01</v>
      </c>
      <c r="O362" s="312" t="s">
        <v>163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3206</v>
      </c>
      <c r="S362" s="313">
        <v>43375.0</v>
      </c>
      <c r="T362" s="156"/>
      <c r="U362" s="156"/>
      <c r="V362" s="24" t="s">
        <v>89</v>
      </c>
      <c r="W362" s="317" t="s">
        <v>3346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95</v>
      </c>
      <c r="AC362" s="94"/>
      <c r="AD362" s="94" t="s">
        <v>2395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2396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2376</v>
      </c>
      <c r="B363" s="221" t="s">
        <v>3347</v>
      </c>
      <c r="C363" s="204" t="s">
        <v>3348</v>
      </c>
      <c r="D363" s="312" t="s">
        <v>18</v>
      </c>
      <c r="E363" s="312" t="s">
        <v>29</v>
      </c>
      <c r="F363" s="312" t="s">
        <v>2997</v>
      </c>
      <c r="G363" s="47" t="str">
        <f t="shared" si="1"/>
        <v>Breno</v>
      </c>
      <c r="H363" s="152" t="s">
        <v>88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60</v>
      </c>
      <c r="N363" s="314">
        <v>0.01</v>
      </c>
      <c r="O363" s="312" t="s">
        <v>2381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89</v>
      </c>
      <c r="W363" s="13" t="s">
        <v>2105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95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2376</v>
      </c>
      <c r="B364" s="221" t="s">
        <v>2128</v>
      </c>
      <c r="C364" s="204" t="s">
        <v>3349</v>
      </c>
      <c r="D364" s="312" t="s">
        <v>18</v>
      </c>
      <c r="E364" s="312" t="s">
        <v>145</v>
      </c>
      <c r="F364" s="312" t="s">
        <v>171</v>
      </c>
      <c r="G364" s="47" t="str">
        <f t="shared" si="1"/>
        <v>Augusto</v>
      </c>
      <c r="H364" s="152" t="s">
        <v>116</v>
      </c>
      <c r="I364" s="53" t="s">
        <v>161</v>
      </c>
      <c r="J364" s="312" t="str">
        <f t="shared" si="2"/>
        <v>Não</v>
      </c>
      <c r="K364" s="313">
        <v>44279.0</v>
      </c>
      <c r="L364" s="24"/>
      <c r="M364" s="94" t="s">
        <v>243</v>
      </c>
      <c r="N364" s="314">
        <v>0.02</v>
      </c>
      <c r="O364" s="312" t="s">
        <v>46</v>
      </c>
      <c r="P364" s="315">
        <v>0.2</v>
      </c>
      <c r="Q364" s="312" t="str">
        <f>IFERROR(VLOOKUP(F364,'Cadastro de assessores'!A:B,2,FALSE),"Não Cadastrado")</f>
        <v>28411</v>
      </c>
      <c r="R364" s="137" t="s">
        <v>88</v>
      </c>
      <c r="S364" s="313">
        <v>44230.0</v>
      </c>
      <c r="T364" s="65"/>
      <c r="U364" s="327" t="s">
        <v>3350</v>
      </c>
      <c r="V364" s="24" t="s">
        <v>89</v>
      </c>
      <c r="W364" s="13" t="s">
        <v>2130</v>
      </c>
      <c r="X364" s="151" t="s">
        <v>149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91</v>
      </c>
      <c r="AC364" s="94"/>
      <c r="AD364" s="94" t="s">
        <v>2439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2376</v>
      </c>
      <c r="B365" s="149" t="s">
        <v>3351</v>
      </c>
      <c r="C365" s="137">
        <v>436179.0</v>
      </c>
      <c r="D365" s="312" t="s">
        <v>18</v>
      </c>
      <c r="E365" s="312" t="s">
        <v>145</v>
      </c>
      <c r="F365" s="312" t="s">
        <v>146</v>
      </c>
      <c r="G365" s="47" t="str">
        <f t="shared" si="1"/>
        <v>Augusto</v>
      </c>
      <c r="H365" s="323" t="s">
        <v>157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111</v>
      </c>
      <c r="N365" s="314">
        <v>0.015</v>
      </c>
      <c r="O365" s="312" t="s">
        <v>46</v>
      </c>
      <c r="P365" s="315">
        <v>0.1</v>
      </c>
      <c r="Q365" s="137" t="str">
        <f>IFERROR(VLOOKUP(F365,'Cadastro de assessores'!A:B,2,FALSE),"Não Cadastrado")</f>
        <v>250</v>
      </c>
      <c r="R365" s="137" t="s">
        <v>88</v>
      </c>
      <c r="S365" s="313">
        <v>44599.0</v>
      </c>
      <c r="T365" s="52" t="s">
        <v>3352</v>
      </c>
      <c r="U365" s="52"/>
      <c r="V365" s="24" t="s">
        <v>329</v>
      </c>
      <c r="W365" s="11" t="s">
        <v>3353</v>
      </c>
      <c r="X365" s="24" t="s">
        <v>149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95</v>
      </c>
      <c r="AC365" s="94"/>
      <c r="AD365" s="24" t="s">
        <v>2439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2376</v>
      </c>
      <c r="B366" s="225" t="s">
        <v>3354</v>
      </c>
      <c r="C366" s="322" t="s">
        <v>3355</v>
      </c>
      <c r="D366" s="312" t="s">
        <v>2379</v>
      </c>
      <c r="E366" s="312" t="s">
        <v>29</v>
      </c>
      <c r="F366" s="94" t="s">
        <v>2392</v>
      </c>
      <c r="G366" s="47" t="str">
        <f t="shared" si="1"/>
        <v>Augusto</v>
      </c>
      <c r="H366" s="323" t="s">
        <v>157</v>
      </c>
      <c r="I366" s="48" t="s">
        <v>24</v>
      </c>
      <c r="J366" s="312" t="str">
        <f t="shared" si="2"/>
        <v>Não</v>
      </c>
      <c r="K366" s="94" t="s">
        <v>2429</v>
      </c>
      <c r="L366" s="329">
        <v>44484.0</v>
      </c>
      <c r="M366" s="94" t="s">
        <v>45</v>
      </c>
      <c r="N366" s="325">
        <v>0.005</v>
      </c>
      <c r="O366" s="312" t="s">
        <v>2381</v>
      </c>
      <c r="P366" s="315">
        <v>0.0</v>
      </c>
      <c r="Q366" s="94" t="str">
        <f>IFERROR(VLOOKUP(F366,'Cadastro de assessores'!A:B,2,FALSE),"Não Cadastrado")</f>
        <v>2971</v>
      </c>
      <c r="R366" s="94" t="s">
        <v>2393</v>
      </c>
      <c r="S366" s="94" t="s">
        <v>2429</v>
      </c>
      <c r="T366" s="156"/>
      <c r="U366" s="156"/>
      <c r="V366" s="24" t="s">
        <v>329</v>
      </c>
      <c r="W366" s="13" t="s">
        <v>3356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3357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2396</v>
      </c>
      <c r="BJ366" s="158">
        <v>0.0</v>
      </c>
      <c r="BK366" s="158" t="s">
        <v>2396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2376</v>
      </c>
      <c r="B367" s="225" t="s">
        <v>3354</v>
      </c>
      <c r="C367" s="322" t="s">
        <v>3358</v>
      </c>
      <c r="D367" s="312" t="s">
        <v>2379</v>
      </c>
      <c r="E367" s="312" t="s">
        <v>29</v>
      </c>
      <c r="F367" s="94" t="s">
        <v>2392</v>
      </c>
      <c r="G367" s="47" t="str">
        <f t="shared" si="1"/>
        <v>Augusto</v>
      </c>
      <c r="H367" s="323" t="s">
        <v>157</v>
      </c>
      <c r="I367" s="48" t="s">
        <v>24</v>
      </c>
      <c r="J367" s="312" t="str">
        <f t="shared" si="2"/>
        <v>Não</v>
      </c>
      <c r="K367" s="94" t="s">
        <v>2429</v>
      </c>
      <c r="L367" s="329">
        <v>44484.0</v>
      </c>
      <c r="M367" s="94" t="s">
        <v>162</v>
      </c>
      <c r="N367" s="325">
        <v>0.02</v>
      </c>
      <c r="O367" s="312" t="s">
        <v>163</v>
      </c>
      <c r="P367" s="315">
        <v>0.2</v>
      </c>
      <c r="Q367" s="94" t="str">
        <f>IFERROR(VLOOKUP(F367,'Cadastro de assessores'!A:B,2,FALSE),"Não Cadastrado")</f>
        <v>2971</v>
      </c>
      <c r="R367" s="94" t="s">
        <v>2393</v>
      </c>
      <c r="S367" s="94" t="s">
        <v>2429</v>
      </c>
      <c r="T367" s="156"/>
      <c r="U367" s="156"/>
      <c r="V367" s="24" t="s">
        <v>329</v>
      </c>
      <c r="W367" s="13" t="s">
        <v>3359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3357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2396</v>
      </c>
      <c r="BJ367" s="158">
        <v>0.0</v>
      </c>
      <c r="BK367" s="158" t="s">
        <v>2396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2376</v>
      </c>
      <c r="B368" s="221" t="s">
        <v>3360</v>
      </c>
      <c r="C368" s="322" t="s">
        <v>3361</v>
      </c>
      <c r="D368" s="312" t="s">
        <v>2379</v>
      </c>
      <c r="E368" s="312" t="s">
        <v>29</v>
      </c>
      <c r="F368" s="94" t="s">
        <v>2392</v>
      </c>
      <c r="G368" s="47" t="str">
        <f t="shared" si="1"/>
        <v>Augusto</v>
      </c>
      <c r="H368" s="323" t="s">
        <v>157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111</v>
      </c>
      <c r="N368" s="325">
        <v>0.01</v>
      </c>
      <c r="O368" s="312" t="s">
        <v>46</v>
      </c>
      <c r="P368" s="315">
        <v>0.1</v>
      </c>
      <c r="Q368" s="94" t="str">
        <f>IFERROR(VLOOKUP(F368,'Cadastro de assessores'!A:B,2,FALSE),"Não Cadastrado")</f>
        <v>2971</v>
      </c>
      <c r="R368" s="94" t="s">
        <v>2393</v>
      </c>
      <c r="S368" s="324">
        <v>43710.0</v>
      </c>
      <c r="T368" s="156"/>
      <c r="U368" s="156" t="s">
        <v>3362</v>
      </c>
      <c r="V368" s="24" t="s">
        <v>89</v>
      </c>
      <c r="W368" s="13" t="s">
        <v>2148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2444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2396</v>
      </c>
      <c r="BJ368" s="158">
        <v>0.0</v>
      </c>
      <c r="BK368" s="158" t="s">
        <v>2396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2376</v>
      </c>
      <c r="B369" s="45" t="s">
        <v>3363</v>
      </c>
      <c r="C369" s="321" t="s">
        <v>3364</v>
      </c>
      <c r="D369" s="312" t="s">
        <v>18</v>
      </c>
      <c r="E369" s="312" t="s">
        <v>145</v>
      </c>
      <c r="F369" s="92" t="s">
        <v>171</v>
      </c>
      <c r="G369" s="47" t="str">
        <f t="shared" si="1"/>
        <v>Augusto</v>
      </c>
      <c r="H369" s="323" t="s">
        <v>157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45</v>
      </c>
      <c r="N369" s="314">
        <v>0.01</v>
      </c>
      <c r="O369" s="312" t="s">
        <v>2381</v>
      </c>
      <c r="P369" s="315">
        <v>0.0</v>
      </c>
      <c r="Q369" s="92" t="str">
        <f>IFERROR(VLOOKUP(F369,'Cadastro de assessores'!A:B,2,FALSE),"Não Cadastrado")</f>
        <v>28411</v>
      </c>
      <c r="R369" s="312" t="s">
        <v>88</v>
      </c>
      <c r="S369" s="313">
        <v>44340.0</v>
      </c>
      <c r="T369" s="75"/>
      <c r="U369" s="52" t="s">
        <v>3365</v>
      </c>
      <c r="V369" s="24" t="s">
        <v>89</v>
      </c>
      <c r="W369" s="5" t="s">
        <v>3366</v>
      </c>
      <c r="X369" s="151" t="s">
        <v>149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95</v>
      </c>
      <c r="AC369" s="94"/>
      <c r="AD369" s="94" t="s">
        <v>2439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2376</v>
      </c>
      <c r="B370" s="221" t="s">
        <v>3367</v>
      </c>
      <c r="C370" s="204" t="s">
        <v>3368</v>
      </c>
      <c r="D370" s="312" t="s">
        <v>18</v>
      </c>
      <c r="E370" s="312" t="s">
        <v>145</v>
      </c>
      <c r="F370" s="317" t="s">
        <v>478</v>
      </c>
      <c r="G370" s="47" t="str">
        <f t="shared" si="1"/>
        <v>Augusto</v>
      </c>
      <c r="H370" s="152" t="s">
        <v>116</v>
      </c>
      <c r="I370" s="53" t="s">
        <v>161</v>
      </c>
      <c r="J370" s="312" t="str">
        <f t="shared" si="2"/>
        <v>Não</v>
      </c>
      <c r="K370" s="313">
        <v>44272.0</v>
      </c>
      <c r="L370" s="94"/>
      <c r="M370" s="94" t="s">
        <v>45</v>
      </c>
      <c r="N370" s="325">
        <v>0.012</v>
      </c>
      <c r="O370" s="312" t="s">
        <v>2381</v>
      </c>
      <c r="P370" s="315">
        <v>0.0</v>
      </c>
      <c r="Q370" s="312">
        <f>IFERROR(VLOOKUP(F370,'Cadastro de assessores'!A:B,2,FALSE),"Não Cadastrado")</f>
        <v>12362</v>
      </c>
      <c r="R370" s="312" t="s">
        <v>88</v>
      </c>
      <c r="S370" s="313">
        <v>44272.0</v>
      </c>
      <c r="T370" s="156"/>
      <c r="U370" s="156"/>
      <c r="V370" s="24" t="s">
        <v>89</v>
      </c>
      <c r="W370" s="13" t="s">
        <v>2180</v>
      </c>
      <c r="X370" s="151" t="s">
        <v>149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95</v>
      </c>
      <c r="AC370" s="94"/>
      <c r="AD370" s="94" t="s">
        <v>2439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2376</v>
      </c>
      <c r="B371" s="310" t="s">
        <v>3369</v>
      </c>
      <c r="C371" s="311" t="s">
        <v>3370</v>
      </c>
      <c r="D371" s="312" t="s">
        <v>2489</v>
      </c>
      <c r="E371" s="312" t="s">
        <v>29</v>
      </c>
      <c r="F371" s="312" t="s">
        <v>2489</v>
      </c>
      <c r="G371" s="47" t="str">
        <f t="shared" si="1"/>
        <v>Breno</v>
      </c>
      <c r="H371" s="152" t="s">
        <v>88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162</v>
      </c>
      <c r="N371" s="314">
        <v>0.01</v>
      </c>
      <c r="O371" s="312" t="s">
        <v>2381</v>
      </c>
      <c r="P371" s="315">
        <v>0.0</v>
      </c>
      <c r="Q371" s="312" t="str">
        <f>IFERROR(VLOOKUP(F371,'Cadastro de assessores'!A:B,2,FALSE),"Não Cadastrado")</f>
        <v>22400</v>
      </c>
      <c r="R371" s="312" t="s">
        <v>88</v>
      </c>
      <c r="S371" s="326">
        <v>43384.0</v>
      </c>
      <c r="T371" s="156"/>
      <c r="U371" s="156"/>
      <c r="V371" s="24" t="s">
        <v>89</v>
      </c>
      <c r="W371" s="317" t="s">
        <v>3371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95</v>
      </c>
      <c r="AC371" s="94"/>
      <c r="AD371" s="94" t="s">
        <v>2432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2376</v>
      </c>
      <c r="B372" s="225" t="s">
        <v>3372</v>
      </c>
      <c r="C372" s="322" t="s">
        <v>3373</v>
      </c>
      <c r="D372" s="312" t="s">
        <v>2489</v>
      </c>
      <c r="E372" s="312" t="s">
        <v>29</v>
      </c>
      <c r="F372" s="94" t="s">
        <v>2489</v>
      </c>
      <c r="G372" s="47" t="str">
        <f t="shared" si="1"/>
        <v>Augusto</v>
      </c>
      <c r="H372" s="323" t="s">
        <v>157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162</v>
      </c>
      <c r="N372" s="325">
        <v>0.01</v>
      </c>
      <c r="O372" s="312" t="s">
        <v>163</v>
      </c>
      <c r="P372" s="315">
        <v>0.2</v>
      </c>
      <c r="Q372" s="94" t="str">
        <f>IFERROR(VLOOKUP(F372,'Cadastro de assessores'!A:B,2,FALSE),"Não Cadastrado")</f>
        <v>22400</v>
      </c>
      <c r="R372" s="94" t="s">
        <v>2393</v>
      </c>
      <c r="S372" s="324">
        <v>43494.0</v>
      </c>
      <c r="T372" s="156"/>
      <c r="U372" s="156"/>
      <c r="V372" s="24" t="s">
        <v>89</v>
      </c>
      <c r="W372" s="13" t="s">
        <v>3374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2453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2396</v>
      </c>
      <c r="BJ372" s="158">
        <v>0.0</v>
      </c>
      <c r="BK372" s="158" t="s">
        <v>2396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2376</v>
      </c>
      <c r="B373" s="45" t="s">
        <v>3375</v>
      </c>
      <c r="C373" s="321" t="s">
        <v>3376</v>
      </c>
      <c r="D373" s="312" t="s">
        <v>18</v>
      </c>
      <c r="E373" s="312" t="s">
        <v>145</v>
      </c>
      <c r="F373" s="312" t="s">
        <v>146</v>
      </c>
      <c r="G373" s="47" t="str">
        <f t="shared" si="1"/>
        <v>Augusto</v>
      </c>
      <c r="H373" s="323" t="s">
        <v>157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111</v>
      </c>
      <c r="N373" s="314">
        <v>0.015</v>
      </c>
      <c r="O373" s="312" t="s">
        <v>46</v>
      </c>
      <c r="P373" s="315">
        <v>0.1</v>
      </c>
      <c r="Q373" s="312" t="str">
        <f>IFERROR(VLOOKUP(F373,'Cadastro de assessores'!A:B,2,FALSE),"Não Cadastrado")</f>
        <v>250</v>
      </c>
      <c r="R373" s="312" t="s">
        <v>88</v>
      </c>
      <c r="S373" s="313">
        <v>44319.0</v>
      </c>
      <c r="T373" s="52"/>
      <c r="U373" s="316" t="s">
        <v>2660</v>
      </c>
      <c r="V373" s="24" t="s">
        <v>89</v>
      </c>
      <c r="W373" s="5" t="s">
        <v>3377</v>
      </c>
      <c r="X373" s="151" t="s">
        <v>149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95</v>
      </c>
      <c r="AC373" s="94"/>
      <c r="AD373" s="94" t="s">
        <v>2439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2376</v>
      </c>
      <c r="B374" s="310" t="s">
        <v>3378</v>
      </c>
      <c r="C374" s="311" t="s">
        <v>3379</v>
      </c>
      <c r="D374" s="312" t="s">
        <v>2379</v>
      </c>
      <c r="E374" s="312" t="s">
        <v>29</v>
      </c>
      <c r="F374" s="312" t="s">
        <v>2392</v>
      </c>
      <c r="G374" s="47" t="str">
        <f t="shared" si="1"/>
        <v>Augusto</v>
      </c>
      <c r="H374" s="152" t="s">
        <v>116</v>
      </c>
      <c r="I374" s="53" t="s">
        <v>161</v>
      </c>
      <c r="J374" s="312" t="str">
        <f t="shared" si="2"/>
        <v>Sim</v>
      </c>
      <c r="K374" s="326">
        <v>43822.0</v>
      </c>
      <c r="L374" s="94"/>
      <c r="M374" s="94" t="s">
        <v>45</v>
      </c>
      <c r="N374" s="325">
        <v>0.012</v>
      </c>
      <c r="O374" s="312" t="s">
        <v>2381</v>
      </c>
      <c r="P374" s="315">
        <v>0.0</v>
      </c>
      <c r="Q374" s="312" t="str">
        <f>IFERROR(VLOOKUP(F374,'Cadastro de assessores'!A:B,2,FALSE),"Não Cadastrado")</f>
        <v>2971</v>
      </c>
      <c r="R374" s="312" t="s">
        <v>88</v>
      </c>
      <c r="S374" s="326">
        <v>43811.0</v>
      </c>
      <c r="T374" s="156" t="s">
        <v>3380</v>
      </c>
      <c r="U374" s="156"/>
      <c r="V374" s="24" t="s">
        <v>89</v>
      </c>
      <c r="W374" s="317" t="s">
        <v>3381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95</v>
      </c>
      <c r="AC374" s="94"/>
      <c r="AD374" s="94" t="s">
        <v>2421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2376</v>
      </c>
      <c r="B375" s="310" t="s">
        <v>3382</v>
      </c>
      <c r="C375" s="311" t="s">
        <v>3383</v>
      </c>
      <c r="D375" s="312" t="s">
        <v>2489</v>
      </c>
      <c r="E375" s="312" t="s">
        <v>29</v>
      </c>
      <c r="F375" s="312" t="s">
        <v>2489</v>
      </c>
      <c r="G375" s="47" t="str">
        <f t="shared" si="1"/>
        <v>Augusto</v>
      </c>
      <c r="H375" s="323" t="s">
        <v>116</v>
      </c>
      <c r="I375" s="53" t="s">
        <v>161</v>
      </c>
      <c r="J375" s="312" t="str">
        <f t="shared" si="2"/>
        <v>Não</v>
      </c>
      <c r="K375" s="313">
        <v>43538.0</v>
      </c>
      <c r="L375" s="94"/>
      <c r="M375" s="94" t="s">
        <v>162</v>
      </c>
      <c r="N375" s="314">
        <v>0.01</v>
      </c>
      <c r="O375" s="312" t="s">
        <v>2381</v>
      </c>
      <c r="P375" s="315">
        <v>0.0</v>
      </c>
      <c r="Q375" s="312" t="str">
        <f>IFERROR(VLOOKUP(F375,'Cadastro de assessores'!A:B,2,FALSE),"Não Cadastrado")</f>
        <v>22400</v>
      </c>
      <c r="R375" s="312" t="s">
        <v>88</v>
      </c>
      <c r="S375" s="313">
        <v>43538.0</v>
      </c>
      <c r="T375" s="156"/>
      <c r="U375" s="156"/>
      <c r="V375" s="24" t="s">
        <v>89</v>
      </c>
      <c r="W375" s="317" t="s">
        <v>3384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95</v>
      </c>
      <c r="AC375" s="94"/>
      <c r="AD375" s="94" t="s">
        <v>2453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2376</v>
      </c>
      <c r="B376" s="225" t="s">
        <v>3385</v>
      </c>
      <c r="C376" s="322">
        <v>324079.0</v>
      </c>
      <c r="D376" s="312" t="s">
        <v>18</v>
      </c>
      <c r="E376" s="312" t="s">
        <v>145</v>
      </c>
      <c r="F376" s="94" t="s">
        <v>146</v>
      </c>
      <c r="G376" s="47" t="str">
        <f t="shared" si="1"/>
        <v>Augusto</v>
      </c>
      <c r="H376" s="152" t="s">
        <v>116</v>
      </c>
      <c r="I376" s="53" t="s">
        <v>161</v>
      </c>
      <c r="J376" s="312" t="str">
        <f t="shared" si="2"/>
        <v>Não</v>
      </c>
      <c r="K376" s="153">
        <v>44789.0</v>
      </c>
      <c r="L376" s="381"/>
      <c r="M376" s="94" t="s">
        <v>60</v>
      </c>
      <c r="N376" s="325">
        <v>0.007</v>
      </c>
      <c r="O376" s="312" t="s">
        <v>2381</v>
      </c>
      <c r="P376" s="315">
        <v>0.0</v>
      </c>
      <c r="Q376" s="312" t="str">
        <f>IFERROR(VLOOKUP(F376,'Cadastro de assessores'!A:B,2,FALSE),"Não Cadastrado")</f>
        <v>250</v>
      </c>
      <c r="R376" s="94" t="s">
        <v>88</v>
      </c>
      <c r="S376" s="153">
        <v>44770.0</v>
      </c>
      <c r="T376" s="156"/>
      <c r="U376" s="156"/>
      <c r="V376" s="24" t="s">
        <v>89</v>
      </c>
      <c r="W376" s="13" t="s">
        <v>2236</v>
      </c>
      <c r="X376" s="13" t="s">
        <v>149</v>
      </c>
      <c r="Y376" s="53" t="str">
        <f t="shared" si="3"/>
        <v>Ativo</v>
      </c>
      <c r="Z376" s="126"/>
      <c r="AA376" s="94" t="str">
        <f t="shared" si="8"/>
        <v/>
      </c>
      <c r="AB376" s="13" t="s">
        <v>95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2376</v>
      </c>
      <c r="B377" s="63" t="s">
        <v>2257</v>
      </c>
      <c r="C377" s="24">
        <v>5824219.0</v>
      </c>
      <c r="D377" s="312" t="s">
        <v>18</v>
      </c>
      <c r="E377" s="312" t="s">
        <v>145</v>
      </c>
      <c r="F377" s="94" t="s">
        <v>171</v>
      </c>
      <c r="G377" s="47" t="str">
        <f t="shared" si="1"/>
        <v>Augusto</v>
      </c>
      <c r="H377" s="152" t="s">
        <v>116</v>
      </c>
      <c r="I377" s="53" t="s">
        <v>161</v>
      </c>
      <c r="J377" s="312" t="str">
        <f t="shared" si="2"/>
        <v>Não</v>
      </c>
      <c r="K377" s="153">
        <v>44781.0</v>
      </c>
      <c r="L377" s="381"/>
      <c r="M377" s="94" t="s">
        <v>60</v>
      </c>
      <c r="N377" s="325">
        <v>0.007</v>
      </c>
      <c r="O377" s="312" t="s">
        <v>2381</v>
      </c>
      <c r="P377" s="315">
        <v>0.0</v>
      </c>
      <c r="Q377" s="94" t="s">
        <v>3386</v>
      </c>
      <c r="R377" s="94" t="s">
        <v>88</v>
      </c>
      <c r="S377" s="153">
        <v>44770.0</v>
      </c>
      <c r="T377" s="65"/>
      <c r="U377" s="327" t="s">
        <v>3387</v>
      </c>
      <c r="V377" s="24" t="s">
        <v>89</v>
      </c>
      <c r="W377" s="5" t="s">
        <v>2260</v>
      </c>
      <c r="X377" s="13" t="s">
        <v>149</v>
      </c>
      <c r="Y377" s="53" t="str">
        <f t="shared" si="3"/>
        <v>Ativo</v>
      </c>
      <c r="Z377" s="126"/>
      <c r="AA377" s="94" t="str">
        <f t="shared" si="8"/>
        <v/>
      </c>
      <c r="AB377" s="13" t="s">
        <v>95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2376</v>
      </c>
      <c r="B378" s="63" t="s">
        <v>3388</v>
      </c>
      <c r="C378" s="24">
        <v>3583227.0</v>
      </c>
      <c r="D378" s="312" t="s">
        <v>18</v>
      </c>
      <c r="E378" s="312" t="s">
        <v>145</v>
      </c>
      <c r="F378" s="94" t="s">
        <v>2464</v>
      </c>
      <c r="G378" s="47" t="str">
        <f t="shared" si="1"/>
        <v>Augusto</v>
      </c>
      <c r="H378" s="152" t="s">
        <v>116</v>
      </c>
      <c r="I378" s="53" t="s">
        <v>161</v>
      </c>
      <c r="J378" s="312" t="str">
        <f t="shared" si="2"/>
        <v>Não</v>
      </c>
      <c r="K378" s="153"/>
      <c r="L378" s="381"/>
      <c r="M378" s="94" t="s">
        <v>60</v>
      </c>
      <c r="N378" s="325">
        <v>0.007</v>
      </c>
      <c r="O378" s="312" t="s">
        <v>2381</v>
      </c>
      <c r="P378" s="315">
        <v>0.0</v>
      </c>
      <c r="Q378" s="94" t="s">
        <v>3389</v>
      </c>
      <c r="R378" s="94"/>
      <c r="S378" s="153"/>
      <c r="T378" s="156"/>
      <c r="U378" s="156"/>
      <c r="V378" s="24" t="s">
        <v>89</v>
      </c>
      <c r="W378" s="5" t="s">
        <v>3390</v>
      </c>
      <c r="X378" s="13" t="s">
        <v>149</v>
      </c>
      <c r="Y378" s="53" t="str">
        <f t="shared" si="3"/>
        <v>Inativo</v>
      </c>
      <c r="Z378" s="126"/>
      <c r="AA378" s="94" t="str">
        <f t="shared" si="8"/>
        <v/>
      </c>
      <c r="AB378" s="13" t="s">
        <v>95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2376</v>
      </c>
      <c r="B379" s="225" t="s">
        <v>3391</v>
      </c>
      <c r="C379" s="322" t="s">
        <v>3392</v>
      </c>
      <c r="D379" s="312" t="s">
        <v>18</v>
      </c>
      <c r="E379" s="312" t="s">
        <v>29</v>
      </c>
      <c r="F379" s="94" t="s">
        <v>2633</v>
      </c>
      <c r="G379" s="47" t="str">
        <f t="shared" si="1"/>
        <v>Augusto</v>
      </c>
      <c r="H379" s="323" t="s">
        <v>157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111</v>
      </c>
      <c r="N379" s="325">
        <v>0.01</v>
      </c>
      <c r="O379" s="312" t="s">
        <v>46</v>
      </c>
      <c r="P379" s="315">
        <v>0.1</v>
      </c>
      <c r="Q379" s="94" t="str">
        <f>IFERROR(VLOOKUP(F379,'Cadastro de assessores'!A:B,2,FALSE),"Não Cadastrado")</f>
        <v>18236</v>
      </c>
      <c r="R379" s="94" t="s">
        <v>2393</v>
      </c>
      <c r="S379" s="329">
        <v>43461.0</v>
      </c>
      <c r="T379" s="156"/>
      <c r="U379" s="156"/>
      <c r="V379" s="24" t="s">
        <v>89</v>
      </c>
      <c r="W379" s="13" t="s">
        <v>3393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2395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2396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2376</v>
      </c>
      <c r="B380" s="45" t="s">
        <v>3394</v>
      </c>
      <c r="C380" s="357" t="s">
        <v>3395</v>
      </c>
      <c r="D380" s="312" t="s">
        <v>18</v>
      </c>
      <c r="E380" s="312" t="s">
        <v>145</v>
      </c>
      <c r="F380" s="151" t="s">
        <v>171</v>
      </c>
      <c r="G380" s="47" t="str">
        <f t="shared" si="1"/>
        <v>Augusto</v>
      </c>
      <c r="H380" s="323" t="s">
        <v>157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111</v>
      </c>
      <c r="N380" s="325">
        <v>0.015</v>
      </c>
      <c r="O380" s="312" t="s">
        <v>46</v>
      </c>
      <c r="P380" s="315">
        <v>0.1</v>
      </c>
      <c r="Q380" s="151" t="str">
        <f>IFERROR(VLOOKUP(F380,'Cadastro de assessores'!A:B,2,FALSE),"Não Cadastrado")</f>
        <v>28411</v>
      </c>
      <c r="R380" s="94" t="s">
        <v>2393</v>
      </c>
      <c r="S380" s="324">
        <v>44335.0</v>
      </c>
      <c r="T380" s="52"/>
      <c r="U380" s="52"/>
      <c r="V380" s="24" t="s">
        <v>89</v>
      </c>
      <c r="W380" s="5" t="s">
        <v>3396</v>
      </c>
      <c r="X380" s="151" t="s">
        <v>149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95</v>
      </c>
      <c r="AC380" s="94"/>
      <c r="AD380" s="94" t="s">
        <v>2599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2376</v>
      </c>
      <c r="B381" s="225" t="s">
        <v>3397</v>
      </c>
      <c r="C381" s="322" t="s">
        <v>3398</v>
      </c>
      <c r="D381" s="312" t="s">
        <v>2379</v>
      </c>
      <c r="E381" s="312" t="s">
        <v>29</v>
      </c>
      <c r="F381" s="94" t="s">
        <v>2380</v>
      </c>
      <c r="G381" s="47" t="str">
        <f t="shared" si="1"/>
        <v>Augusto</v>
      </c>
      <c r="H381" s="323" t="s">
        <v>157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162</v>
      </c>
      <c r="N381" s="325">
        <v>0.02</v>
      </c>
      <c r="O381" s="312" t="s">
        <v>163</v>
      </c>
      <c r="P381" s="315">
        <v>0.2</v>
      </c>
      <c r="Q381" s="94" t="str">
        <f>IFERROR(VLOOKUP(F381,'Cadastro de assessores'!A:B,2,FALSE),"Não Cadastrado")</f>
        <v>17573</v>
      </c>
      <c r="R381" s="94" t="s">
        <v>2393</v>
      </c>
      <c r="S381" s="324">
        <v>43738.0</v>
      </c>
      <c r="T381" s="156"/>
      <c r="U381" s="156"/>
      <c r="V381" s="24" t="s">
        <v>89</v>
      </c>
      <c r="W381" s="13" t="s">
        <v>3399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2505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2396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2376</v>
      </c>
      <c r="B382" s="225" t="s">
        <v>3400</v>
      </c>
      <c r="C382" s="322" t="s">
        <v>3401</v>
      </c>
      <c r="D382" s="312" t="s">
        <v>2379</v>
      </c>
      <c r="E382" s="312" t="s">
        <v>29</v>
      </c>
      <c r="F382" s="94" t="s">
        <v>2380</v>
      </c>
      <c r="G382" s="47" t="str">
        <f t="shared" si="1"/>
        <v>Augusto</v>
      </c>
      <c r="H382" s="323" t="s">
        <v>157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111</v>
      </c>
      <c r="N382" s="325">
        <v>0.005</v>
      </c>
      <c r="O382" s="312" t="s">
        <v>46</v>
      </c>
      <c r="P382" s="315">
        <v>0.1</v>
      </c>
      <c r="Q382" s="94" t="str">
        <f>IFERROR(VLOOKUP(F382,'Cadastro de assessores'!A:B,2,FALSE),"Não Cadastrado")</f>
        <v>17573</v>
      </c>
      <c r="R382" s="94" t="s">
        <v>2393</v>
      </c>
      <c r="S382" s="324">
        <v>43538.0</v>
      </c>
      <c r="T382" s="156"/>
      <c r="U382" s="75"/>
      <c r="V382" s="24" t="s">
        <v>89</v>
      </c>
      <c r="W382" s="13" t="s">
        <v>3402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2421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2396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2376</v>
      </c>
      <c r="B383" s="225" t="s">
        <v>3400</v>
      </c>
      <c r="C383" s="322" t="s">
        <v>3403</v>
      </c>
      <c r="D383" s="312" t="s">
        <v>2379</v>
      </c>
      <c r="E383" s="312" t="s">
        <v>29</v>
      </c>
      <c r="F383" s="94" t="s">
        <v>2380</v>
      </c>
      <c r="G383" s="47" t="str">
        <f t="shared" si="1"/>
        <v>Augusto</v>
      </c>
      <c r="H383" s="323" t="s">
        <v>157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162</v>
      </c>
      <c r="N383" s="325">
        <v>0.025</v>
      </c>
      <c r="O383" s="312" t="s">
        <v>163</v>
      </c>
      <c r="P383" s="315">
        <v>0.2</v>
      </c>
      <c r="Q383" s="94" t="str">
        <f>IFERROR(VLOOKUP(F383,'Cadastro de assessores'!A:B,2,FALSE),"Não Cadastrado")</f>
        <v>17573</v>
      </c>
      <c r="R383" s="94" t="s">
        <v>2393</v>
      </c>
      <c r="S383" s="324">
        <v>43538.0</v>
      </c>
      <c r="T383" s="156"/>
      <c r="U383" s="156"/>
      <c r="V383" s="24" t="s">
        <v>89</v>
      </c>
      <c r="W383" s="13" t="s">
        <v>3402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2421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2396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2376</v>
      </c>
      <c r="B384" s="221" t="s">
        <v>3404</v>
      </c>
      <c r="C384" s="322" t="s">
        <v>3405</v>
      </c>
      <c r="D384" s="312" t="s">
        <v>2379</v>
      </c>
      <c r="E384" s="312" t="s">
        <v>29</v>
      </c>
      <c r="F384" s="94" t="s">
        <v>2380</v>
      </c>
      <c r="G384" s="47" t="str">
        <f t="shared" si="1"/>
        <v>Augusto</v>
      </c>
      <c r="H384" s="323" t="s">
        <v>157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45</v>
      </c>
      <c r="N384" s="325">
        <v>0.012</v>
      </c>
      <c r="O384" s="312" t="s">
        <v>2381</v>
      </c>
      <c r="P384" s="315">
        <v>0.0</v>
      </c>
      <c r="Q384" s="94" t="str">
        <f>IFERROR(VLOOKUP(F384,'Cadastro de assessores'!A:B,2,FALSE),"Não Cadastrado")</f>
        <v>17573</v>
      </c>
      <c r="R384" s="94" t="s">
        <v>2393</v>
      </c>
      <c r="S384" s="324">
        <v>43843.0</v>
      </c>
      <c r="T384" s="156"/>
      <c r="U384" s="156"/>
      <c r="V384" s="24" t="s">
        <v>89</v>
      </c>
      <c r="W384" s="13" t="s">
        <v>3406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2505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2396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2376</v>
      </c>
      <c r="B385" s="335" t="s">
        <v>3407</v>
      </c>
      <c r="C385" s="322" t="s">
        <v>3408</v>
      </c>
      <c r="D385" s="312" t="s">
        <v>18</v>
      </c>
      <c r="E385" s="312" t="s">
        <v>145</v>
      </c>
      <c r="F385" s="312" t="s">
        <v>171</v>
      </c>
      <c r="G385" s="47" t="str">
        <f t="shared" si="1"/>
        <v>Augusto</v>
      </c>
      <c r="H385" s="152" t="s">
        <v>116</v>
      </c>
      <c r="I385" s="53" t="s">
        <v>161</v>
      </c>
      <c r="J385" s="312" t="str">
        <f t="shared" si="2"/>
        <v>Não</v>
      </c>
      <c r="K385" s="324">
        <v>44273.0</v>
      </c>
      <c r="L385" s="24"/>
      <c r="M385" s="94" t="s">
        <v>111</v>
      </c>
      <c r="N385" s="325">
        <v>0.012</v>
      </c>
      <c r="O385" s="312" t="s">
        <v>46</v>
      </c>
      <c r="P385" s="315">
        <v>0.1</v>
      </c>
      <c r="Q385" s="312" t="str">
        <f>IFERROR(VLOOKUP(F385,'Cadastro de assessores'!A:B,2,FALSE),"Não Cadastrado")</f>
        <v>28411</v>
      </c>
      <c r="R385" s="312" t="s">
        <v>88</v>
      </c>
      <c r="S385" s="324">
        <v>44252.0</v>
      </c>
      <c r="T385" s="156"/>
      <c r="U385" s="156"/>
      <c r="V385" s="24" t="s">
        <v>89</v>
      </c>
      <c r="W385" s="317" t="s">
        <v>3409</v>
      </c>
      <c r="X385" s="151" t="s">
        <v>149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95</v>
      </c>
      <c r="AC385" s="94"/>
      <c r="AD385" s="94" t="s">
        <v>2389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2376</v>
      </c>
      <c r="B386" s="221" t="s">
        <v>3410</v>
      </c>
      <c r="C386" s="204" t="s">
        <v>3411</v>
      </c>
      <c r="D386" s="312" t="s">
        <v>18</v>
      </c>
      <c r="E386" s="312" t="s">
        <v>145</v>
      </c>
      <c r="F386" s="312" t="s">
        <v>2464</v>
      </c>
      <c r="G386" s="47" t="str">
        <f t="shared" si="1"/>
        <v>Augusto</v>
      </c>
      <c r="H386" s="323" t="s">
        <v>157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111</v>
      </c>
      <c r="N386" s="325">
        <v>0.015</v>
      </c>
      <c r="O386" s="312" t="s">
        <v>46</v>
      </c>
      <c r="P386" s="315">
        <v>0.1</v>
      </c>
      <c r="Q386" s="312" t="str">
        <f>IFERROR(VLOOKUP(F386,'Cadastro de assessores'!A:B,2,FALSE),"Não Cadastrado")</f>
        <v>22066</v>
      </c>
      <c r="R386" s="312" t="s">
        <v>88</v>
      </c>
      <c r="S386" s="324">
        <v>44235.0</v>
      </c>
      <c r="T386" s="316"/>
      <c r="U386" s="156" t="s">
        <v>3412</v>
      </c>
      <c r="V386" s="24" t="s">
        <v>89</v>
      </c>
      <c r="W386" s="13" t="s">
        <v>3413</v>
      </c>
      <c r="X386" s="151" t="s">
        <v>149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95</v>
      </c>
      <c r="AC386" s="94"/>
      <c r="AD386" s="94" t="s">
        <v>2439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2376</v>
      </c>
      <c r="B387" s="63" t="s">
        <v>3410</v>
      </c>
      <c r="C387" s="321" t="s">
        <v>3414</v>
      </c>
      <c r="D387" s="312" t="s">
        <v>18</v>
      </c>
      <c r="E387" s="312" t="s">
        <v>145</v>
      </c>
      <c r="F387" s="312" t="s">
        <v>2464</v>
      </c>
      <c r="G387" s="47" t="str">
        <f t="shared" si="1"/>
        <v>Augusto</v>
      </c>
      <c r="H387" s="323" t="s">
        <v>157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2743</v>
      </c>
      <c r="N387" s="314">
        <v>0.01</v>
      </c>
      <c r="O387" s="312" t="s">
        <v>2381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89</v>
      </c>
      <c r="W387" s="5" t="s">
        <v>3413</v>
      </c>
      <c r="X387" s="151" t="s">
        <v>149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2439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2396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2376</v>
      </c>
      <c r="B388" s="310" t="s">
        <v>3415</v>
      </c>
      <c r="C388" s="311" t="s">
        <v>3416</v>
      </c>
      <c r="D388" s="312" t="s">
        <v>2379</v>
      </c>
      <c r="E388" s="312" t="s">
        <v>29</v>
      </c>
      <c r="F388" s="312" t="s">
        <v>2380</v>
      </c>
      <c r="G388" s="47" t="str">
        <f t="shared" si="1"/>
        <v>Augusto</v>
      </c>
      <c r="H388" s="152" t="s">
        <v>116</v>
      </c>
      <c r="I388" s="53" t="s">
        <v>161</v>
      </c>
      <c r="J388" s="312" t="str">
        <f t="shared" si="2"/>
        <v>Não</v>
      </c>
      <c r="K388" s="313">
        <v>43567.0</v>
      </c>
      <c r="L388" s="94"/>
      <c r="M388" s="94" t="s">
        <v>111</v>
      </c>
      <c r="N388" s="314">
        <v>0.01</v>
      </c>
      <c r="O388" s="312" t="s">
        <v>46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3206</v>
      </c>
      <c r="S388" s="313">
        <v>43552.0</v>
      </c>
      <c r="T388" s="96"/>
      <c r="U388" s="327" t="s">
        <v>3417</v>
      </c>
      <c r="V388" s="24" t="s">
        <v>89</v>
      </c>
      <c r="W388" s="317" t="s">
        <v>3418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95</v>
      </c>
      <c r="AC388" s="94"/>
      <c r="AD388" s="94" t="s">
        <v>2453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2376</v>
      </c>
      <c r="B389" s="149" t="s">
        <v>3419</v>
      </c>
      <c r="C389" s="321" t="s">
        <v>3420</v>
      </c>
      <c r="D389" s="312" t="s">
        <v>18</v>
      </c>
      <c r="E389" s="312" t="s">
        <v>29</v>
      </c>
      <c r="F389" s="312" t="s">
        <v>2760</v>
      </c>
      <c r="G389" s="47" t="str">
        <f t="shared" si="1"/>
        <v>Augusto</v>
      </c>
      <c r="H389" s="152" t="s">
        <v>88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111</v>
      </c>
      <c r="N389" s="314">
        <v>0.015</v>
      </c>
      <c r="O389" s="312" t="s">
        <v>46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89</v>
      </c>
      <c r="W389" s="11" t="s">
        <v>3421</v>
      </c>
      <c r="X389" s="13" t="s">
        <v>121</v>
      </c>
      <c r="Y389" s="53" t="str">
        <f t="shared" si="3"/>
        <v>Ativo</v>
      </c>
      <c r="Z389" s="126"/>
      <c r="AA389" s="94" t="str">
        <f t="shared" si="8"/>
        <v/>
      </c>
      <c r="AB389" s="13" t="s">
        <v>91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2376</v>
      </c>
      <c r="B390" s="63" t="s">
        <v>2312</v>
      </c>
      <c r="C390" s="137">
        <v>5762469.0</v>
      </c>
      <c r="D390" s="312" t="s">
        <v>18</v>
      </c>
      <c r="E390" s="312" t="s">
        <v>145</v>
      </c>
      <c r="F390" s="312" t="s">
        <v>146</v>
      </c>
      <c r="G390" s="47" t="str">
        <f t="shared" si="1"/>
        <v>Augusto</v>
      </c>
      <c r="H390" s="152" t="s">
        <v>116</v>
      </c>
      <c r="I390" s="53" t="s">
        <v>161</v>
      </c>
      <c r="J390" s="312" t="str">
        <f t="shared" si="2"/>
        <v>Não</v>
      </c>
      <c r="K390" s="324">
        <v>44599.0</v>
      </c>
      <c r="L390" s="94"/>
      <c r="M390" s="94" t="s">
        <v>111</v>
      </c>
      <c r="N390" s="314">
        <v>0.015</v>
      </c>
      <c r="O390" s="312" t="s">
        <v>46</v>
      </c>
      <c r="P390" s="315">
        <v>0.1</v>
      </c>
      <c r="Q390" s="312" t="str">
        <f>IFERROR(VLOOKUP(F390,'Cadastro de assessores'!A:B,2,FALSE),"Não Cadastrado")</f>
        <v>250</v>
      </c>
      <c r="R390" s="312" t="s">
        <v>88</v>
      </c>
      <c r="S390" s="324">
        <v>44599.0</v>
      </c>
      <c r="T390" s="52"/>
      <c r="U390" s="52"/>
      <c r="V390" s="24" t="s">
        <v>89</v>
      </c>
      <c r="W390" s="5" t="s">
        <v>2315</v>
      </c>
      <c r="X390" s="151" t="s">
        <v>149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95</v>
      </c>
      <c r="AC390" s="94"/>
      <c r="AD390" s="94" t="s">
        <v>2439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2376</v>
      </c>
      <c r="B391" s="63" t="s">
        <v>2312</v>
      </c>
      <c r="C391" s="137">
        <v>5573852.0</v>
      </c>
      <c r="D391" s="312" t="s">
        <v>18</v>
      </c>
      <c r="E391" s="312" t="s">
        <v>145</v>
      </c>
      <c r="F391" s="312" t="s">
        <v>146</v>
      </c>
      <c r="G391" s="47" t="str">
        <f t="shared" si="1"/>
        <v>Augusto</v>
      </c>
      <c r="H391" s="152" t="s">
        <v>116</v>
      </c>
      <c r="I391" s="53" t="s">
        <v>161</v>
      </c>
      <c r="J391" s="312" t="str">
        <f t="shared" si="2"/>
        <v>Não</v>
      </c>
      <c r="K391" s="94"/>
      <c r="L391" s="94"/>
      <c r="M391" s="24" t="s">
        <v>2743</v>
      </c>
      <c r="N391" s="314">
        <v>0.01</v>
      </c>
      <c r="O391" s="312" t="s">
        <v>2381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89</v>
      </c>
      <c r="W391" s="5" t="s">
        <v>2315</v>
      </c>
      <c r="X391" s="151" t="s">
        <v>149</v>
      </c>
      <c r="Y391" s="53" t="str">
        <f t="shared" si="3"/>
        <v>Inativo</v>
      </c>
      <c r="Z391" s="126"/>
      <c r="AA391" s="94" t="str">
        <f t="shared" si="8"/>
        <v/>
      </c>
      <c r="AB391" s="13" t="s">
        <v>95</v>
      </c>
      <c r="AC391" s="94"/>
      <c r="AD391" s="94" t="s">
        <v>2439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2396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2376</v>
      </c>
      <c r="B392" s="63" t="s">
        <v>3422</v>
      </c>
      <c r="C392" s="137">
        <v>3797278.0</v>
      </c>
      <c r="D392" s="312" t="s">
        <v>18</v>
      </c>
      <c r="E392" s="312" t="s">
        <v>29</v>
      </c>
      <c r="F392" s="312" t="s">
        <v>2760</v>
      </c>
      <c r="G392" s="47" t="str">
        <f t="shared" si="1"/>
        <v>Breno</v>
      </c>
      <c r="H392" s="152" t="s">
        <v>88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111</v>
      </c>
      <c r="N392" s="314">
        <v>0.015</v>
      </c>
      <c r="O392" s="312" t="s">
        <v>46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89</v>
      </c>
      <c r="W392" s="5" t="s">
        <v>3423</v>
      </c>
      <c r="X392" s="5" t="s">
        <v>121</v>
      </c>
      <c r="Y392" s="53" t="str">
        <f t="shared" si="3"/>
        <v>Ativo</v>
      </c>
      <c r="Z392" s="126"/>
      <c r="AA392" s="94" t="str">
        <f t="shared" si="8"/>
        <v/>
      </c>
      <c r="AB392" s="13" t="s">
        <v>95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2376</v>
      </c>
      <c r="B393" s="45" t="s">
        <v>3424</v>
      </c>
      <c r="C393" s="321" t="s">
        <v>3425</v>
      </c>
      <c r="D393" s="312" t="s">
        <v>18</v>
      </c>
      <c r="E393" s="312" t="s">
        <v>145</v>
      </c>
      <c r="F393" s="312" t="s">
        <v>171</v>
      </c>
      <c r="G393" s="47" t="str">
        <f t="shared" si="1"/>
        <v>Augusto</v>
      </c>
      <c r="H393" s="152" t="s">
        <v>116</v>
      </c>
      <c r="I393" s="53" t="s">
        <v>161</v>
      </c>
      <c r="J393" s="312" t="str">
        <f t="shared" si="2"/>
        <v>Não</v>
      </c>
      <c r="K393" s="313">
        <v>44319.0</v>
      </c>
      <c r="L393" s="94"/>
      <c r="M393" s="94" t="s">
        <v>162</v>
      </c>
      <c r="N393" s="314">
        <v>0.025</v>
      </c>
      <c r="O393" s="312" t="s">
        <v>163</v>
      </c>
      <c r="P393" s="315">
        <v>0.2</v>
      </c>
      <c r="Q393" s="312" t="str">
        <f>IFERROR(VLOOKUP(F393,'Cadastro de assessores'!A:B,2,FALSE),"Não Cadastrado")</f>
        <v>28411</v>
      </c>
      <c r="R393" s="312" t="s">
        <v>88</v>
      </c>
      <c r="S393" s="313">
        <v>44301.0</v>
      </c>
      <c r="T393" s="52"/>
      <c r="U393" s="52" t="s">
        <v>3426</v>
      </c>
      <c r="V393" s="24" t="s">
        <v>89</v>
      </c>
      <c r="W393" s="5" t="s">
        <v>3427</v>
      </c>
      <c r="X393" s="151" t="s">
        <v>149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95</v>
      </c>
      <c r="AC393" s="94"/>
      <c r="AD393" s="94" t="s">
        <v>2439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2376</v>
      </c>
      <c r="B394" s="63" t="s">
        <v>3428</v>
      </c>
      <c r="C394" s="321" t="s">
        <v>3429</v>
      </c>
      <c r="D394" s="312" t="s">
        <v>18</v>
      </c>
      <c r="E394" s="312" t="s">
        <v>145</v>
      </c>
      <c r="F394" s="312" t="s">
        <v>171</v>
      </c>
      <c r="G394" s="47" t="str">
        <f t="shared" si="1"/>
        <v>Augusto</v>
      </c>
      <c r="H394" s="152" t="s">
        <v>116</v>
      </c>
      <c r="I394" s="53" t="s">
        <v>161</v>
      </c>
      <c r="J394" s="312" t="str">
        <f t="shared" si="2"/>
        <v>Não</v>
      </c>
      <c r="K394" s="313">
        <v>44651.0</v>
      </c>
      <c r="L394" s="94"/>
      <c r="M394" s="94" t="s">
        <v>111</v>
      </c>
      <c r="N394" s="314">
        <v>0.015</v>
      </c>
      <c r="O394" s="312" t="s">
        <v>46</v>
      </c>
      <c r="P394" s="315">
        <v>0.1</v>
      </c>
      <c r="Q394" s="312" t="str">
        <f>IFERROR(VLOOKUP(F394,'Cadastro de assessores'!A:B,2,FALSE),"Não Cadastrado")</f>
        <v>28411</v>
      </c>
      <c r="R394" s="312" t="s">
        <v>88</v>
      </c>
      <c r="S394" s="313">
        <v>44651.0</v>
      </c>
      <c r="T394" s="156"/>
      <c r="U394" s="156"/>
      <c r="V394" s="24" t="s">
        <v>89</v>
      </c>
      <c r="W394" s="5" t="s">
        <v>3430</v>
      </c>
      <c r="X394" s="151" t="s">
        <v>149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95</v>
      </c>
      <c r="AC394" s="94"/>
      <c r="AD394" s="94" t="s">
        <v>2946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2376</v>
      </c>
      <c r="B395" s="221" t="s">
        <v>3431</v>
      </c>
      <c r="C395" s="204" t="s">
        <v>3432</v>
      </c>
      <c r="D395" s="312" t="s">
        <v>18</v>
      </c>
      <c r="E395" s="312" t="s">
        <v>145</v>
      </c>
      <c r="F395" s="312" t="s">
        <v>171</v>
      </c>
      <c r="G395" s="47" t="str">
        <f t="shared" si="1"/>
        <v>Augusto</v>
      </c>
      <c r="H395" s="152" t="s">
        <v>88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111</v>
      </c>
      <c r="N395" s="314">
        <v>0.015</v>
      </c>
      <c r="O395" s="312" t="s">
        <v>46</v>
      </c>
      <c r="P395" s="315">
        <v>0.1</v>
      </c>
      <c r="Q395" s="312" t="str">
        <f>IFERROR(VLOOKUP(F395,'Cadastro de assessores'!A:B,2,FALSE),"Não Cadastrado")</f>
        <v>28411</v>
      </c>
      <c r="R395" s="312" t="s">
        <v>88</v>
      </c>
      <c r="S395" s="313">
        <v>44291.0</v>
      </c>
      <c r="T395" s="156"/>
      <c r="U395" s="156"/>
      <c r="V395" s="24" t="s">
        <v>329</v>
      </c>
      <c r="W395" s="5" t="s">
        <v>3433</v>
      </c>
      <c r="X395" s="151" t="s">
        <v>149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95</v>
      </c>
      <c r="AC395" s="94"/>
      <c r="AD395" s="94" t="s">
        <v>2868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2362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2364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3434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2365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1FF07CE0-5A2F-4971-BB66-06AB92C2206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B78BCF3-4F0E-43B3-A5A7-D5862620F37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261A082-2317-434E-870C-3DF13ED0E6A5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4EEAA0D-6FB5-4FB0-8890-79C55AE8A442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5DBDBA2-2BC8-499F-A7BA-C82093D9B875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6ABE31C0-E26C-48D4-98C8-D04880C01291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82BBDE4B-1903-4F52-BF7C-9EF911885ABE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BE5D1E9-7E18-4418-BD1F-5AE0192959D1}" filter="1" showAutoFilter="1">
      <autoFilter ref="$B$2:$S$403"/>
    </customSheetView>
    <customSheetView guid="{0F73EE46-FEA2-4915-B2A3-49F2E0F02A22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387C231-1730-4402-A9BF-7885B6D4DCDC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134422F-0BCB-4FAD-B684-0ECBB777A077}" filter="1" showAutoFilter="1">
      <autoFilter ref="$B$2:$BU$403"/>
    </customSheetView>
    <customSheetView guid="{4C7E836C-516F-4621-A32C-2C387D49B27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7729247-6799-449B-B0B7-A7DEE599FFFE}" filter="1" showAutoFilter="1">
      <autoFilter ref="$B$2:$BW$395"/>
    </customSheetView>
    <customSheetView guid="{E0AF2585-D166-4CBA-8664-0A24674CFAF8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DAF2D55-C85C-42CC-97E9-4B596B444E4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079BA01-902B-4C06-91F5-DAFF8F7CCF2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53364DD-B514-4EA2-8A9F-51739C5C6493}" filter="1" showAutoFilter="1">
      <autoFilter ref="$A$2:$CD$395">
        <filterColumn colId="7">
          <filters>
            <filter val="Inativo"/>
          </filters>
        </filterColumn>
      </autoFilter>
    </customSheetView>
    <customSheetView guid="{C5A526B1-B488-46A7-A394-1C2652CF562E}" filter="1" showAutoFilter="1">
      <autoFilter ref="$B$2:$BR$395"/>
    </customSheetView>
    <customSheetView guid="{8C91DC57-0262-445C-914E-B6F2732BDF0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5788DD4-C243-4F7C-BB9D-BE988D4E0E5E}" filter="1" showAutoFilter="1">
      <autoFilter ref="$B$2:$BS$395"/>
    </customSheetView>
    <customSheetView guid="{DBDCCE48-4A0D-476D-9B45-8063C31CBB73}" filter="1" showAutoFilter="1">
      <autoFilter ref="$A$1:$CB$395"/>
    </customSheetView>
    <customSheetView guid="{423350F7-2108-43BC-A31E-A367EEBBA113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090F16F-BD9E-479B-AFD5-820BB42AB0DC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71C59E0E-1882-4CF3-B4E8-9A991F40DD3D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6FB1A09-FD62-4025-928B-7E80270CDB6C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9FE1536-2AAE-4F09-8322-C59B92DEE01A}" filter="1" showAutoFilter="1">
      <autoFilter ref="$A$2:$CB$395"/>
    </customSheetView>
    <customSheetView guid="{7F0A67C3-03F1-4BCC-B437-089B1EA42E65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DAD74BE-86DE-4367-A5CC-7F0296794B75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3C9C460F-7DEE-4D1A-871D-BBB862AA7E25}" filter="1" showAutoFilter="1">
      <autoFilter ref="$B$2:$BR$395"/>
    </customSheetView>
    <customSheetView guid="{F40E1BC1-10E8-49B7-B93C-0C0203EE3CE5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D16A5FC9-148E-4A75-B7F7-DEC824DC0AC8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AB3ED06F-4D46-40A9-9768-3CC98FCAEF1A}" filter="1" showAutoFilter="1">
      <autoFilter ref="$A$1:$CC$395"/>
    </customSheetView>
    <customSheetView guid="{66EC0AA8-93B3-4E99-AC53-0ABE46566A17}" filter="1" showAutoFilter="1">
      <autoFilter ref="$B$2:$BS$395"/>
    </customSheetView>
    <customSheetView guid="{5E270B86-1321-4BA0-ADAE-BC61EAE9B580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3901DF9-4514-409A-96E9-8200D43B9608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62</v>
      </c>
      <c r="G1" s="420" t="s">
        <v>63</v>
      </c>
      <c r="H1" s="30" t="s">
        <v>64</v>
      </c>
      <c r="J1" s="28" t="s">
        <v>62</v>
      </c>
      <c r="Q1" s="421" t="s">
        <v>2367</v>
      </c>
      <c r="R1" s="422" t="s">
        <v>2366</v>
      </c>
      <c r="S1" s="33" t="s">
        <v>66</v>
      </c>
      <c r="Y1" s="33"/>
      <c r="Z1" s="34" t="s">
        <v>67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68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69</v>
      </c>
      <c r="H2" s="2" t="s">
        <v>70</v>
      </c>
      <c r="I2" s="1" t="s">
        <v>71</v>
      </c>
      <c r="J2" s="2" t="s">
        <v>72</v>
      </c>
      <c r="K2" s="37" t="s">
        <v>73</v>
      </c>
      <c r="L2" s="37" t="s">
        <v>74</v>
      </c>
      <c r="M2" s="37" t="s">
        <v>9</v>
      </c>
      <c r="N2" s="39" t="s">
        <v>75</v>
      </c>
      <c r="O2" s="3" t="s">
        <v>76</v>
      </c>
      <c r="P2" s="40" t="s">
        <v>12</v>
      </c>
      <c r="Q2" s="4" t="s">
        <v>77</v>
      </c>
      <c r="R2" s="4" t="s">
        <v>79</v>
      </c>
      <c r="S2" s="2" t="s">
        <v>80</v>
      </c>
      <c r="T2" s="306" t="s">
        <v>31</v>
      </c>
      <c r="U2" s="37" t="s">
        <v>32</v>
      </c>
      <c r="V2" s="1" t="s">
        <v>81</v>
      </c>
      <c r="W2" s="3" t="s">
        <v>33</v>
      </c>
      <c r="X2" s="3" t="s">
        <v>34</v>
      </c>
      <c r="Y2" s="1" t="s">
        <v>82</v>
      </c>
      <c r="Z2" s="2" t="s">
        <v>3435</v>
      </c>
      <c r="AA2" s="2" t="s">
        <v>3436</v>
      </c>
      <c r="AB2" s="2" t="s">
        <v>3437</v>
      </c>
      <c r="AC2" s="2" t="s">
        <v>3438</v>
      </c>
      <c r="AD2" s="2" t="s">
        <v>3439</v>
      </c>
      <c r="AE2" s="2" t="s">
        <v>3440</v>
      </c>
      <c r="AF2" s="2" t="s">
        <v>3441</v>
      </c>
      <c r="AG2" s="2" t="s">
        <v>3442</v>
      </c>
      <c r="AH2" s="2" t="s">
        <v>3443</v>
      </c>
      <c r="AI2" s="2" t="s">
        <v>3444</v>
      </c>
      <c r="AJ2" s="34" t="s">
        <v>3445</v>
      </c>
      <c r="AK2" s="424" t="s">
        <v>3446</v>
      </c>
      <c r="AL2" s="424" t="s">
        <v>3447</v>
      </c>
      <c r="AM2" s="424" t="s">
        <v>3448</v>
      </c>
      <c r="AN2" s="424" t="s">
        <v>3449</v>
      </c>
      <c r="AO2" s="424" t="s">
        <v>3450</v>
      </c>
      <c r="AP2" s="424" t="s">
        <v>3451</v>
      </c>
      <c r="AQ2" s="424" t="s">
        <v>3452</v>
      </c>
      <c r="AR2" s="424" t="s">
        <v>3453</v>
      </c>
      <c r="AS2" s="424" t="s">
        <v>3454</v>
      </c>
      <c r="AT2" s="424" t="s">
        <v>3455</v>
      </c>
      <c r="AU2" s="425" t="s">
        <v>3456</v>
      </c>
      <c r="AV2" s="425" t="s">
        <v>3457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3458</v>
      </c>
      <c r="B3" s="429" t="s">
        <v>3459</v>
      </c>
      <c r="C3" s="430" t="s">
        <v>3460</v>
      </c>
      <c r="D3" s="312" t="s">
        <v>18</v>
      </c>
      <c r="E3" s="92" t="s">
        <v>29</v>
      </c>
      <c r="F3" s="431" t="s">
        <v>137</v>
      </c>
      <c r="G3" s="432" t="s">
        <v>3461</v>
      </c>
      <c r="H3" s="433" t="s">
        <v>157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60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329</v>
      </c>
      <c r="T3" s="438" t="s">
        <v>3462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95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3458</v>
      </c>
      <c r="B4" s="445" t="s">
        <v>192</v>
      </c>
      <c r="C4" s="446" t="s">
        <v>3463</v>
      </c>
      <c r="D4" s="312" t="s">
        <v>18</v>
      </c>
      <c r="E4" s="92" t="s">
        <v>29</v>
      </c>
      <c r="F4" s="447" t="s">
        <v>110</v>
      </c>
      <c r="G4" s="432" t="s">
        <v>3461</v>
      </c>
      <c r="H4" s="433" t="s">
        <v>116</v>
      </c>
      <c r="I4" s="53" t="s">
        <v>609</v>
      </c>
      <c r="J4" s="312" t="str">
        <f t="shared" si="1"/>
        <v>Não</v>
      </c>
      <c r="K4" s="448">
        <v>44075.0</v>
      </c>
      <c r="L4" s="449"/>
      <c r="M4" s="450" t="s">
        <v>111</v>
      </c>
      <c r="N4" s="451">
        <v>0.015</v>
      </c>
      <c r="O4" s="94" t="s">
        <v>24</v>
      </c>
      <c r="P4" s="155">
        <v>0.0</v>
      </c>
      <c r="Q4" s="429"/>
      <c r="R4" s="62" t="s">
        <v>3464</v>
      </c>
      <c r="S4" s="24" t="s">
        <v>89</v>
      </c>
      <c r="T4" s="452" t="s">
        <v>194</v>
      </c>
      <c r="U4" s="453" t="s">
        <v>195</v>
      </c>
      <c r="V4" s="440" t="str">
        <f t="shared" si="2"/>
        <v>Ativo</v>
      </c>
      <c r="W4" s="24"/>
      <c r="X4" s="25" t="s">
        <v>95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3458</v>
      </c>
      <c r="B5" s="454" t="s">
        <v>3465</v>
      </c>
      <c r="C5" s="455" t="s">
        <v>3466</v>
      </c>
      <c r="D5" s="312" t="s">
        <v>18</v>
      </c>
      <c r="E5" s="92" t="s">
        <v>29</v>
      </c>
      <c r="F5" s="447" t="s">
        <v>44</v>
      </c>
      <c r="G5" s="432" t="s">
        <v>3461</v>
      </c>
      <c r="H5" s="456" t="s">
        <v>88</v>
      </c>
      <c r="I5" s="48" t="s">
        <v>24</v>
      </c>
      <c r="J5" s="312" t="str">
        <f t="shared" si="1"/>
        <v>Não</v>
      </c>
      <c r="K5" s="448"/>
      <c r="L5" s="449"/>
      <c r="M5" s="436" t="s">
        <v>60</v>
      </c>
      <c r="N5" s="451">
        <v>0.012</v>
      </c>
      <c r="O5" s="94" t="s">
        <v>24</v>
      </c>
      <c r="P5" s="155">
        <v>0.0</v>
      </c>
      <c r="Q5" s="429"/>
      <c r="R5" s="52"/>
      <c r="S5" s="24" t="s">
        <v>89</v>
      </c>
      <c r="T5" s="457" t="s">
        <v>3467</v>
      </c>
      <c r="U5" s="458" t="s">
        <v>29</v>
      </c>
      <c r="V5" s="440" t="str">
        <f t="shared" si="2"/>
        <v>Ativo</v>
      </c>
      <c r="W5" s="24"/>
      <c r="X5" s="25" t="s">
        <v>95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3458</v>
      </c>
      <c r="B6" s="445" t="s">
        <v>3468</v>
      </c>
      <c r="C6" s="446" t="s">
        <v>3469</v>
      </c>
      <c r="D6" s="312" t="s">
        <v>18</v>
      </c>
      <c r="E6" s="92" t="s">
        <v>29</v>
      </c>
      <c r="F6" s="450" t="s">
        <v>3470</v>
      </c>
      <c r="G6" s="432" t="s">
        <v>3461</v>
      </c>
      <c r="H6" s="456" t="s">
        <v>157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243</v>
      </c>
      <c r="N6" s="451">
        <v>0.02</v>
      </c>
      <c r="O6" s="94" t="s">
        <v>46</v>
      </c>
      <c r="P6" s="155">
        <v>0.2</v>
      </c>
      <c r="Q6" s="103" t="s">
        <v>3471</v>
      </c>
      <c r="R6" s="62"/>
      <c r="S6" s="24" t="s">
        <v>89</v>
      </c>
      <c r="T6" s="452" t="s">
        <v>3472</v>
      </c>
      <c r="U6" s="453" t="s">
        <v>29</v>
      </c>
      <c r="V6" s="440" t="str">
        <f t="shared" si="2"/>
        <v>Encerrado</v>
      </c>
      <c r="W6" s="24"/>
      <c r="X6" s="25" t="s">
        <v>95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2396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3458</v>
      </c>
      <c r="B7" s="445" t="s">
        <v>3473</v>
      </c>
      <c r="C7" s="446" t="s">
        <v>3474</v>
      </c>
      <c r="D7" s="312" t="s">
        <v>18</v>
      </c>
      <c r="E7" s="92" t="s">
        <v>29</v>
      </c>
      <c r="F7" s="447" t="s">
        <v>333</v>
      </c>
      <c r="G7" s="432" t="s">
        <v>3461</v>
      </c>
      <c r="H7" s="433" t="s">
        <v>116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162</v>
      </c>
      <c r="N7" s="460">
        <v>0.02</v>
      </c>
      <c r="O7" s="94" t="s">
        <v>163</v>
      </c>
      <c r="P7" s="155">
        <v>0.2</v>
      </c>
      <c r="Q7" s="429"/>
      <c r="R7" s="52"/>
      <c r="S7" s="24" t="s">
        <v>89</v>
      </c>
      <c r="T7" s="452" t="s">
        <v>2493</v>
      </c>
      <c r="U7" s="453" t="s">
        <v>715</v>
      </c>
      <c r="V7" s="440" t="str">
        <f t="shared" si="2"/>
        <v>Inativo</v>
      </c>
      <c r="W7" s="24"/>
      <c r="X7" s="25" t="s">
        <v>95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2396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3458</v>
      </c>
      <c r="B8" s="462" t="s">
        <v>387</v>
      </c>
      <c r="C8" s="446" t="s">
        <v>3475</v>
      </c>
      <c r="D8" s="312" t="s">
        <v>18</v>
      </c>
      <c r="E8" s="92" t="s">
        <v>29</v>
      </c>
      <c r="F8" s="447" t="s">
        <v>110</v>
      </c>
      <c r="G8" s="432" t="s">
        <v>3461</v>
      </c>
      <c r="H8" s="433" t="s">
        <v>116</v>
      </c>
      <c r="I8" s="53" t="s">
        <v>161</v>
      </c>
      <c r="J8" s="312" t="str">
        <f>IF(R8=0,"Não","Sim")</f>
        <v>Sim</v>
      </c>
      <c r="K8" s="448">
        <v>43934.0</v>
      </c>
      <c r="L8" s="449"/>
      <c r="M8" s="450" t="s">
        <v>243</v>
      </c>
      <c r="N8" s="451">
        <v>0.02</v>
      </c>
      <c r="O8" s="94" t="s">
        <v>46</v>
      </c>
      <c r="P8" s="155">
        <v>0.2</v>
      </c>
      <c r="Q8" s="463"/>
      <c r="R8" s="464" t="s">
        <v>3476</v>
      </c>
      <c r="S8" s="24" t="s">
        <v>89</v>
      </c>
      <c r="T8" s="452" t="s">
        <v>389</v>
      </c>
      <c r="U8" s="453" t="s">
        <v>29</v>
      </c>
      <c r="V8" s="440" t="str">
        <f t="shared" si="2"/>
        <v>Ativo</v>
      </c>
      <c r="W8" s="24"/>
      <c r="X8" s="25" t="s">
        <v>95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3458</v>
      </c>
      <c r="B9" s="445" t="s">
        <v>2546</v>
      </c>
      <c r="C9" s="446" t="s">
        <v>3477</v>
      </c>
      <c r="D9" s="312" t="s">
        <v>18</v>
      </c>
      <c r="E9" s="92" t="s">
        <v>29</v>
      </c>
      <c r="F9" s="447" t="s">
        <v>2633</v>
      </c>
      <c r="G9" s="432" t="s">
        <v>3461</v>
      </c>
      <c r="H9" s="433" t="s">
        <v>116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243</v>
      </c>
      <c r="N9" s="460">
        <v>0.01</v>
      </c>
      <c r="O9" s="94" t="s">
        <v>46</v>
      </c>
      <c r="P9" s="155">
        <v>0.15</v>
      </c>
      <c r="Q9" s="103" t="s">
        <v>3471</v>
      </c>
      <c r="R9" s="109"/>
      <c r="S9" s="24" t="s">
        <v>89</v>
      </c>
      <c r="T9" s="452" t="s">
        <v>2549</v>
      </c>
      <c r="U9" s="453" t="s">
        <v>29</v>
      </c>
      <c r="V9" s="440" t="str">
        <f t="shared" si="2"/>
        <v>Inativo</v>
      </c>
      <c r="W9" s="24"/>
      <c r="X9" s="25" t="s">
        <v>95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2396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3458</v>
      </c>
      <c r="B10" s="445" t="s">
        <v>3478</v>
      </c>
      <c r="C10" s="455" t="s">
        <v>3479</v>
      </c>
      <c r="D10" s="312" t="s">
        <v>18</v>
      </c>
      <c r="E10" s="92" t="s">
        <v>29</v>
      </c>
      <c r="F10" s="447" t="s">
        <v>2633</v>
      </c>
      <c r="G10" s="432" t="s">
        <v>3461</v>
      </c>
      <c r="H10" s="433" t="s">
        <v>116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111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89</v>
      </c>
      <c r="T10" s="452" t="s">
        <v>3480</v>
      </c>
      <c r="U10" s="453" t="s">
        <v>29</v>
      </c>
      <c r="V10" s="440" t="str">
        <f t="shared" si="2"/>
        <v>Inativo</v>
      </c>
      <c r="W10" s="24"/>
      <c r="X10" s="25" t="s">
        <v>95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3458</v>
      </c>
      <c r="B11" s="445" t="s">
        <v>3481</v>
      </c>
      <c r="C11" s="455" t="s">
        <v>3482</v>
      </c>
      <c r="D11" s="312" t="s">
        <v>18</v>
      </c>
      <c r="E11" s="92" t="s">
        <v>29</v>
      </c>
      <c r="F11" s="447" t="s">
        <v>18</v>
      </c>
      <c r="G11" s="432" t="s">
        <v>3461</v>
      </c>
      <c r="H11" s="433" t="s">
        <v>116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111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89</v>
      </c>
      <c r="T11" s="452" t="s">
        <v>3483</v>
      </c>
      <c r="U11" s="453" t="s">
        <v>29</v>
      </c>
      <c r="V11" s="440" t="str">
        <f t="shared" si="2"/>
        <v>Inativo</v>
      </c>
      <c r="W11" s="24"/>
      <c r="X11" s="25" t="s">
        <v>95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3458</v>
      </c>
      <c r="B12" s="465" t="s">
        <v>3484</v>
      </c>
      <c r="C12" s="455" t="s">
        <v>3485</v>
      </c>
      <c r="D12" s="312" t="s">
        <v>86</v>
      </c>
      <c r="E12" s="92" t="s">
        <v>29</v>
      </c>
      <c r="F12" s="447" t="s">
        <v>3486</v>
      </c>
      <c r="G12" s="432" t="s">
        <v>3461</v>
      </c>
      <c r="H12" s="456" t="s">
        <v>157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111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89</v>
      </c>
      <c r="T12" s="452" t="s">
        <v>3487</v>
      </c>
      <c r="U12" s="458" t="s">
        <v>29</v>
      </c>
      <c r="V12" s="440" t="str">
        <f t="shared" si="2"/>
        <v>Encerrado</v>
      </c>
      <c r="W12" s="24"/>
      <c r="X12" s="25" t="s">
        <v>95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3458</v>
      </c>
      <c r="B13" s="445" t="s">
        <v>3488</v>
      </c>
      <c r="C13" s="455" t="s">
        <v>3489</v>
      </c>
      <c r="D13" s="312" t="s">
        <v>18</v>
      </c>
      <c r="E13" s="92" t="s">
        <v>29</v>
      </c>
      <c r="F13" s="447" t="s">
        <v>2633</v>
      </c>
      <c r="G13" s="432" t="s">
        <v>3461</v>
      </c>
      <c r="H13" s="456" t="s">
        <v>157</v>
      </c>
      <c r="I13" s="48" t="s">
        <v>24</v>
      </c>
      <c r="J13" s="312" t="str">
        <f t="shared" si="3"/>
        <v>Não</v>
      </c>
      <c r="K13" s="467" t="s">
        <v>2429</v>
      </c>
      <c r="L13" s="449"/>
      <c r="M13" s="450" t="s">
        <v>111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89</v>
      </c>
      <c r="T13" s="452" t="s">
        <v>3490</v>
      </c>
      <c r="U13" s="453" t="s">
        <v>29</v>
      </c>
      <c r="V13" s="440" t="str">
        <f t="shared" si="2"/>
        <v>Encerrado</v>
      </c>
      <c r="W13" s="24"/>
      <c r="X13" s="25" t="s">
        <v>95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2396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3458</v>
      </c>
      <c r="B14" s="465" t="s">
        <v>863</v>
      </c>
      <c r="C14" s="446" t="s">
        <v>3491</v>
      </c>
      <c r="D14" s="312" t="s">
        <v>18</v>
      </c>
      <c r="E14" s="92" t="s">
        <v>29</v>
      </c>
      <c r="F14" s="447" t="s">
        <v>865</v>
      </c>
      <c r="G14" s="432" t="s">
        <v>3461</v>
      </c>
      <c r="H14" s="433" t="s">
        <v>116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162</v>
      </c>
      <c r="N14" s="460">
        <v>0.023</v>
      </c>
      <c r="O14" s="94" t="s">
        <v>163</v>
      </c>
      <c r="P14" s="155">
        <v>0.2</v>
      </c>
      <c r="Q14" s="429" t="s">
        <v>3492</v>
      </c>
      <c r="R14" s="134" t="s">
        <v>3493</v>
      </c>
      <c r="S14" s="24" t="s">
        <v>89</v>
      </c>
      <c r="T14" s="452" t="s">
        <v>867</v>
      </c>
      <c r="U14" s="458" t="s">
        <v>121</v>
      </c>
      <c r="V14" s="440" t="str">
        <f t="shared" si="2"/>
        <v>Ativo</v>
      </c>
      <c r="W14" s="24"/>
      <c r="X14" s="25" t="s">
        <v>95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3458</v>
      </c>
      <c r="B15" s="445" t="s">
        <v>3494</v>
      </c>
      <c r="C15" s="446" t="s">
        <v>3495</v>
      </c>
      <c r="D15" s="312" t="s">
        <v>2379</v>
      </c>
      <c r="E15" s="92" t="s">
        <v>29</v>
      </c>
      <c r="F15" s="447" t="s">
        <v>2379</v>
      </c>
      <c r="G15" s="432" t="s">
        <v>3461</v>
      </c>
      <c r="H15" s="433" t="s">
        <v>116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162</v>
      </c>
      <c r="N15" s="460">
        <v>0.025</v>
      </c>
      <c r="O15" s="94" t="s">
        <v>163</v>
      </c>
      <c r="P15" s="155">
        <v>0.2</v>
      </c>
      <c r="Q15" s="429"/>
      <c r="R15" s="468"/>
      <c r="S15" s="24" t="s">
        <v>89</v>
      </c>
      <c r="T15" s="452" t="s">
        <v>3496</v>
      </c>
      <c r="U15" s="453" t="s">
        <v>3497</v>
      </c>
      <c r="V15" s="440" t="str">
        <f t="shared" si="2"/>
        <v>Ativo</v>
      </c>
      <c r="W15" s="24"/>
      <c r="X15" s="25" t="s">
        <v>95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3458</v>
      </c>
      <c r="B16" s="445" t="s">
        <v>3498</v>
      </c>
      <c r="C16" s="446" t="s">
        <v>3499</v>
      </c>
      <c r="D16" s="312" t="s">
        <v>18</v>
      </c>
      <c r="E16" s="92" t="s">
        <v>29</v>
      </c>
      <c r="F16" s="450" t="s">
        <v>110</v>
      </c>
      <c r="G16" s="432" t="s">
        <v>3461</v>
      </c>
      <c r="H16" s="456" t="s">
        <v>88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60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89</v>
      </c>
      <c r="T16" s="452" t="s">
        <v>3500</v>
      </c>
      <c r="U16" s="453" t="s">
        <v>29</v>
      </c>
      <c r="V16" s="440" t="str">
        <f t="shared" si="2"/>
        <v>Ativo</v>
      </c>
      <c r="W16" s="24"/>
      <c r="X16" s="25" t="s">
        <v>95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3458</v>
      </c>
      <c r="B17" s="445" t="s">
        <v>3501</v>
      </c>
      <c r="C17" s="446" t="s">
        <v>3502</v>
      </c>
      <c r="D17" s="312" t="s">
        <v>18</v>
      </c>
      <c r="E17" s="92" t="s">
        <v>29</v>
      </c>
      <c r="F17" s="450" t="s">
        <v>3503</v>
      </c>
      <c r="G17" s="432" t="s">
        <v>3461</v>
      </c>
      <c r="H17" s="456" t="s">
        <v>157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111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89</v>
      </c>
      <c r="T17" s="452" t="s">
        <v>3504</v>
      </c>
      <c r="U17" s="453" t="s">
        <v>29</v>
      </c>
      <c r="V17" s="440" t="str">
        <f t="shared" si="2"/>
        <v>Encerrado</v>
      </c>
      <c r="W17" s="24"/>
      <c r="X17" s="25" t="s">
        <v>95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2396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3458</v>
      </c>
      <c r="B18" s="445" t="s">
        <v>1354</v>
      </c>
      <c r="C18" s="446" t="s">
        <v>3505</v>
      </c>
      <c r="D18" s="312" t="s">
        <v>18</v>
      </c>
      <c r="E18" s="92" t="s">
        <v>29</v>
      </c>
      <c r="F18" s="447" t="s">
        <v>633</v>
      </c>
      <c r="G18" s="432" t="s">
        <v>3461</v>
      </c>
      <c r="H18" s="433" t="s">
        <v>116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60</v>
      </c>
      <c r="N18" s="460">
        <v>0.012</v>
      </c>
      <c r="O18" s="94" t="s">
        <v>24</v>
      </c>
      <c r="P18" s="155">
        <v>0.0</v>
      </c>
      <c r="Q18" s="463"/>
      <c r="R18" s="429" t="s">
        <v>3506</v>
      </c>
      <c r="S18" s="24" t="s">
        <v>89</v>
      </c>
      <c r="T18" s="452" t="s">
        <v>1356</v>
      </c>
      <c r="U18" s="453" t="s">
        <v>29</v>
      </c>
      <c r="V18" s="440" t="str">
        <f t="shared" si="2"/>
        <v>Inativo</v>
      </c>
      <c r="W18" s="24"/>
      <c r="X18" s="25" t="s">
        <v>95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3458</v>
      </c>
      <c r="B19" s="445" t="s">
        <v>3507</v>
      </c>
      <c r="C19" s="446" t="s">
        <v>3508</v>
      </c>
      <c r="D19" s="312" t="s">
        <v>18</v>
      </c>
      <c r="E19" s="92" t="s">
        <v>29</v>
      </c>
      <c r="F19" s="450" t="s">
        <v>2052</v>
      </c>
      <c r="G19" s="432" t="s">
        <v>3461</v>
      </c>
      <c r="H19" s="456" t="s">
        <v>157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111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89</v>
      </c>
      <c r="T19" s="452" t="s">
        <v>1367</v>
      </c>
      <c r="U19" s="453" t="s">
        <v>29</v>
      </c>
      <c r="V19" s="440" t="str">
        <f t="shared" si="2"/>
        <v>Encerrado</v>
      </c>
      <c r="W19" s="24"/>
      <c r="X19" s="25" t="s">
        <v>95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3458</v>
      </c>
      <c r="B20" s="445" t="s">
        <v>3509</v>
      </c>
      <c r="C20" s="446" t="s">
        <v>3510</v>
      </c>
      <c r="D20" s="312" t="s">
        <v>18</v>
      </c>
      <c r="E20" s="92" t="s">
        <v>29</v>
      </c>
      <c r="F20" s="447" t="s">
        <v>3511</v>
      </c>
      <c r="G20" s="432" t="s">
        <v>3461</v>
      </c>
      <c r="H20" s="433" t="s">
        <v>116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45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89</v>
      </c>
      <c r="T20" s="452" t="s">
        <v>3512</v>
      </c>
      <c r="U20" s="453" t="s">
        <v>19</v>
      </c>
      <c r="V20" s="440" t="str">
        <f t="shared" si="2"/>
        <v>Inativo</v>
      </c>
      <c r="W20" s="24"/>
      <c r="X20" s="25" t="s">
        <v>95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2396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3458</v>
      </c>
      <c r="B21" s="445" t="s">
        <v>3513</v>
      </c>
      <c r="C21" s="446" t="s">
        <v>3514</v>
      </c>
      <c r="D21" s="312" t="s">
        <v>18</v>
      </c>
      <c r="E21" s="92" t="s">
        <v>29</v>
      </c>
      <c r="F21" s="450" t="s">
        <v>633</v>
      </c>
      <c r="G21" s="432" t="s">
        <v>3461</v>
      </c>
      <c r="H21" s="456" t="s">
        <v>157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243</v>
      </c>
      <c r="N21" s="451">
        <v>0.015</v>
      </c>
      <c r="O21" s="94" t="s">
        <v>46</v>
      </c>
      <c r="P21" s="155">
        <v>0.2</v>
      </c>
      <c r="Q21" s="464"/>
      <c r="R21" s="103"/>
      <c r="S21" s="24" t="s">
        <v>89</v>
      </c>
      <c r="T21" s="452" t="s">
        <v>3515</v>
      </c>
      <c r="U21" s="453" t="s">
        <v>29</v>
      </c>
      <c r="V21" s="440" t="str">
        <f t="shared" si="2"/>
        <v>Encerrado</v>
      </c>
      <c r="W21" s="24"/>
      <c r="X21" s="25" t="s">
        <v>95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2396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3458</v>
      </c>
      <c r="B22" s="445" t="s">
        <v>3516</v>
      </c>
      <c r="C22" s="446" t="s">
        <v>3517</v>
      </c>
      <c r="D22" s="312" t="s">
        <v>18</v>
      </c>
      <c r="E22" s="92" t="s">
        <v>29</v>
      </c>
      <c r="F22" s="447" t="s">
        <v>633</v>
      </c>
      <c r="G22" s="432" t="s">
        <v>3461</v>
      </c>
      <c r="H22" s="433" t="s">
        <v>116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243</v>
      </c>
      <c r="N22" s="451">
        <v>0.02</v>
      </c>
      <c r="O22" s="94" t="s">
        <v>46</v>
      </c>
      <c r="P22" s="155">
        <v>0.2</v>
      </c>
      <c r="Q22" s="429"/>
      <c r="R22" s="52"/>
      <c r="S22" s="24" t="s">
        <v>89</v>
      </c>
      <c r="T22" s="452" t="s">
        <v>3518</v>
      </c>
      <c r="U22" s="453" t="s">
        <v>19</v>
      </c>
      <c r="V22" s="440" t="str">
        <f t="shared" si="2"/>
        <v>Ativo</v>
      </c>
      <c r="W22" s="24"/>
      <c r="X22" s="25" t="s">
        <v>95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3458</v>
      </c>
      <c r="B23" s="445" t="s">
        <v>3519</v>
      </c>
      <c r="C23" s="446" t="s">
        <v>3520</v>
      </c>
      <c r="D23" s="312" t="s">
        <v>18</v>
      </c>
      <c r="E23" s="92" t="s">
        <v>29</v>
      </c>
      <c r="F23" s="447" t="s">
        <v>110</v>
      </c>
      <c r="G23" s="432" t="s">
        <v>3461</v>
      </c>
      <c r="H23" s="433" t="s">
        <v>116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243</v>
      </c>
      <c r="N23" s="451">
        <v>0.02</v>
      </c>
      <c r="O23" s="94" t="s">
        <v>46</v>
      </c>
      <c r="P23" s="155">
        <v>0.2</v>
      </c>
      <c r="Q23" s="429"/>
      <c r="R23" s="52"/>
      <c r="S23" s="24" t="s">
        <v>89</v>
      </c>
      <c r="T23" s="452" t="s">
        <v>3521</v>
      </c>
      <c r="U23" s="453" t="s">
        <v>29</v>
      </c>
      <c r="V23" s="440" t="str">
        <f t="shared" si="2"/>
        <v>Inativo</v>
      </c>
      <c r="W23" s="24"/>
      <c r="X23" s="25" t="s">
        <v>95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2396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3458</v>
      </c>
      <c r="B24" s="445" t="s">
        <v>3522</v>
      </c>
      <c r="C24" s="446" t="s">
        <v>3523</v>
      </c>
      <c r="D24" s="312" t="s">
        <v>18</v>
      </c>
      <c r="E24" s="92" t="s">
        <v>29</v>
      </c>
      <c r="F24" s="447" t="s">
        <v>2435</v>
      </c>
      <c r="G24" s="432" t="s">
        <v>3461</v>
      </c>
      <c r="H24" s="433" t="s">
        <v>116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162</v>
      </c>
      <c r="N24" s="451">
        <v>0.0</v>
      </c>
      <c r="O24" s="94" t="s">
        <v>24</v>
      </c>
      <c r="P24" s="155">
        <v>0.0</v>
      </c>
      <c r="Q24" s="463"/>
      <c r="R24" s="429" t="s">
        <v>3524</v>
      </c>
      <c r="S24" s="24" t="s">
        <v>89</v>
      </c>
      <c r="T24" s="452" t="s">
        <v>3525</v>
      </c>
      <c r="U24" s="453" t="s">
        <v>715</v>
      </c>
      <c r="V24" s="440" t="str">
        <f t="shared" si="2"/>
        <v>Inativo</v>
      </c>
      <c r="W24" s="24"/>
      <c r="X24" s="25" t="s">
        <v>95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3458</v>
      </c>
      <c r="B25" s="445" t="s">
        <v>3526</v>
      </c>
      <c r="C25" s="446" t="s">
        <v>3527</v>
      </c>
      <c r="D25" s="312" t="s">
        <v>18</v>
      </c>
      <c r="E25" s="92" t="s">
        <v>29</v>
      </c>
      <c r="F25" s="450" t="s">
        <v>3528</v>
      </c>
      <c r="G25" s="432" t="s">
        <v>3461</v>
      </c>
      <c r="H25" s="456" t="s">
        <v>157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111</v>
      </c>
      <c r="N25" s="451">
        <v>0.015</v>
      </c>
      <c r="O25" s="94" t="s">
        <v>24</v>
      </c>
      <c r="P25" s="155">
        <v>0.0</v>
      </c>
      <c r="Q25" s="464" t="s">
        <v>2419</v>
      </c>
      <c r="R25" s="134" t="s">
        <v>3529</v>
      </c>
      <c r="S25" s="24" t="s">
        <v>89</v>
      </c>
      <c r="T25" s="452" t="s">
        <v>3530</v>
      </c>
      <c r="U25" s="453" t="s">
        <v>19</v>
      </c>
      <c r="V25" s="440" t="str">
        <f t="shared" si="2"/>
        <v>Encerrado</v>
      </c>
      <c r="W25" s="24"/>
      <c r="X25" s="25" t="s">
        <v>95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2396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3458</v>
      </c>
      <c r="B26" s="445" t="s">
        <v>3531</v>
      </c>
      <c r="C26" s="446" t="s">
        <v>3532</v>
      </c>
      <c r="D26" s="312" t="s">
        <v>18</v>
      </c>
      <c r="E26" s="92" t="s">
        <v>29</v>
      </c>
      <c r="F26" s="447" t="s">
        <v>3533</v>
      </c>
      <c r="G26" s="432" t="s">
        <v>3461</v>
      </c>
      <c r="H26" s="456" t="s">
        <v>88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166</v>
      </c>
      <c r="N26" s="451">
        <v>0.008</v>
      </c>
      <c r="O26" s="94" t="s">
        <v>167</v>
      </c>
      <c r="P26" s="155">
        <v>0.1</v>
      </c>
      <c r="Q26" s="464" t="s">
        <v>3534</v>
      </c>
      <c r="R26" s="52"/>
      <c r="S26" s="24" t="s">
        <v>89</v>
      </c>
      <c r="T26" s="452" t="s">
        <v>3535</v>
      </c>
      <c r="U26" s="453" t="s">
        <v>715</v>
      </c>
      <c r="V26" s="440" t="str">
        <f t="shared" si="2"/>
        <v>Ativo</v>
      </c>
      <c r="W26" s="24"/>
      <c r="X26" s="25" t="s">
        <v>95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3458</v>
      </c>
      <c r="B27" s="445" t="s">
        <v>3536</v>
      </c>
      <c r="C27" s="446" t="s">
        <v>3537</v>
      </c>
      <c r="D27" s="312" t="s">
        <v>18</v>
      </c>
      <c r="E27" s="92" t="s">
        <v>29</v>
      </c>
      <c r="F27" s="450" t="s">
        <v>3503</v>
      </c>
      <c r="G27" s="432" t="s">
        <v>3461</v>
      </c>
      <c r="H27" s="456" t="s">
        <v>157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243</v>
      </c>
      <c r="N27" s="451">
        <v>0.02</v>
      </c>
      <c r="O27" s="94" t="s">
        <v>46</v>
      </c>
      <c r="P27" s="155">
        <v>0.2</v>
      </c>
      <c r="Q27" s="463"/>
      <c r="R27" s="464" t="s">
        <v>3538</v>
      </c>
      <c r="S27" s="24" t="s">
        <v>89</v>
      </c>
      <c r="T27" s="452" t="s">
        <v>3539</v>
      </c>
      <c r="U27" s="453" t="s">
        <v>29</v>
      </c>
      <c r="V27" s="440" t="str">
        <f t="shared" si="2"/>
        <v>Encerrado</v>
      </c>
      <c r="W27" s="24"/>
      <c r="X27" s="25" t="s">
        <v>95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2396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3458</v>
      </c>
      <c r="B28" s="445" t="s">
        <v>3540</v>
      </c>
      <c r="C28" s="446" t="s">
        <v>3541</v>
      </c>
      <c r="D28" s="312" t="s">
        <v>18</v>
      </c>
      <c r="E28" s="92" t="s">
        <v>29</v>
      </c>
      <c r="F28" s="447" t="s">
        <v>110</v>
      </c>
      <c r="G28" s="432" t="s">
        <v>3461</v>
      </c>
      <c r="H28" s="433" t="s">
        <v>116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111</v>
      </c>
      <c r="N28" s="460">
        <v>0.01</v>
      </c>
      <c r="O28" s="94" t="s">
        <v>24</v>
      </c>
      <c r="P28" s="155">
        <v>0.0</v>
      </c>
      <c r="Q28" s="52" t="s">
        <v>2419</v>
      </c>
      <c r="R28" s="52"/>
      <c r="S28" s="24" t="s">
        <v>89</v>
      </c>
      <c r="T28" s="452" t="s">
        <v>3542</v>
      </c>
      <c r="U28" s="453" t="s">
        <v>29</v>
      </c>
      <c r="V28" s="440" t="str">
        <f t="shared" si="2"/>
        <v>Inativo</v>
      </c>
      <c r="W28" s="24"/>
      <c r="X28" s="25" t="s">
        <v>95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2396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3458</v>
      </c>
      <c r="B29" s="445" t="s">
        <v>3543</v>
      </c>
      <c r="C29" s="446" t="s">
        <v>3544</v>
      </c>
      <c r="D29" s="312" t="s">
        <v>18</v>
      </c>
      <c r="E29" s="92" t="s">
        <v>29</v>
      </c>
      <c r="F29" s="450" t="s">
        <v>2052</v>
      </c>
      <c r="G29" s="432" t="s">
        <v>3461</v>
      </c>
      <c r="H29" s="456" t="s">
        <v>157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111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89</v>
      </c>
      <c r="T29" s="452" t="s">
        <v>2040</v>
      </c>
      <c r="U29" s="453" t="s">
        <v>29</v>
      </c>
      <c r="V29" s="440" t="str">
        <f t="shared" si="2"/>
        <v>Encerrado</v>
      </c>
      <c r="W29" s="24"/>
      <c r="X29" s="25" t="s">
        <v>95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3458</v>
      </c>
      <c r="B30" s="445" t="s">
        <v>3545</v>
      </c>
      <c r="C30" s="446" t="s">
        <v>3546</v>
      </c>
      <c r="D30" s="312" t="s">
        <v>18</v>
      </c>
      <c r="E30" s="92" t="s">
        <v>29</v>
      </c>
      <c r="F30" s="450" t="s">
        <v>2052</v>
      </c>
      <c r="G30" s="432" t="s">
        <v>3461</v>
      </c>
      <c r="H30" s="456" t="s">
        <v>157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45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89</v>
      </c>
      <c r="T30" s="452" t="s">
        <v>3547</v>
      </c>
      <c r="U30" s="453" t="s">
        <v>29</v>
      </c>
      <c r="V30" s="440" t="str">
        <f t="shared" si="2"/>
        <v>Encerrado</v>
      </c>
      <c r="W30" s="24"/>
      <c r="X30" s="25" t="s">
        <v>95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2396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3458</v>
      </c>
      <c r="B31" s="445" t="s">
        <v>3548</v>
      </c>
      <c r="C31" s="446" t="s">
        <v>3549</v>
      </c>
      <c r="D31" s="312" t="s">
        <v>18</v>
      </c>
      <c r="E31" s="92" t="s">
        <v>29</v>
      </c>
      <c r="F31" s="450" t="s">
        <v>2633</v>
      </c>
      <c r="G31" s="432" t="s">
        <v>3461</v>
      </c>
      <c r="H31" s="456" t="s">
        <v>157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243</v>
      </c>
      <c r="N31" s="451">
        <v>0.02</v>
      </c>
      <c r="O31" s="94" t="s">
        <v>46</v>
      </c>
      <c r="P31" s="155">
        <v>0.2</v>
      </c>
      <c r="Q31" s="429" t="s">
        <v>3550</v>
      </c>
      <c r="R31" s="52"/>
      <c r="S31" s="24" t="s">
        <v>89</v>
      </c>
      <c r="T31" s="452" t="s">
        <v>3551</v>
      </c>
      <c r="U31" s="453" t="s">
        <v>29</v>
      </c>
      <c r="V31" s="440" t="str">
        <f t="shared" si="2"/>
        <v>Encerrado</v>
      </c>
      <c r="W31" s="24"/>
      <c r="X31" s="25" t="s">
        <v>95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2396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2362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2363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2364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2365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6ABE31C0-E26C-48D4-98C8-D04880C01291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DDAD74BE-86DE-4367-A5CC-7F0296794B75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62</v>
      </c>
      <c r="G1" s="30" t="s">
        <v>63</v>
      </c>
      <c r="H1" s="30" t="s">
        <v>64</v>
      </c>
      <c r="J1" s="28" t="s">
        <v>62</v>
      </c>
      <c r="Q1" s="421" t="s">
        <v>2367</v>
      </c>
      <c r="R1" s="422" t="s">
        <v>2366</v>
      </c>
      <c r="S1" s="33" t="s">
        <v>66</v>
      </c>
      <c r="Y1" s="33"/>
      <c r="Z1" s="34" t="s">
        <v>67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68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69</v>
      </c>
      <c r="H2" s="2" t="s">
        <v>70</v>
      </c>
      <c r="I2" s="1" t="s">
        <v>71</v>
      </c>
      <c r="J2" s="2" t="s">
        <v>72</v>
      </c>
      <c r="K2" s="37" t="s">
        <v>73</v>
      </c>
      <c r="L2" s="37" t="s">
        <v>74</v>
      </c>
      <c r="M2" s="37" t="s">
        <v>9</v>
      </c>
      <c r="N2" s="39" t="s">
        <v>75</v>
      </c>
      <c r="O2" s="3" t="s">
        <v>76</v>
      </c>
      <c r="P2" s="40" t="s">
        <v>12</v>
      </c>
      <c r="Q2" s="4" t="s">
        <v>77</v>
      </c>
      <c r="R2" s="4" t="s">
        <v>79</v>
      </c>
      <c r="S2" s="2" t="s">
        <v>80</v>
      </c>
      <c r="T2" s="306" t="s">
        <v>31</v>
      </c>
      <c r="U2" s="37" t="s">
        <v>32</v>
      </c>
      <c r="V2" s="1" t="s">
        <v>81</v>
      </c>
      <c r="W2" s="3" t="s">
        <v>33</v>
      </c>
      <c r="X2" s="3" t="s">
        <v>34</v>
      </c>
      <c r="Y2" s="1" t="s">
        <v>82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3552</v>
      </c>
      <c r="B3" s="168" t="s">
        <v>3553</v>
      </c>
      <c r="C3" s="504">
        <v>1.100556E7</v>
      </c>
      <c r="D3" s="312" t="s">
        <v>18</v>
      </c>
      <c r="E3" s="92" t="s">
        <v>29</v>
      </c>
      <c r="F3" s="505" t="s">
        <v>110</v>
      </c>
      <c r="G3" s="506" t="s">
        <v>3461</v>
      </c>
      <c r="H3" s="48" t="s">
        <v>88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60</v>
      </c>
      <c r="N3" s="437">
        <v>0.012</v>
      </c>
      <c r="O3" s="94" t="s">
        <v>24</v>
      </c>
      <c r="P3" s="155">
        <v>0.0</v>
      </c>
      <c r="Q3" s="210"/>
      <c r="R3" s="52"/>
      <c r="S3" s="24" t="s">
        <v>89</v>
      </c>
      <c r="T3" s="507" t="s">
        <v>3554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95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3552</v>
      </c>
      <c r="B4" s="510" t="s">
        <v>3555</v>
      </c>
      <c r="C4" s="511">
        <v>1.094059E7</v>
      </c>
      <c r="D4" s="505" t="s">
        <v>18</v>
      </c>
      <c r="E4" s="512" t="s">
        <v>29</v>
      </c>
      <c r="F4" s="505" t="s">
        <v>333</v>
      </c>
      <c r="G4" s="506" t="s">
        <v>3461</v>
      </c>
      <c r="H4" s="513" t="s">
        <v>88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243</v>
      </c>
      <c r="N4" s="451">
        <v>0.02</v>
      </c>
      <c r="O4" s="515" t="s">
        <v>46</v>
      </c>
      <c r="P4" s="516">
        <v>0.2</v>
      </c>
      <c r="Q4" s="517" t="s">
        <v>3556</v>
      </c>
      <c r="R4" s="52"/>
      <c r="S4" s="24" t="s">
        <v>89</v>
      </c>
      <c r="T4" s="518" t="s">
        <v>2549</v>
      </c>
      <c r="U4" s="13" t="s">
        <v>29</v>
      </c>
      <c r="V4" s="508" t="str">
        <f t="shared" si="2"/>
        <v>Ativo</v>
      </c>
      <c r="W4" s="24"/>
      <c r="X4" s="25" t="s">
        <v>95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3552</v>
      </c>
      <c r="B5" s="519" t="s">
        <v>3557</v>
      </c>
      <c r="C5" s="520" t="s">
        <v>3558</v>
      </c>
      <c r="D5" s="312" t="s">
        <v>18</v>
      </c>
      <c r="E5" s="92" t="s">
        <v>29</v>
      </c>
      <c r="F5" s="504" t="s">
        <v>18</v>
      </c>
      <c r="G5" s="506" t="s">
        <v>3461</v>
      </c>
      <c r="H5" s="48" t="s">
        <v>88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111</v>
      </c>
      <c r="N5" s="451">
        <v>0.015</v>
      </c>
      <c r="O5" s="94" t="s">
        <v>46</v>
      </c>
      <c r="P5" s="155">
        <v>0.1</v>
      </c>
      <c r="Q5" s="210"/>
      <c r="R5" s="52"/>
      <c r="S5" s="24" t="s">
        <v>329</v>
      </c>
      <c r="T5" s="522" t="s">
        <v>3559</v>
      </c>
      <c r="U5" s="13" t="s">
        <v>29</v>
      </c>
      <c r="V5" s="508" t="str">
        <f t="shared" si="2"/>
        <v>Inativo</v>
      </c>
      <c r="W5" s="24"/>
      <c r="X5" s="25" t="s">
        <v>95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3552</v>
      </c>
      <c r="B6" s="168" t="s">
        <v>3560</v>
      </c>
      <c r="C6" s="504">
        <v>1.0982276E7</v>
      </c>
      <c r="D6" s="312" t="s">
        <v>18</v>
      </c>
      <c r="E6" s="92" t="s">
        <v>29</v>
      </c>
      <c r="F6" s="505" t="s">
        <v>3561</v>
      </c>
      <c r="G6" s="506" t="s">
        <v>3461</v>
      </c>
      <c r="H6" s="53" t="s">
        <v>116</v>
      </c>
      <c r="I6" s="53" t="s">
        <v>161</v>
      </c>
      <c r="J6" s="312" t="str">
        <f t="shared" si="1"/>
        <v>Não</v>
      </c>
      <c r="K6" s="448">
        <v>45019.0</v>
      </c>
      <c r="L6" s="24"/>
      <c r="M6" s="436" t="s">
        <v>60</v>
      </c>
      <c r="N6" s="451">
        <v>0.012</v>
      </c>
      <c r="O6" s="94" t="s">
        <v>24</v>
      </c>
      <c r="P6" s="155">
        <v>0.0</v>
      </c>
      <c r="Q6" s="210"/>
      <c r="R6" s="62"/>
      <c r="S6" s="24" t="s">
        <v>329</v>
      </c>
      <c r="T6" s="11" t="s">
        <v>1129</v>
      </c>
      <c r="U6" s="13" t="s">
        <v>121</v>
      </c>
      <c r="V6" s="508" t="str">
        <f t="shared" si="2"/>
        <v>Ativo</v>
      </c>
      <c r="W6" s="24"/>
      <c r="X6" s="25" t="s">
        <v>95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3552</v>
      </c>
      <c r="B7" s="149" t="s">
        <v>2959</v>
      </c>
      <c r="C7" s="523" t="s">
        <v>3562</v>
      </c>
      <c r="D7" s="317" t="s">
        <v>18</v>
      </c>
      <c r="E7" s="11" t="s">
        <v>29</v>
      </c>
      <c r="F7" s="505" t="s">
        <v>333</v>
      </c>
      <c r="G7" s="506" t="s">
        <v>3461</v>
      </c>
      <c r="H7" s="53" t="s">
        <v>88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60</v>
      </c>
      <c r="N7" s="524">
        <v>0.012</v>
      </c>
      <c r="O7" s="13" t="s">
        <v>24</v>
      </c>
      <c r="P7" s="525">
        <v>0.0</v>
      </c>
      <c r="Q7" s="210"/>
      <c r="R7" s="62"/>
      <c r="S7" s="25" t="s">
        <v>89</v>
      </c>
      <c r="T7" s="5" t="s">
        <v>2961</v>
      </c>
      <c r="U7" s="13" t="s">
        <v>121</v>
      </c>
      <c r="V7" s="508" t="str">
        <f t="shared" si="2"/>
        <v>Inativo</v>
      </c>
      <c r="W7" s="24"/>
      <c r="X7" s="25" t="s">
        <v>91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3552</v>
      </c>
      <c r="B8" s="519" t="s">
        <v>3563</v>
      </c>
      <c r="C8" s="151">
        <v>3844136.0</v>
      </c>
      <c r="D8" s="312" t="s">
        <v>18</v>
      </c>
      <c r="E8" s="92" t="s">
        <v>180</v>
      </c>
      <c r="F8" s="515" t="s">
        <v>512</v>
      </c>
      <c r="G8" s="506" t="s">
        <v>3461</v>
      </c>
      <c r="H8" s="48" t="s">
        <v>88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111</v>
      </c>
      <c r="N8" s="451">
        <v>0.015</v>
      </c>
      <c r="O8" s="94" t="s">
        <v>46</v>
      </c>
      <c r="P8" s="155">
        <v>0.1</v>
      </c>
      <c r="Q8" s="210"/>
      <c r="R8" s="62"/>
      <c r="S8" s="24" t="s">
        <v>89</v>
      </c>
      <c r="T8" s="522" t="s">
        <v>3564</v>
      </c>
      <c r="U8" s="13" t="s">
        <v>180</v>
      </c>
      <c r="V8" s="508" t="str">
        <f t="shared" si="2"/>
        <v>Ativo</v>
      </c>
      <c r="W8" s="24"/>
      <c r="X8" s="25" t="s">
        <v>95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3552</v>
      </c>
      <c r="B9" s="168" t="s">
        <v>1527</v>
      </c>
      <c r="C9" s="504">
        <v>1.093663E7</v>
      </c>
      <c r="D9" s="312" t="s">
        <v>18</v>
      </c>
      <c r="E9" s="92" t="s">
        <v>29</v>
      </c>
      <c r="F9" s="505" t="s">
        <v>633</v>
      </c>
      <c r="G9" s="506" t="s">
        <v>3461</v>
      </c>
      <c r="H9" s="53" t="s">
        <v>116</v>
      </c>
      <c r="I9" s="53" t="s">
        <v>161</v>
      </c>
      <c r="J9" s="312" t="str">
        <f t="shared" si="1"/>
        <v>Não</v>
      </c>
      <c r="K9" s="448">
        <v>45034.0</v>
      </c>
      <c r="L9" s="24"/>
      <c r="M9" s="436" t="s">
        <v>60</v>
      </c>
      <c r="N9" s="451">
        <v>0.007</v>
      </c>
      <c r="O9" s="94" t="s">
        <v>24</v>
      </c>
      <c r="P9" s="155">
        <v>0.0</v>
      </c>
      <c r="Q9" s="210"/>
      <c r="R9" s="52"/>
      <c r="S9" s="24" t="s">
        <v>89</v>
      </c>
      <c r="T9" s="507" t="s">
        <v>1529</v>
      </c>
      <c r="U9" s="13" t="s">
        <v>29</v>
      </c>
      <c r="V9" s="508" t="str">
        <f t="shared" si="2"/>
        <v>Ativo</v>
      </c>
      <c r="W9" s="24"/>
      <c r="X9" s="25" t="s">
        <v>95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3552</v>
      </c>
      <c r="B10" s="168" t="s">
        <v>1527</v>
      </c>
      <c r="C10" s="504">
        <v>1.0944986E7</v>
      </c>
      <c r="D10" s="312" t="s">
        <v>18</v>
      </c>
      <c r="E10" s="92" t="s">
        <v>29</v>
      </c>
      <c r="F10" s="505" t="s">
        <v>633</v>
      </c>
      <c r="G10" s="506" t="s">
        <v>3461</v>
      </c>
      <c r="H10" s="53" t="s">
        <v>116</v>
      </c>
      <c r="I10" s="53" t="s">
        <v>161</v>
      </c>
      <c r="J10" s="312" t="str">
        <f t="shared" si="1"/>
        <v>Não</v>
      </c>
      <c r="K10" s="448">
        <v>45000.0</v>
      </c>
      <c r="L10" s="24"/>
      <c r="M10" s="450" t="s">
        <v>162</v>
      </c>
      <c r="N10" s="451">
        <v>0.015</v>
      </c>
      <c r="O10" s="94" t="s">
        <v>24</v>
      </c>
      <c r="P10" s="155">
        <v>0.0</v>
      </c>
      <c r="Q10" s="210"/>
      <c r="R10" s="107" t="s">
        <v>3565</v>
      </c>
      <c r="S10" s="24" t="s">
        <v>89</v>
      </c>
      <c r="T10" s="507" t="s">
        <v>1529</v>
      </c>
      <c r="U10" s="13" t="s">
        <v>29</v>
      </c>
      <c r="V10" s="508" t="str">
        <f t="shared" si="2"/>
        <v>Ativo</v>
      </c>
      <c r="W10" s="24"/>
      <c r="X10" s="25" t="s">
        <v>95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3552</v>
      </c>
      <c r="B11" s="168" t="s">
        <v>3079</v>
      </c>
      <c r="C11" s="504">
        <v>1.1071318E7</v>
      </c>
      <c r="D11" s="312" t="s">
        <v>18</v>
      </c>
      <c r="E11" s="92" t="s">
        <v>29</v>
      </c>
      <c r="F11" s="505" t="s">
        <v>110</v>
      </c>
      <c r="G11" s="506" t="s">
        <v>3461</v>
      </c>
      <c r="H11" s="48" t="s">
        <v>88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45</v>
      </c>
      <c r="N11" s="451">
        <v>0.012</v>
      </c>
      <c r="O11" s="94" t="s">
        <v>24</v>
      </c>
      <c r="P11" s="155">
        <v>0.0</v>
      </c>
      <c r="Q11" s="210"/>
      <c r="R11" s="109"/>
      <c r="S11" s="24" t="s">
        <v>89</v>
      </c>
      <c r="T11" s="507" t="s">
        <v>3081</v>
      </c>
      <c r="U11" s="13" t="s">
        <v>29</v>
      </c>
      <c r="V11" s="508" t="str">
        <f t="shared" si="2"/>
        <v>Ativo</v>
      </c>
      <c r="W11" s="24"/>
      <c r="X11" s="25" t="s">
        <v>95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3552</v>
      </c>
      <c r="B12" s="168" t="s">
        <v>1551</v>
      </c>
      <c r="C12" s="504" t="s">
        <v>3566</v>
      </c>
      <c r="D12" s="312" t="s">
        <v>18</v>
      </c>
      <c r="E12" s="92" t="s">
        <v>29</v>
      </c>
      <c r="F12" s="505" t="s">
        <v>137</v>
      </c>
      <c r="G12" s="506" t="s">
        <v>3461</v>
      </c>
      <c r="H12" s="48" t="s">
        <v>116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60</v>
      </c>
      <c r="N12" s="451">
        <v>0.012</v>
      </c>
      <c r="O12" s="94" t="s">
        <v>24</v>
      </c>
      <c r="P12" s="155">
        <v>0.0</v>
      </c>
      <c r="Q12" s="210" t="s">
        <v>3567</v>
      </c>
      <c r="R12" s="52"/>
      <c r="S12" s="24" t="s">
        <v>89</v>
      </c>
      <c r="T12" s="507" t="s">
        <v>1554</v>
      </c>
      <c r="U12" s="13" t="s">
        <v>29</v>
      </c>
      <c r="V12" s="508" t="str">
        <f t="shared" si="2"/>
        <v>Ativo</v>
      </c>
      <c r="W12" s="24"/>
      <c r="X12" s="25" t="s">
        <v>95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3552</v>
      </c>
      <c r="B13" s="168" t="s">
        <v>3183</v>
      </c>
      <c r="C13" s="504">
        <v>1.1026371E7</v>
      </c>
      <c r="D13" s="312" t="s">
        <v>18</v>
      </c>
      <c r="E13" s="92" t="s">
        <v>29</v>
      </c>
      <c r="F13" s="505" t="s">
        <v>633</v>
      </c>
      <c r="G13" s="506" t="s">
        <v>3461</v>
      </c>
      <c r="H13" s="48" t="s">
        <v>88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111</v>
      </c>
      <c r="N13" s="451">
        <v>0.015</v>
      </c>
      <c r="O13" s="94" t="s">
        <v>46</v>
      </c>
      <c r="P13" s="155">
        <v>0.1</v>
      </c>
      <c r="Q13" s="526" t="s">
        <v>3568</v>
      </c>
      <c r="R13" s="466"/>
      <c r="S13" s="24" t="s">
        <v>89</v>
      </c>
      <c r="T13" s="507" t="s">
        <v>3186</v>
      </c>
      <c r="U13" s="13" t="s">
        <v>19</v>
      </c>
      <c r="V13" s="508" t="str">
        <f t="shared" si="2"/>
        <v>Ativo</v>
      </c>
      <c r="W13" s="24"/>
      <c r="X13" s="25" t="s">
        <v>95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3552</v>
      </c>
      <c r="B14" s="519" t="s">
        <v>3569</v>
      </c>
      <c r="C14" s="133" t="s">
        <v>3570</v>
      </c>
      <c r="D14" s="312" t="s">
        <v>18</v>
      </c>
      <c r="E14" s="92" t="s">
        <v>29</v>
      </c>
      <c r="F14" s="505" t="s">
        <v>333</v>
      </c>
      <c r="G14" s="506" t="s">
        <v>3461</v>
      </c>
      <c r="H14" s="48" t="s">
        <v>88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111</v>
      </c>
      <c r="N14" s="451">
        <v>0.0075</v>
      </c>
      <c r="O14" s="94" t="s">
        <v>46</v>
      </c>
      <c r="P14" s="155">
        <v>0.1</v>
      </c>
      <c r="Q14" s="210"/>
      <c r="R14" s="52"/>
      <c r="S14" s="24" t="s">
        <v>89</v>
      </c>
      <c r="T14" s="522" t="s">
        <v>3571</v>
      </c>
      <c r="U14" s="13" t="s">
        <v>29</v>
      </c>
      <c r="V14" s="508" t="str">
        <f t="shared" si="2"/>
        <v>Ativo</v>
      </c>
      <c r="W14" s="24"/>
      <c r="X14" s="25" t="s">
        <v>95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3552</v>
      </c>
      <c r="B15" s="168" t="s">
        <v>3572</v>
      </c>
      <c r="C15" s="527" t="s">
        <v>3573</v>
      </c>
      <c r="D15" s="312" t="s">
        <v>18</v>
      </c>
      <c r="E15" s="92" t="s">
        <v>29</v>
      </c>
      <c r="F15" s="505" t="s">
        <v>2435</v>
      </c>
      <c r="G15" s="506" t="s">
        <v>3461</v>
      </c>
      <c r="H15" s="48" t="s">
        <v>88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162</v>
      </c>
      <c r="N15" s="451">
        <v>0.025</v>
      </c>
      <c r="O15" s="94" t="s">
        <v>163</v>
      </c>
      <c r="P15" s="155">
        <v>0.2</v>
      </c>
      <c r="Q15" s="62" t="s">
        <v>3574</v>
      </c>
      <c r="R15" s="52"/>
      <c r="S15" s="24" t="s">
        <v>89</v>
      </c>
      <c r="T15" s="507" t="s">
        <v>3575</v>
      </c>
      <c r="U15" s="13" t="s">
        <v>715</v>
      </c>
      <c r="V15" s="508" t="str">
        <f t="shared" si="2"/>
        <v>Ativo</v>
      </c>
      <c r="W15" s="24"/>
      <c r="X15" s="25" t="s">
        <v>95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2362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2363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2364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2365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AE3A7B01-A561-4105-8E56-82290752D097}" filter="1" showAutoFilter="1">
      <autoFilter ref="$D$2:$F$28"/>
    </customSheetView>
    <customSheetView guid="{E001AA13-DCCE-4CB6-99F7-154443258DDF}" filter="1" showAutoFilter="1">
      <autoFilter ref="$B$2:$AD$28"/>
    </customSheetView>
    <customSheetView guid="{D16A5FC9-148E-4A75-B7F7-DEC824DC0AC8}" filter="1" showAutoFilter="1">
      <autoFilter ref="$D$2:$AC$28"/>
    </customSheetView>
    <customSheetView guid="{D9BA31C7-D462-49F9-80B1-DFF2D04F5779}" filter="1" showAutoFilter="1">
      <autoFilter ref="$D$2:$F$28"/>
    </customSheetView>
    <customSheetView guid="{5E270B86-1321-4BA0-ADAE-BC61EAE9B580}" filter="1" showAutoFilter="1">
      <autoFilter ref="$D$2:$AC$28"/>
    </customSheetView>
    <customSheetView guid="{0C82A4DC-E90D-4212-AD6A-1F8F21B2AA56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80172B-6512-4575-B651-61EDF66C7F41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CF884E3-577D-4B19-8C96-BC1C0F198B06}" filter="1" showAutoFilter="1">
      <autoFilter ref="$E$2:$F$28"/>
    </customSheetView>
    <customSheetView guid="{FAFB7355-3511-4971-B6D7-5B1C47398093}" filter="1" showAutoFilter="1">
      <autoFilter ref="$AD$2:$AD$28"/>
    </customSheetView>
    <customSheetView guid="{85DBDBA2-2BC8-499F-A7BA-C82093D9B875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B3ED06F-4D46-40A9-9768-3CC98FCAEF1A}" filter="1" showAutoFilter="1">
      <autoFilter ref="$F$2:$F$28"/>
    </customSheetView>
    <customSheetView guid="{71C59E0E-1882-4CF3-B4E8-9A991F40DD3D}" filter="1" showAutoFilter="1">
      <autoFilter ref="$B$2:$AA$16"/>
    </customSheetView>
    <customSheetView guid="{AC82BF55-DA9A-426C-B5E1-71D7F2B82A4C}" filter="1" showAutoFilter="1">
      <autoFilter ref="$B$2:$AD$15"/>
    </customSheetView>
    <customSheetView guid="{B134422F-0BCB-4FAD-B684-0ECBB777A07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41510F-4579-46CA-9138-B06B562FD3CD}" filter="1" showAutoFilter="1">
      <autoFilter ref="$B$2:$AD$15"/>
    </customSheetView>
    <customSheetView guid="{7F0A67C3-03F1-4BCC-B437-089B1EA42E65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8773AC-02D6-4041-9A72-DE8DF63722B0}" filter="1" showAutoFilter="1">
      <autoFilter ref="$B$2:$AD$15"/>
    </customSheetView>
    <customSheetView guid="{99409BBF-B825-473E-B85E-DDD62A1792C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89A428D-4683-4D1E-A33A-B71F52213C26}" filter="1" showAutoFilter="1">
      <autoFilter ref="$B$2:$AD$15"/>
    </customSheetView>
    <customSheetView guid="{53F60B44-EBDF-4618-A6D3-5A5A6D90D69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148E6E7-2EE6-49BE-A9BD-71FE251D74D6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423350F7-2108-43BC-A31E-A367EEBBA113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DAD74BE-86DE-4367-A5CC-7F0296794B75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0E602DE-7A28-4214-94C1-5159DB039D8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2AEEF9A-38F8-4383-B167-1536C8A38048}" filter="1" showAutoFilter="1">
      <autoFilter ref="$B$2:$AC$28"/>
    </customSheetView>
    <customSheetView guid="{0983671B-C43E-4C55-87EB-B8EA758CA94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261A082-2317-434E-870C-3DF13ED0E6A5}" filter="1" showAutoFilter="1">
      <autoFilter ref="$B$2:$AA$16"/>
    </customSheetView>
    <customSheetView guid="{F40E1BC1-10E8-49B7-B93C-0C0203EE3CE5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FAA38CA-4887-41B6-A633-08D6E3A394F8}" filter="1" showAutoFilter="1">
      <autoFilter ref="$B$2:$AC$16"/>
    </customSheetView>
    <customSheetView guid="{7985F08F-21D0-4857-B343-A169B2E7E8B8}" filter="1" showAutoFilter="1">
      <autoFilter ref="$D$2:$F$28"/>
    </customSheetView>
    <customSheetView guid="{66EC0AA8-93B3-4E99-AC53-0ABE46566A17}" filter="1" showAutoFilter="1">
      <autoFilter ref="$B$2:$AC$16">
        <sortState ref="B2:AC16">
          <sortCondition ref="B2:B16"/>
        </sortState>
      </autoFilter>
    </customSheetView>
    <customSheetView guid="{F9FE1536-2AAE-4F09-8322-C59B92DEE01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6FB1A09-FD62-4025-928B-7E80270CDB6C}" filter="1" showAutoFilter="1">
      <autoFilter ref="$B$2:$AA$16"/>
    </customSheetView>
    <customSheetView guid="{F7729247-6799-449B-B0B7-A7DEE599FFFE}" filter="1" showAutoFilter="1">
      <autoFilter ref="$K$2:$K$28"/>
    </customSheetView>
    <customSheetView guid="{52CEA6DB-7667-480F-8EC6-4A45716C3F0A}" filter="1" showAutoFilter="1">
      <autoFilter ref="$AD$2:$AD$28"/>
    </customSheetView>
    <customSheetView guid="{D4A83559-B735-4B8E-BC96-FAE015508A0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3CCBDF6-EBB9-4612-87C3-EFD8B53A87D8}" filter="1" showAutoFilter="1">
      <autoFilter ref="$M$2:$M$28">
        <filterColumn colId="0">
          <filters>
            <filter val="CON"/>
          </filters>
        </filterColumn>
      </autoFilter>
    </customSheetView>
    <customSheetView guid="{55B7646E-B15E-44B7-B0C4-C088194CE831}" filter="1" showAutoFilter="1">
      <autoFilter ref="$D$2:$F$28"/>
    </customSheetView>
    <customSheetView guid="{A523B058-775F-4482-973A-8D9D70FC373D}" filter="1" showAutoFilter="1">
      <autoFilter ref="$M$2:$O$28"/>
    </customSheetView>
    <customSheetView guid="{31698E10-DDA8-4AA1-9F60-2AAAD4F9FAA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079BA01-902B-4C06-91F5-DAFF8F7CCF2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B78BCF3-4F0E-43B3-A5A7-D5862620F371}" filter="1" showAutoFilter="1">
      <autoFilter ref="$B$2:$AC$16"/>
    </customSheetView>
    <customSheetView guid="{FEFABB88-80C2-4506-AD54-D14703EFC7C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53364DD-B514-4EA2-8A9F-51739C5C6493}" filter="1" showAutoFilter="1">
      <autoFilter ref="$AB$2:$AB$28"/>
    </customSheetView>
    <customSheetView guid="{2316AC53-F9C5-4323-B29B-9DB6D2EC6D21}" filter="1" showAutoFilter="1">
      <autoFilter ref="$B$2:$AD$15"/>
    </customSheetView>
    <customSheetView guid="{E65D8B3E-1655-4F67-B0B4-3628FEF8BEF6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3901DF9-4514-409A-96E9-8200D43B9608}" filter="1" showAutoFilter="1">
      <autoFilter ref="$B$2:$AC$16"/>
    </customSheetView>
    <customSheetView guid="{002759FD-F800-4EE3-AE2E-7162D41A6CCC}" filter="1" showAutoFilter="1">
      <autoFilter ref="$B$2:$AD$15"/>
    </customSheetView>
    <customSheetView guid="{DBDCCE48-4A0D-476D-9B45-8063C31CBB73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C6DE91-012A-43B1-9A44-F591F5A4902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BE5D1E9-7E18-4418-BD1F-5AE0192959D1}" filter="1" showAutoFilter="1">
      <autoFilter ref="$B$2:$AA$16"/>
    </customSheetView>
    <customSheetView guid="{1FF07CE0-5A2F-4971-BB66-06AB92C22061}" filter="1" showAutoFilter="1">
      <autoFilter ref="$B$2:$AA$16"/>
    </customSheetView>
    <customSheetView guid="{8ED94DC3-6AAF-4F10-A172-8BED5A7CF69F}" filter="1" showAutoFilter="1">
      <autoFilter ref="$B$2:$AD$15"/>
    </customSheetView>
    <customSheetView guid="{0E55175E-B0D7-41AC-A41E-2922B5D6F4C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5A526B1-B488-46A7-A394-1C2652CF562E}" filter="1" showAutoFilter="1">
      <autoFilter ref="$B$2:$AA$16"/>
    </customSheetView>
    <customSheetView guid="{1090F16F-BD9E-479B-AFD5-820BB42AB0DC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C80A606-E18D-4874-9084-D8DC89EF886A}" filter="1" showAutoFilter="1">
      <autoFilter ref="$B$2:$AC$16"/>
    </customSheetView>
    <customSheetView guid="{92AFC83B-4DEA-4A51-B68E-472825B7FCAA}" filter="1" showAutoFilter="1">
      <autoFilter ref="$B$2:$Q$15">
        <filterColumn colId="13">
          <filters/>
        </filterColumn>
      </autoFilter>
    </customSheetView>
    <customSheetView guid="{4C7E836C-516F-4621-A32C-2C387D49B27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4EEAA0D-6FB5-4FB0-8890-79C55AE8A44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ABE31C0-E26C-48D4-98C8-D04880C01291}" filter="1" showAutoFilter="1">
      <autoFilter ref="$B$2:$AE$15">
        <filterColumn colId="2">
          <filters/>
        </filterColumn>
      </autoFilter>
    </customSheetView>
    <customSheetView guid="{27A544DE-9100-4FAD-8196-177D626201DB}" filter="1" showAutoFilter="1">
      <autoFilter ref="$K$2:$K$28"/>
    </customSheetView>
    <customSheetView guid="{A570573B-8D53-4EE2-BD7B-675539CBE30F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62</v>
      </c>
      <c r="C1" s="28"/>
      <c r="D1" s="28"/>
      <c r="E1" s="28"/>
      <c r="F1" s="28"/>
      <c r="G1" s="30" t="s">
        <v>63</v>
      </c>
      <c r="H1" s="30" t="s">
        <v>64</v>
      </c>
      <c r="J1" s="28" t="s">
        <v>62</v>
      </c>
      <c r="Q1" s="421" t="s">
        <v>2367</v>
      </c>
      <c r="R1" s="422" t="s">
        <v>2366</v>
      </c>
      <c r="S1" s="33" t="s">
        <v>66</v>
      </c>
      <c r="Y1" s="33"/>
      <c r="Z1" s="34" t="s">
        <v>67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68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69</v>
      </c>
      <c r="H2" s="2" t="s">
        <v>70</v>
      </c>
      <c r="I2" s="1" t="s">
        <v>71</v>
      </c>
      <c r="J2" s="2" t="s">
        <v>72</v>
      </c>
      <c r="K2" s="37" t="s">
        <v>73</v>
      </c>
      <c r="L2" s="37" t="s">
        <v>74</v>
      </c>
      <c r="M2" s="37" t="s">
        <v>9</v>
      </c>
      <c r="N2" s="39" t="s">
        <v>75</v>
      </c>
      <c r="O2" s="3" t="s">
        <v>76</v>
      </c>
      <c r="P2" s="40" t="s">
        <v>12</v>
      </c>
      <c r="Q2" s="4" t="s">
        <v>77</v>
      </c>
      <c r="R2" s="4" t="s">
        <v>79</v>
      </c>
      <c r="S2" s="2" t="s">
        <v>80</v>
      </c>
      <c r="T2" s="306" t="s">
        <v>31</v>
      </c>
      <c r="U2" s="37" t="s">
        <v>32</v>
      </c>
      <c r="V2" s="1" t="s">
        <v>81</v>
      </c>
      <c r="W2" s="3" t="s">
        <v>33</v>
      </c>
      <c r="X2" s="3" t="s">
        <v>34</v>
      </c>
      <c r="Y2" s="1" t="s">
        <v>82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3576</v>
      </c>
      <c r="B3" s="519" t="s">
        <v>1832</v>
      </c>
      <c r="C3" s="133" t="s">
        <v>3577</v>
      </c>
      <c r="D3" s="312" t="s">
        <v>86</v>
      </c>
      <c r="E3" s="92" t="s">
        <v>29</v>
      </c>
      <c r="F3" s="540" t="s">
        <v>87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88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243</v>
      </c>
      <c r="N3" s="451">
        <v>0.01</v>
      </c>
      <c r="O3" s="94" t="s">
        <v>24</v>
      </c>
      <c r="P3" s="155">
        <v>0.0</v>
      </c>
      <c r="Q3" s="210"/>
      <c r="R3" s="62"/>
      <c r="S3" s="24" t="s">
        <v>89</v>
      </c>
      <c r="T3" s="205" t="s">
        <v>1834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3576</v>
      </c>
      <c r="B4" s="519" t="s">
        <v>3578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88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111</v>
      </c>
      <c r="N4" s="437">
        <v>0.015</v>
      </c>
      <c r="O4" s="94" t="s">
        <v>46</v>
      </c>
      <c r="P4" s="155">
        <v>0.1</v>
      </c>
      <c r="Q4" s="210"/>
      <c r="R4" s="210" t="s">
        <v>3579</v>
      </c>
      <c r="S4" s="24" t="s">
        <v>89</v>
      </c>
      <c r="T4" s="205" t="s">
        <v>2273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2362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2363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2364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2365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62</v>
      </c>
      <c r="G1" s="30" t="s">
        <v>64</v>
      </c>
      <c r="I1" s="28" t="s">
        <v>62</v>
      </c>
      <c r="P1" s="421" t="s">
        <v>2367</v>
      </c>
      <c r="Q1" s="422" t="s">
        <v>2366</v>
      </c>
      <c r="R1" s="33" t="s">
        <v>66</v>
      </c>
      <c r="X1" s="34" t="s">
        <v>67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70</v>
      </c>
      <c r="H2" s="1" t="s">
        <v>71</v>
      </c>
      <c r="I2" s="2" t="s">
        <v>3580</v>
      </c>
      <c r="J2" s="2" t="s">
        <v>3581</v>
      </c>
      <c r="K2" s="2" t="s">
        <v>72</v>
      </c>
      <c r="L2" s="37" t="s">
        <v>73</v>
      </c>
      <c r="M2" s="37" t="s">
        <v>74</v>
      </c>
      <c r="N2" s="37" t="s">
        <v>9</v>
      </c>
      <c r="O2" s="39" t="s">
        <v>75</v>
      </c>
      <c r="P2" s="4" t="s">
        <v>77</v>
      </c>
      <c r="Q2" s="4" t="s">
        <v>79</v>
      </c>
      <c r="R2" s="2" t="s">
        <v>80</v>
      </c>
      <c r="S2" s="36" t="s">
        <v>0</v>
      </c>
      <c r="T2" s="37" t="s">
        <v>32</v>
      </c>
      <c r="U2" s="1" t="s">
        <v>81</v>
      </c>
      <c r="V2" s="3" t="s">
        <v>33</v>
      </c>
      <c r="W2" s="3" t="s">
        <v>34</v>
      </c>
      <c r="X2" s="551">
        <v>44957.0</v>
      </c>
      <c r="Y2" s="551">
        <v>44985.0</v>
      </c>
      <c r="Z2" s="551">
        <v>45016.0</v>
      </c>
      <c r="AA2" s="551">
        <v>45044.0</v>
      </c>
      <c r="AB2" s="551">
        <v>45077.0</v>
      </c>
      <c r="AC2" s="551">
        <v>45107.0</v>
      </c>
      <c r="AD2" s="551">
        <v>45138.0</v>
      </c>
      <c r="AE2" s="551">
        <v>45169.0</v>
      </c>
    </row>
    <row r="3" ht="15.75" customHeight="1">
      <c r="A3" s="552" t="s">
        <v>3582</v>
      </c>
      <c r="B3" s="519" t="s">
        <v>3583</v>
      </c>
      <c r="C3" s="133" t="s">
        <v>16</v>
      </c>
      <c r="D3" s="312" t="s">
        <v>18</v>
      </c>
      <c r="E3" s="92" t="s">
        <v>29</v>
      </c>
      <c r="F3" s="553" t="s">
        <v>137</v>
      </c>
      <c r="G3" s="456" t="s">
        <v>88</v>
      </c>
      <c r="H3" s="48" t="s">
        <v>24</v>
      </c>
      <c r="I3" s="312"/>
      <c r="J3" s="312"/>
      <c r="K3" s="312" t="str">
        <f t="shared" ref="K3:K6" si="1">IF(P3=0,"Não","Sim")</f>
        <v>Não</v>
      </c>
      <c r="L3" s="554"/>
      <c r="M3" s="555"/>
      <c r="N3" s="24" t="s">
        <v>23</v>
      </c>
      <c r="O3" s="556">
        <v>0.008</v>
      </c>
      <c r="P3" s="52"/>
      <c r="Q3" s="52"/>
      <c r="R3" s="24" t="s">
        <v>89</v>
      </c>
      <c r="S3" s="89" t="s">
        <v>309</v>
      </c>
      <c r="T3" s="13" t="s">
        <v>29</v>
      </c>
      <c r="U3" s="9"/>
      <c r="V3" s="24"/>
      <c r="W3" s="24"/>
      <c r="X3" s="557"/>
      <c r="Y3" s="557"/>
      <c r="Z3" s="557"/>
      <c r="AA3" s="557"/>
      <c r="AB3" s="557"/>
      <c r="AC3" s="557"/>
      <c r="AD3" s="557"/>
      <c r="AE3" s="158"/>
    </row>
    <row r="4" ht="15.75" customHeight="1">
      <c r="A4" s="552" t="s">
        <v>3582</v>
      </c>
      <c r="B4" s="558" t="s">
        <v>856</v>
      </c>
      <c r="C4" s="559" t="s">
        <v>3584</v>
      </c>
      <c r="D4" s="312" t="s">
        <v>18</v>
      </c>
      <c r="E4" s="92" t="s">
        <v>145</v>
      </c>
      <c r="F4" s="553" t="s">
        <v>146</v>
      </c>
      <c r="G4" s="456" t="s">
        <v>88</v>
      </c>
      <c r="H4" s="48" t="s">
        <v>24</v>
      </c>
      <c r="I4" s="312"/>
      <c r="J4" s="312"/>
      <c r="K4" s="312" t="str">
        <f t="shared" si="1"/>
        <v>Não</v>
      </c>
      <c r="L4" s="554"/>
      <c r="M4" s="554"/>
      <c r="N4" s="24" t="s">
        <v>23</v>
      </c>
      <c r="O4" s="556">
        <v>0.008</v>
      </c>
      <c r="P4" s="52"/>
      <c r="Q4" s="52"/>
      <c r="R4" s="24" t="s">
        <v>89</v>
      </c>
      <c r="S4" s="89" t="s">
        <v>859</v>
      </c>
      <c r="T4" s="13" t="s">
        <v>149</v>
      </c>
      <c r="U4" s="9"/>
      <c r="V4" s="24"/>
      <c r="W4" s="24"/>
      <c r="X4" s="557"/>
      <c r="Y4" s="557"/>
      <c r="Z4" s="557"/>
      <c r="AA4" s="557"/>
      <c r="AB4" s="557"/>
      <c r="AC4" s="557"/>
      <c r="AD4" s="557"/>
      <c r="AE4" s="158"/>
    </row>
    <row r="5" ht="15.75" customHeight="1">
      <c r="A5" s="552" t="s">
        <v>3582</v>
      </c>
      <c r="B5" s="558" t="s">
        <v>856</v>
      </c>
      <c r="C5" s="559" t="s">
        <v>3584</v>
      </c>
      <c r="D5" s="312" t="s">
        <v>18</v>
      </c>
      <c r="E5" s="92" t="s">
        <v>145</v>
      </c>
      <c r="F5" s="553" t="s">
        <v>146</v>
      </c>
      <c r="G5" s="456" t="s">
        <v>178</v>
      </c>
      <c r="H5" s="48" t="s">
        <v>24</v>
      </c>
      <c r="I5" s="312"/>
      <c r="J5" s="312"/>
      <c r="K5" s="312" t="str">
        <f t="shared" si="1"/>
        <v>Não</v>
      </c>
      <c r="L5" s="554"/>
      <c r="M5" s="554"/>
      <c r="N5" s="24" t="s">
        <v>23</v>
      </c>
      <c r="O5" s="556">
        <v>0.008</v>
      </c>
      <c r="P5" s="52"/>
      <c r="Q5" s="52"/>
      <c r="R5" s="24" t="s">
        <v>89</v>
      </c>
      <c r="S5" s="89" t="s">
        <v>859</v>
      </c>
      <c r="T5" s="13" t="s">
        <v>149</v>
      </c>
      <c r="U5" s="9"/>
      <c r="V5" s="24"/>
      <c r="W5" s="24"/>
      <c r="X5" s="557"/>
      <c r="Y5" s="557"/>
      <c r="Z5" s="557"/>
      <c r="AA5" s="557"/>
      <c r="AB5" s="557"/>
      <c r="AC5" s="557"/>
      <c r="AD5" s="557"/>
      <c r="AE5" s="158"/>
    </row>
    <row r="6" ht="15.75" customHeight="1">
      <c r="A6" s="552" t="s">
        <v>3582</v>
      </c>
      <c r="B6" s="552" t="s">
        <v>1452</v>
      </c>
      <c r="C6" s="133" t="s">
        <v>3585</v>
      </c>
      <c r="D6" s="312" t="s">
        <v>18</v>
      </c>
      <c r="E6" s="92" t="s">
        <v>145</v>
      </c>
      <c r="F6" s="553" t="s">
        <v>146</v>
      </c>
      <c r="G6" s="456" t="s">
        <v>88</v>
      </c>
      <c r="H6" s="48" t="s">
        <v>24</v>
      </c>
      <c r="I6" s="312"/>
      <c r="J6" s="312"/>
      <c r="K6" s="312" t="str">
        <f t="shared" si="1"/>
        <v>Não</v>
      </c>
      <c r="L6" s="554"/>
      <c r="M6" s="555"/>
      <c r="N6" s="24" t="s">
        <v>23</v>
      </c>
      <c r="O6" s="556">
        <v>0.008</v>
      </c>
      <c r="P6" s="52"/>
      <c r="Q6" s="52"/>
      <c r="R6" s="24" t="s">
        <v>89</v>
      </c>
      <c r="S6" s="89" t="s">
        <v>1455</v>
      </c>
      <c r="T6" s="13" t="s">
        <v>149</v>
      </c>
      <c r="U6" s="9"/>
      <c r="V6" s="24"/>
      <c r="W6" s="24"/>
      <c r="X6" s="557"/>
      <c r="Y6" s="557"/>
      <c r="Z6" s="557"/>
      <c r="AA6" s="557"/>
      <c r="AB6" s="557"/>
      <c r="AC6" s="557"/>
      <c r="AD6" s="557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2362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2363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2364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2365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62</v>
      </c>
      <c r="H1" s="30" t="s">
        <v>64</v>
      </c>
      <c r="J1" s="28"/>
      <c r="K1" s="28" t="s">
        <v>62</v>
      </c>
      <c r="R1" s="421" t="s">
        <v>2367</v>
      </c>
      <c r="S1" s="422" t="s">
        <v>2366</v>
      </c>
      <c r="T1" s="33" t="s">
        <v>66</v>
      </c>
      <c r="Y1" s="34" t="s">
        <v>67</v>
      </c>
      <c r="AM1" s="34"/>
      <c r="AN1" s="34"/>
    </row>
    <row r="2">
      <c r="A2" s="3" t="s">
        <v>3</v>
      </c>
      <c r="B2" s="36" t="s">
        <v>31</v>
      </c>
      <c r="C2" s="36" t="s">
        <v>68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70</v>
      </c>
      <c r="I2" s="1" t="s">
        <v>71</v>
      </c>
      <c r="J2" s="2" t="s">
        <v>3586</v>
      </c>
      <c r="K2" s="2" t="s">
        <v>3580</v>
      </c>
      <c r="L2" s="2" t="s">
        <v>3581</v>
      </c>
      <c r="M2" s="2" t="s">
        <v>72</v>
      </c>
      <c r="N2" s="37" t="s">
        <v>73</v>
      </c>
      <c r="O2" s="37" t="s">
        <v>74</v>
      </c>
      <c r="P2" s="37" t="s">
        <v>9</v>
      </c>
      <c r="Q2" s="39" t="s">
        <v>75</v>
      </c>
      <c r="R2" s="4" t="s">
        <v>77</v>
      </c>
      <c r="S2" s="4" t="s">
        <v>79</v>
      </c>
      <c r="T2" s="2" t="s">
        <v>80</v>
      </c>
      <c r="U2" s="37" t="s">
        <v>32</v>
      </c>
      <c r="V2" s="1" t="s">
        <v>81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3587</v>
      </c>
      <c r="C3" s="80" t="s">
        <v>3588</v>
      </c>
      <c r="D3" s="504" t="s">
        <v>3589</v>
      </c>
      <c r="E3" s="312" t="s">
        <v>18</v>
      </c>
      <c r="F3" s="92" t="s">
        <v>180</v>
      </c>
      <c r="G3" s="505" t="s">
        <v>3590</v>
      </c>
      <c r="H3" s="456" t="s">
        <v>88</v>
      </c>
      <c r="I3" s="48" t="s">
        <v>24</v>
      </c>
      <c r="J3" s="312" t="s">
        <v>3591</v>
      </c>
      <c r="K3" s="312" t="s">
        <v>3592</v>
      </c>
      <c r="L3" s="312" t="s">
        <v>3592</v>
      </c>
      <c r="M3" s="312" t="str">
        <f t="shared" ref="M3:M22" si="1">IF(R3=0,"Não","Sim")</f>
        <v>Não</v>
      </c>
      <c r="N3" s="560">
        <v>45084.0</v>
      </c>
      <c r="O3" s="504"/>
      <c r="P3" s="151" t="s">
        <v>23</v>
      </c>
      <c r="Q3" s="561">
        <v>0.0075</v>
      </c>
      <c r="R3" s="156"/>
      <c r="S3" s="156"/>
      <c r="T3" s="151" t="s">
        <v>329</v>
      </c>
      <c r="U3" s="13" t="s">
        <v>2644</v>
      </c>
      <c r="V3" s="9"/>
      <c r="W3" s="151"/>
      <c r="X3" s="151"/>
      <c r="Y3" s="562">
        <v>0.0</v>
      </c>
      <c r="Z3" s="562">
        <v>0.0</v>
      </c>
      <c r="AA3" s="562">
        <v>0.0</v>
      </c>
      <c r="AB3" s="562">
        <v>0.0</v>
      </c>
      <c r="AC3" s="562">
        <v>0.0</v>
      </c>
      <c r="AD3" s="562">
        <v>138472.32</v>
      </c>
      <c r="AE3" s="562">
        <v>282901.21</v>
      </c>
      <c r="AF3" s="562">
        <v>383594.1</v>
      </c>
      <c r="AG3" s="562">
        <v>470635.65</v>
      </c>
      <c r="AH3" s="563">
        <v>468788.84</v>
      </c>
      <c r="AI3" s="563">
        <v>577580.95</v>
      </c>
      <c r="AJ3" s="563">
        <v>689001.9</v>
      </c>
      <c r="AK3" s="563">
        <v>688986.26</v>
      </c>
      <c r="AL3" s="563">
        <v>686613.89</v>
      </c>
      <c r="AM3" s="563">
        <v>692206.92</v>
      </c>
      <c r="AN3" s="563">
        <v>681409.11</v>
      </c>
    </row>
    <row r="4" ht="15.75" customHeight="1">
      <c r="A4" s="564" t="s">
        <v>17</v>
      </c>
      <c r="B4" s="565" t="s">
        <v>112</v>
      </c>
      <c r="C4" s="564" t="s">
        <v>108</v>
      </c>
      <c r="D4" s="555" t="s">
        <v>3593</v>
      </c>
      <c r="E4" s="312" t="s">
        <v>18</v>
      </c>
      <c r="F4" s="92" t="s">
        <v>29</v>
      </c>
      <c r="G4" s="505" t="s">
        <v>2052</v>
      </c>
      <c r="H4" s="456" t="s">
        <v>88</v>
      </c>
      <c r="I4" s="48" t="s">
        <v>24</v>
      </c>
      <c r="J4" s="312" t="s">
        <v>3591</v>
      </c>
      <c r="K4" s="312" t="s">
        <v>3592</v>
      </c>
      <c r="L4" s="312" t="s">
        <v>3592</v>
      </c>
      <c r="M4" s="312" t="str">
        <f t="shared" si="1"/>
        <v>Não</v>
      </c>
      <c r="N4" s="554">
        <v>44944.0</v>
      </c>
      <c r="O4" s="555"/>
      <c r="P4" s="24" t="s">
        <v>23</v>
      </c>
      <c r="Q4" s="556">
        <v>0.008</v>
      </c>
      <c r="R4" s="52"/>
      <c r="S4" s="52"/>
      <c r="T4" s="24" t="s">
        <v>89</v>
      </c>
      <c r="U4" s="13" t="s">
        <v>29</v>
      </c>
      <c r="V4" s="9"/>
      <c r="W4" s="24"/>
      <c r="X4" s="24"/>
      <c r="Y4" s="557">
        <v>11803.57</v>
      </c>
      <c r="Z4" s="557">
        <v>18456.36</v>
      </c>
      <c r="AA4" s="557">
        <v>20875.33</v>
      </c>
      <c r="AB4" s="557">
        <v>24997.93</v>
      </c>
      <c r="AC4" s="557">
        <v>46740.62</v>
      </c>
      <c r="AD4" s="557">
        <v>47715.17</v>
      </c>
      <c r="AE4" s="557">
        <v>57927.64</v>
      </c>
      <c r="AF4" s="557">
        <v>59410.8</v>
      </c>
      <c r="AG4" s="557">
        <v>58690.9</v>
      </c>
      <c r="AH4" s="563">
        <v>57930.35</v>
      </c>
      <c r="AI4" s="563">
        <v>59857.12</v>
      </c>
      <c r="AJ4" s="563">
        <v>70574.84</v>
      </c>
      <c r="AK4" s="563">
        <v>70944.3</v>
      </c>
      <c r="AL4" s="563">
        <v>72043.62</v>
      </c>
      <c r="AM4" s="563">
        <v>74073.95</v>
      </c>
      <c r="AN4" s="563">
        <v>83067.89</v>
      </c>
    </row>
    <row r="5" ht="15.75" customHeight="1">
      <c r="A5" s="564" t="s">
        <v>17</v>
      </c>
      <c r="B5" s="565" t="s">
        <v>3594</v>
      </c>
      <c r="C5" s="6" t="s">
        <v>3595</v>
      </c>
      <c r="D5" s="25" t="s">
        <v>3596</v>
      </c>
      <c r="E5" s="317" t="s">
        <v>18</v>
      </c>
      <c r="F5" s="11" t="s">
        <v>19</v>
      </c>
      <c r="G5" s="317" t="s">
        <v>52</v>
      </c>
      <c r="H5" s="433" t="s">
        <v>178</v>
      </c>
      <c r="I5" s="53" t="s">
        <v>24</v>
      </c>
      <c r="J5" s="317" t="s">
        <v>3591</v>
      </c>
      <c r="K5" s="317" t="s">
        <v>3592</v>
      </c>
      <c r="L5" s="317" t="s">
        <v>3592</v>
      </c>
      <c r="M5" s="312" t="str">
        <f t="shared" si="1"/>
        <v>Não</v>
      </c>
      <c r="N5" s="566">
        <v>45372.0</v>
      </c>
      <c r="O5" s="555"/>
      <c r="P5" s="25" t="s">
        <v>23</v>
      </c>
      <c r="Q5" s="567">
        <v>0.008</v>
      </c>
      <c r="R5" s="52"/>
      <c r="S5" s="52"/>
      <c r="T5" s="25" t="s">
        <v>89</v>
      </c>
      <c r="U5" s="13" t="s">
        <v>19</v>
      </c>
      <c r="V5" s="9"/>
      <c r="W5" s="24"/>
      <c r="X5" s="24"/>
      <c r="Y5" s="563">
        <v>0.0</v>
      </c>
      <c r="Z5" s="563">
        <v>0.0</v>
      </c>
      <c r="AA5" s="563">
        <v>0.0</v>
      </c>
      <c r="AB5" s="563">
        <v>0.0</v>
      </c>
      <c r="AC5" s="563">
        <v>0.0</v>
      </c>
      <c r="AD5" s="563">
        <v>0.0</v>
      </c>
      <c r="AE5" s="563">
        <v>0.0</v>
      </c>
      <c r="AF5" s="563">
        <v>0.0</v>
      </c>
      <c r="AG5" s="563">
        <v>0.0</v>
      </c>
      <c r="AH5" s="563">
        <v>0.0</v>
      </c>
      <c r="AI5" s="563">
        <v>0.0</v>
      </c>
      <c r="AJ5" s="563">
        <v>0.0</v>
      </c>
      <c r="AK5" s="563">
        <v>0.0</v>
      </c>
      <c r="AL5" s="563">
        <v>0.0</v>
      </c>
      <c r="AM5" s="563">
        <v>0.0</v>
      </c>
      <c r="AN5" s="563">
        <v>207621.11</v>
      </c>
    </row>
    <row r="6" ht="15.75" customHeight="1">
      <c r="A6" s="564" t="s">
        <v>17</v>
      </c>
      <c r="B6" s="565" t="s">
        <v>309</v>
      </c>
      <c r="C6" s="564" t="s">
        <v>3597</v>
      </c>
      <c r="D6" s="555" t="s">
        <v>3598</v>
      </c>
      <c r="E6" s="312" t="s">
        <v>18</v>
      </c>
      <c r="F6" s="92" t="s">
        <v>29</v>
      </c>
      <c r="G6" s="505" t="s">
        <v>137</v>
      </c>
      <c r="H6" s="456" t="s">
        <v>157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4">
        <v>45083.0</v>
      </c>
      <c r="O6" s="554">
        <v>45083.0</v>
      </c>
      <c r="P6" s="24" t="s">
        <v>23</v>
      </c>
      <c r="Q6" s="556">
        <v>0.008</v>
      </c>
      <c r="R6" s="52"/>
      <c r="S6" s="52"/>
      <c r="T6" s="24" t="s">
        <v>329</v>
      </c>
      <c r="U6" s="13" t="s">
        <v>2644</v>
      </c>
      <c r="V6" s="9"/>
      <c r="W6" s="24"/>
      <c r="X6" s="24"/>
      <c r="Y6" s="557">
        <v>0.0</v>
      </c>
      <c r="Z6" s="557">
        <v>0.0</v>
      </c>
      <c r="AA6" s="557">
        <v>0.0</v>
      </c>
      <c r="AB6" s="557">
        <v>0.0</v>
      </c>
      <c r="AC6" s="557">
        <v>0.0</v>
      </c>
      <c r="AD6" s="563">
        <v>0.0</v>
      </c>
      <c r="AE6" s="563">
        <v>0.0</v>
      </c>
      <c r="AF6" s="563">
        <v>0.0</v>
      </c>
      <c r="AG6" s="563">
        <v>0.0</v>
      </c>
      <c r="AH6" s="563">
        <v>0.0</v>
      </c>
      <c r="AI6" s="563">
        <v>0.0</v>
      </c>
      <c r="AJ6" s="563">
        <v>0.0</v>
      </c>
      <c r="AK6" s="563">
        <v>0.0</v>
      </c>
      <c r="AL6" s="563">
        <v>0.0</v>
      </c>
      <c r="AM6" s="563">
        <v>0.0</v>
      </c>
      <c r="AN6" s="563">
        <v>0.0</v>
      </c>
    </row>
    <row r="7" ht="15.75" customHeight="1">
      <c r="A7" s="564" t="s">
        <v>17</v>
      </c>
      <c r="B7" s="565" t="s">
        <v>376</v>
      </c>
      <c r="C7" s="564" t="s">
        <v>3599</v>
      </c>
      <c r="D7" s="555" t="s">
        <v>3600</v>
      </c>
      <c r="E7" s="312" t="s">
        <v>18</v>
      </c>
      <c r="F7" s="92" t="s">
        <v>29</v>
      </c>
      <c r="G7" s="505" t="s">
        <v>58</v>
      </c>
      <c r="H7" s="456" t="s">
        <v>88</v>
      </c>
      <c r="I7" s="48" t="s">
        <v>24</v>
      </c>
      <c r="J7" s="312" t="s">
        <v>3591</v>
      </c>
      <c r="K7" s="312" t="s">
        <v>3592</v>
      </c>
      <c r="L7" s="312" t="s">
        <v>3592</v>
      </c>
      <c r="M7" s="312" t="str">
        <f t="shared" si="1"/>
        <v>Não</v>
      </c>
      <c r="N7" s="554">
        <v>45040.0</v>
      </c>
      <c r="O7" s="555"/>
      <c r="P7" s="24" t="s">
        <v>23</v>
      </c>
      <c r="Q7" s="556">
        <v>0.008</v>
      </c>
      <c r="R7" s="44"/>
      <c r="S7" s="52"/>
      <c r="T7" s="24" t="s">
        <v>329</v>
      </c>
      <c r="U7" s="13" t="s">
        <v>29</v>
      </c>
      <c r="V7" s="9"/>
      <c r="W7" s="24"/>
      <c r="X7" s="24"/>
      <c r="Y7" s="557">
        <v>0.0</v>
      </c>
      <c r="Z7" s="557">
        <v>0.0</v>
      </c>
      <c r="AA7" s="557">
        <v>0.0</v>
      </c>
      <c r="AB7" s="557">
        <v>90191.83</v>
      </c>
      <c r="AC7" s="557">
        <v>188409.94</v>
      </c>
      <c r="AD7" s="557">
        <v>190915.46</v>
      </c>
      <c r="AE7" s="557">
        <v>195942.82</v>
      </c>
      <c r="AF7" s="557">
        <v>194952.22</v>
      </c>
      <c r="AG7" s="557">
        <v>229416.65</v>
      </c>
      <c r="AH7" s="563">
        <v>222366.04</v>
      </c>
      <c r="AI7" s="563">
        <v>232669.03</v>
      </c>
      <c r="AJ7" s="563">
        <v>235990.65</v>
      </c>
      <c r="AK7" s="563">
        <v>236650.8</v>
      </c>
      <c r="AL7" s="563">
        <v>241714.09</v>
      </c>
      <c r="AM7" s="563">
        <v>336717.54</v>
      </c>
      <c r="AN7" s="563">
        <v>394361.87</v>
      </c>
    </row>
    <row r="8" ht="15.75" customHeight="1">
      <c r="A8" s="564" t="s">
        <v>17</v>
      </c>
      <c r="B8" s="568" t="s">
        <v>3601</v>
      </c>
      <c r="C8" s="569" t="s">
        <v>3602</v>
      </c>
      <c r="D8" s="555" t="s">
        <v>3603</v>
      </c>
      <c r="E8" s="312" t="s">
        <v>18</v>
      </c>
      <c r="F8" s="92" t="s">
        <v>180</v>
      </c>
      <c r="G8" s="505" t="s">
        <v>3590</v>
      </c>
      <c r="H8" s="456" t="s">
        <v>116</v>
      </c>
      <c r="I8" s="48" t="s">
        <v>24</v>
      </c>
      <c r="J8" s="312" t="s">
        <v>24</v>
      </c>
      <c r="K8" s="312" t="s">
        <v>3604</v>
      </c>
      <c r="L8" s="312" t="s">
        <v>3604</v>
      </c>
      <c r="M8" s="312" t="str">
        <f t="shared" si="1"/>
        <v>Não</v>
      </c>
      <c r="N8" s="555"/>
      <c r="O8" s="555"/>
      <c r="P8" s="24" t="s">
        <v>23</v>
      </c>
      <c r="Q8" s="556"/>
      <c r="R8" s="62"/>
      <c r="S8" s="62"/>
      <c r="T8" s="24" t="s">
        <v>329</v>
      </c>
      <c r="U8" s="13" t="s">
        <v>2644</v>
      </c>
      <c r="V8" s="9"/>
      <c r="W8" s="24"/>
      <c r="X8" s="24"/>
      <c r="Y8" s="557">
        <v>0.0</v>
      </c>
      <c r="Z8" s="557">
        <v>0.0</v>
      </c>
      <c r="AA8" s="557">
        <v>0.0</v>
      </c>
      <c r="AB8" s="557">
        <v>0.0</v>
      </c>
      <c r="AC8" s="557">
        <v>50100.0</v>
      </c>
      <c r="AD8" s="557">
        <v>10.96</v>
      </c>
      <c r="AE8" s="557">
        <v>0.0</v>
      </c>
      <c r="AF8" s="557">
        <v>0.0</v>
      </c>
      <c r="AG8" s="557">
        <v>10.96</v>
      </c>
      <c r="AH8" s="563">
        <v>0.0</v>
      </c>
      <c r="AI8" s="563">
        <v>0.0</v>
      </c>
      <c r="AJ8" s="563">
        <v>10.96</v>
      </c>
      <c r="AK8" s="563">
        <v>0.0</v>
      </c>
      <c r="AL8" s="563">
        <v>0.0</v>
      </c>
      <c r="AM8" s="563">
        <v>10.96</v>
      </c>
      <c r="AN8" s="563">
        <v>-39.04</v>
      </c>
    </row>
    <row r="9" ht="15.75" customHeight="1">
      <c r="A9" s="564" t="s">
        <v>17</v>
      </c>
      <c r="B9" s="570">
        <v>2.18056950018E11</v>
      </c>
      <c r="C9" s="6" t="s">
        <v>3605</v>
      </c>
      <c r="D9" s="203" t="s">
        <v>3606</v>
      </c>
      <c r="E9" s="317" t="s">
        <v>86</v>
      </c>
      <c r="F9" s="11" t="s">
        <v>29</v>
      </c>
      <c r="G9" s="506" t="s">
        <v>87</v>
      </c>
      <c r="H9" s="433" t="s">
        <v>178</v>
      </c>
      <c r="I9" s="53" t="s">
        <v>24</v>
      </c>
      <c r="J9" s="317" t="s">
        <v>3591</v>
      </c>
      <c r="K9" s="317" t="s">
        <v>3592</v>
      </c>
      <c r="L9" s="317" t="s">
        <v>3592</v>
      </c>
      <c r="M9" s="312" t="str">
        <f t="shared" si="1"/>
        <v>Não</v>
      </c>
      <c r="N9" s="566">
        <v>45405.0</v>
      </c>
      <c r="O9" s="555"/>
      <c r="P9" s="25" t="s">
        <v>23</v>
      </c>
      <c r="Q9" s="567">
        <v>0.008</v>
      </c>
      <c r="R9" s="62"/>
      <c r="S9" s="62"/>
      <c r="T9" s="25" t="s">
        <v>329</v>
      </c>
      <c r="U9" s="13"/>
      <c r="V9" s="9"/>
      <c r="W9" s="24"/>
      <c r="X9" s="24"/>
      <c r="Y9" s="557"/>
      <c r="Z9" s="557"/>
      <c r="AA9" s="557"/>
      <c r="AB9" s="557"/>
      <c r="AC9" s="557"/>
      <c r="AD9" s="557"/>
      <c r="AE9" s="557"/>
      <c r="AF9" s="557"/>
      <c r="AG9" s="557"/>
      <c r="AH9" s="563"/>
      <c r="AI9" s="563"/>
      <c r="AJ9" s="563"/>
      <c r="AK9" s="563"/>
      <c r="AL9" s="563"/>
      <c r="AM9" s="563"/>
      <c r="AN9" s="563">
        <v>0.0</v>
      </c>
    </row>
    <row r="10" ht="15.75" customHeight="1">
      <c r="A10" s="564" t="s">
        <v>17</v>
      </c>
      <c r="B10" s="571" t="s">
        <v>628</v>
      </c>
      <c r="C10" s="572" t="s">
        <v>624</v>
      </c>
      <c r="D10" s="67" t="s">
        <v>3607</v>
      </c>
      <c r="E10" s="317" t="s">
        <v>18</v>
      </c>
      <c r="F10" s="11" t="s">
        <v>29</v>
      </c>
      <c r="G10" s="506" t="s">
        <v>110</v>
      </c>
      <c r="H10" s="433" t="s">
        <v>178</v>
      </c>
      <c r="I10" s="53" t="s">
        <v>24</v>
      </c>
      <c r="J10" s="317" t="s">
        <v>3591</v>
      </c>
      <c r="K10" s="317"/>
      <c r="L10" s="317"/>
      <c r="M10" s="312" t="str">
        <f t="shared" si="1"/>
        <v>Não</v>
      </c>
      <c r="N10" s="566">
        <v>45428.0</v>
      </c>
      <c r="O10" s="555"/>
      <c r="P10" s="25" t="s">
        <v>23</v>
      </c>
      <c r="Q10" s="567">
        <v>0.008</v>
      </c>
      <c r="R10" s="62"/>
      <c r="S10" s="62"/>
      <c r="T10" s="25" t="s">
        <v>89</v>
      </c>
      <c r="U10" s="573" t="s">
        <v>29</v>
      </c>
      <c r="V10" s="9"/>
      <c r="W10" s="24"/>
      <c r="X10" s="24"/>
      <c r="Y10" s="557"/>
      <c r="Z10" s="557"/>
      <c r="AA10" s="557"/>
      <c r="AB10" s="557"/>
      <c r="AC10" s="557"/>
      <c r="AD10" s="557"/>
      <c r="AE10" s="557"/>
      <c r="AF10" s="557"/>
      <c r="AG10" s="557"/>
      <c r="AH10" s="563"/>
      <c r="AI10" s="563"/>
      <c r="AJ10" s="563"/>
      <c r="AK10" s="563"/>
      <c r="AL10" s="563"/>
      <c r="AM10" s="563"/>
      <c r="AN10" s="563"/>
    </row>
    <row r="11" ht="15.75" customHeight="1">
      <c r="A11" s="564" t="s">
        <v>17</v>
      </c>
      <c r="B11" s="565" t="s">
        <v>728</v>
      </c>
      <c r="C11" s="564" t="s">
        <v>726</v>
      </c>
      <c r="D11" s="555" t="s">
        <v>3608</v>
      </c>
      <c r="E11" s="312" t="s">
        <v>18</v>
      </c>
      <c r="F11" s="92" t="s">
        <v>29</v>
      </c>
      <c r="G11" s="505" t="s">
        <v>137</v>
      </c>
      <c r="H11" s="456" t="s">
        <v>157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4"/>
      <c r="O11" s="554">
        <v>45083.0</v>
      </c>
      <c r="P11" s="24" t="s">
        <v>23</v>
      </c>
      <c r="Q11" s="556">
        <v>0.008</v>
      </c>
      <c r="R11" s="52"/>
      <c r="S11" s="52"/>
      <c r="T11" s="24" t="s">
        <v>89</v>
      </c>
      <c r="U11" s="13" t="s">
        <v>29</v>
      </c>
      <c r="V11" s="9"/>
      <c r="W11" s="24"/>
      <c r="X11" s="24"/>
      <c r="Y11" s="557">
        <v>0.0</v>
      </c>
      <c r="Z11" s="557">
        <v>0.0</v>
      </c>
      <c r="AA11" s="557">
        <v>0.0</v>
      </c>
      <c r="AB11" s="557">
        <v>0.0</v>
      </c>
      <c r="AC11" s="563">
        <v>0.0</v>
      </c>
      <c r="AD11" s="563">
        <v>0.0</v>
      </c>
      <c r="AE11" s="563">
        <v>0.0</v>
      </c>
      <c r="AF11" s="563">
        <v>0.0</v>
      </c>
      <c r="AG11" s="563">
        <v>0.0</v>
      </c>
      <c r="AH11" s="563">
        <v>0.0</v>
      </c>
      <c r="AI11" s="563">
        <v>0.0</v>
      </c>
      <c r="AJ11" s="563">
        <v>0.0</v>
      </c>
      <c r="AK11" s="563">
        <v>0.0</v>
      </c>
      <c r="AL11" s="563">
        <v>0.0</v>
      </c>
      <c r="AM11" s="563">
        <v>0.0</v>
      </c>
      <c r="AN11" s="563">
        <v>0.0</v>
      </c>
    </row>
    <row r="12" ht="15.75" customHeight="1">
      <c r="A12" s="564" t="s">
        <v>17</v>
      </c>
      <c r="B12" s="565" t="s">
        <v>3609</v>
      </c>
      <c r="C12" s="564" t="s">
        <v>3610</v>
      </c>
      <c r="D12" s="555" t="s">
        <v>3611</v>
      </c>
      <c r="E12" s="312" t="s">
        <v>18</v>
      </c>
      <c r="F12" s="92" t="s">
        <v>180</v>
      </c>
      <c r="G12" s="505" t="s">
        <v>3590</v>
      </c>
      <c r="H12" s="456" t="s">
        <v>116</v>
      </c>
      <c r="I12" s="48" t="s">
        <v>24</v>
      </c>
      <c r="J12" s="312" t="s">
        <v>24</v>
      </c>
      <c r="K12" s="312" t="s">
        <v>3604</v>
      </c>
      <c r="L12" s="312" t="s">
        <v>3604</v>
      </c>
      <c r="M12" s="312" t="str">
        <f t="shared" si="1"/>
        <v>Não</v>
      </c>
      <c r="N12" s="555"/>
      <c r="O12" s="555"/>
      <c r="P12" s="24" t="s">
        <v>23</v>
      </c>
      <c r="Q12" s="556"/>
      <c r="R12" s="109"/>
      <c r="S12" s="109"/>
      <c r="T12" s="24" t="s">
        <v>329</v>
      </c>
      <c r="U12" s="13" t="s">
        <v>2644</v>
      </c>
      <c r="V12" s="9"/>
      <c r="W12" s="24"/>
      <c r="X12" s="24"/>
      <c r="Y12" s="557">
        <v>0.0</v>
      </c>
      <c r="Z12" s="557">
        <v>0.0</v>
      </c>
      <c r="AA12" s="557">
        <v>0.0</v>
      </c>
      <c r="AB12" s="557">
        <v>0.0</v>
      </c>
      <c r="AC12" s="557">
        <v>50000.0</v>
      </c>
      <c r="AD12" s="557">
        <v>42.47</v>
      </c>
      <c r="AE12" s="557">
        <v>0.0</v>
      </c>
      <c r="AF12" s="557">
        <v>0.0</v>
      </c>
      <c r="AG12" s="557">
        <v>42.47</v>
      </c>
      <c r="AH12" s="563">
        <v>0.0</v>
      </c>
      <c r="AI12" s="563">
        <v>0.0</v>
      </c>
      <c r="AJ12" s="563">
        <v>42.47</v>
      </c>
      <c r="AK12" s="563">
        <v>0.0</v>
      </c>
      <c r="AL12" s="563">
        <v>0.0</v>
      </c>
      <c r="AM12" s="563">
        <v>42.47</v>
      </c>
      <c r="AN12" s="563">
        <v>-7.53</v>
      </c>
    </row>
    <row r="13" ht="15.75" customHeight="1">
      <c r="A13" s="168" t="s">
        <v>17</v>
      </c>
      <c r="B13" s="565" t="s">
        <v>3612</v>
      </c>
      <c r="C13" s="564" t="s">
        <v>3613</v>
      </c>
      <c r="D13" s="504" t="s">
        <v>3614</v>
      </c>
      <c r="E13" s="312" t="s">
        <v>18</v>
      </c>
      <c r="F13" s="92" t="s">
        <v>180</v>
      </c>
      <c r="G13" s="505" t="s">
        <v>3590</v>
      </c>
      <c r="H13" s="456" t="s">
        <v>88</v>
      </c>
      <c r="I13" s="48" t="s">
        <v>24</v>
      </c>
      <c r="J13" s="312" t="s">
        <v>3591</v>
      </c>
      <c r="K13" s="317" t="s">
        <v>3592</v>
      </c>
      <c r="L13" s="317" t="s">
        <v>3592</v>
      </c>
      <c r="M13" s="312" t="str">
        <f t="shared" si="1"/>
        <v>Não</v>
      </c>
      <c r="N13" s="560">
        <v>45084.0</v>
      </c>
      <c r="O13" s="504"/>
      <c r="P13" s="151" t="s">
        <v>23</v>
      </c>
      <c r="Q13" s="561">
        <v>0.0075</v>
      </c>
      <c r="R13" s="316"/>
      <c r="S13" s="316"/>
      <c r="T13" s="151" t="s">
        <v>329</v>
      </c>
      <c r="U13" s="13" t="s">
        <v>2644</v>
      </c>
      <c r="V13" s="9"/>
      <c r="W13" s="151"/>
      <c r="X13" s="151"/>
      <c r="Y13" s="562">
        <v>0.0</v>
      </c>
      <c r="Z13" s="562">
        <v>0.0</v>
      </c>
      <c r="AA13" s="562">
        <v>0.0</v>
      </c>
      <c r="AB13" s="562">
        <v>0.0</v>
      </c>
      <c r="AC13" s="562">
        <v>100.0</v>
      </c>
      <c r="AD13" s="562">
        <v>147111.77</v>
      </c>
      <c r="AE13" s="562">
        <v>293154.95</v>
      </c>
      <c r="AF13" s="562">
        <v>393861.7</v>
      </c>
      <c r="AG13" s="562">
        <v>390340.6</v>
      </c>
      <c r="AH13" s="563">
        <v>508721.84</v>
      </c>
      <c r="AI13" s="563">
        <v>607243.78</v>
      </c>
      <c r="AJ13" s="563">
        <v>857931.72</v>
      </c>
      <c r="AK13" s="563">
        <v>860524.93</v>
      </c>
      <c r="AL13" s="563">
        <v>855358.56</v>
      </c>
      <c r="AM13" s="563">
        <v>862420.34</v>
      </c>
      <c r="AN13" s="563">
        <v>845912.78</v>
      </c>
    </row>
    <row r="14" ht="15.75" customHeight="1">
      <c r="A14" s="168" t="s">
        <v>17</v>
      </c>
      <c r="B14" s="565" t="s">
        <v>3615</v>
      </c>
      <c r="C14" s="564" t="s">
        <v>3616</v>
      </c>
      <c r="D14" s="559" t="s">
        <v>3617</v>
      </c>
      <c r="E14" s="312" t="s">
        <v>3618</v>
      </c>
      <c r="F14" s="92" t="s">
        <v>19</v>
      </c>
      <c r="G14" s="92" t="s">
        <v>823</v>
      </c>
      <c r="H14" s="433" t="s">
        <v>88</v>
      </c>
      <c r="I14" s="48" t="s">
        <v>24</v>
      </c>
      <c r="J14" s="312" t="s">
        <v>3591</v>
      </c>
      <c r="K14" s="312" t="s">
        <v>3592</v>
      </c>
      <c r="L14" s="312" t="s">
        <v>3592</v>
      </c>
      <c r="M14" s="312" t="str">
        <f t="shared" si="1"/>
        <v>Não</v>
      </c>
      <c r="N14" s="560">
        <v>45231.0</v>
      </c>
      <c r="O14" s="504"/>
      <c r="P14" s="151" t="s">
        <v>23</v>
      </c>
      <c r="Q14" s="561">
        <v>0.009</v>
      </c>
      <c r="R14" s="316"/>
      <c r="S14" s="316"/>
      <c r="T14" s="151" t="s">
        <v>89</v>
      </c>
      <c r="U14" s="13" t="s">
        <v>2644</v>
      </c>
      <c r="V14" s="9"/>
      <c r="W14" s="151"/>
      <c r="X14" s="151"/>
      <c r="Y14" s="562">
        <v>0.0</v>
      </c>
      <c r="Z14" s="562">
        <v>0.0</v>
      </c>
      <c r="AA14" s="562">
        <v>0.0</v>
      </c>
      <c r="AB14" s="562">
        <v>0.0</v>
      </c>
      <c r="AC14" s="562">
        <v>0.0</v>
      </c>
      <c r="AD14" s="562">
        <v>0.0</v>
      </c>
      <c r="AE14" s="562">
        <v>0.0</v>
      </c>
      <c r="AF14" s="562">
        <v>0.0</v>
      </c>
      <c r="AG14" s="562">
        <v>0.0</v>
      </c>
      <c r="AH14" s="563">
        <v>0.0</v>
      </c>
      <c r="AI14" s="563">
        <v>99189.89</v>
      </c>
      <c r="AJ14" s="563">
        <v>102048.49</v>
      </c>
      <c r="AK14" s="563">
        <v>103857.97</v>
      </c>
      <c r="AL14" s="563">
        <v>104847.92</v>
      </c>
      <c r="AM14" s="563">
        <v>107243.63</v>
      </c>
      <c r="AN14" s="563">
        <v>104846.24</v>
      </c>
    </row>
    <row r="15" ht="15.75" customHeight="1">
      <c r="A15" s="168" t="s">
        <v>17</v>
      </c>
      <c r="B15" s="574" t="s">
        <v>3016</v>
      </c>
      <c r="C15" s="564" t="s">
        <v>3619</v>
      </c>
      <c r="D15" s="504" t="s">
        <v>3620</v>
      </c>
      <c r="E15" s="312" t="s">
        <v>18</v>
      </c>
      <c r="F15" s="92" t="s">
        <v>29</v>
      </c>
      <c r="G15" s="505" t="s">
        <v>18</v>
      </c>
      <c r="H15" s="456" t="s">
        <v>88</v>
      </c>
      <c r="I15" s="48" t="s">
        <v>24</v>
      </c>
      <c r="J15" s="312" t="s">
        <v>3591</v>
      </c>
      <c r="K15" s="312" t="s">
        <v>3592</v>
      </c>
      <c r="L15" s="312" t="s">
        <v>3592</v>
      </c>
      <c r="M15" s="312" t="str">
        <f t="shared" si="1"/>
        <v>Não</v>
      </c>
      <c r="N15" s="560">
        <v>45052.0</v>
      </c>
      <c r="O15" s="504"/>
      <c r="P15" s="151" t="s">
        <v>23</v>
      </c>
      <c r="Q15" s="561">
        <v>0.008</v>
      </c>
      <c r="R15" s="156"/>
      <c r="S15" s="156"/>
      <c r="T15" s="151" t="s">
        <v>89</v>
      </c>
      <c r="U15" s="13" t="s">
        <v>2644</v>
      </c>
      <c r="V15" s="9"/>
      <c r="W15" s="151"/>
      <c r="X15" s="151"/>
      <c r="Y15" s="562">
        <v>0.0</v>
      </c>
      <c r="Z15" s="562">
        <v>0.0</v>
      </c>
      <c r="AA15" s="562">
        <v>0.0</v>
      </c>
      <c r="AB15" s="562">
        <v>0.0</v>
      </c>
      <c r="AC15" s="562">
        <v>10000.0</v>
      </c>
      <c r="AD15" s="562">
        <v>17823.18</v>
      </c>
      <c r="AE15" s="562">
        <v>27647.28</v>
      </c>
      <c r="AF15" s="562">
        <v>27690.1</v>
      </c>
      <c r="AG15" s="562">
        <v>27610.94</v>
      </c>
      <c r="AH15" s="563">
        <v>32581.23</v>
      </c>
      <c r="AI15" s="563">
        <v>37752.56</v>
      </c>
      <c r="AJ15" s="563">
        <v>43408.75</v>
      </c>
      <c r="AK15" s="563">
        <v>43676.98</v>
      </c>
      <c r="AL15" s="563">
        <v>56013.84</v>
      </c>
      <c r="AM15" s="563">
        <v>61542.01</v>
      </c>
      <c r="AN15" s="563">
        <v>69588.53</v>
      </c>
    </row>
    <row r="16" ht="15.75" customHeight="1">
      <c r="A16" s="575" t="s">
        <v>17</v>
      </c>
      <c r="B16" s="6" t="s">
        <v>1834</v>
      </c>
      <c r="C16" s="6" t="s">
        <v>1832</v>
      </c>
      <c r="D16" s="58" t="s">
        <v>3621</v>
      </c>
      <c r="E16" s="317" t="s">
        <v>86</v>
      </c>
      <c r="F16" s="11" t="s">
        <v>29</v>
      </c>
      <c r="G16" s="506" t="s">
        <v>87</v>
      </c>
      <c r="H16" s="433" t="s">
        <v>178</v>
      </c>
      <c r="I16" s="48" t="s">
        <v>24</v>
      </c>
      <c r="J16" s="317" t="s">
        <v>3591</v>
      </c>
      <c r="K16" s="317" t="s">
        <v>3592</v>
      </c>
      <c r="L16" s="317" t="s">
        <v>3592</v>
      </c>
      <c r="M16" s="312" t="str">
        <f t="shared" si="1"/>
        <v>Não</v>
      </c>
      <c r="N16" s="576">
        <v>45314.0</v>
      </c>
      <c r="O16" s="504"/>
      <c r="P16" s="5" t="s">
        <v>23</v>
      </c>
      <c r="Q16" s="577">
        <v>0.008</v>
      </c>
      <c r="R16" s="156"/>
      <c r="S16" s="156"/>
      <c r="T16" s="5" t="s">
        <v>89</v>
      </c>
      <c r="U16" s="13" t="s">
        <v>29</v>
      </c>
      <c r="V16" s="9"/>
      <c r="W16" s="151"/>
      <c r="X16" s="151"/>
      <c r="Y16" s="563">
        <v>0.0</v>
      </c>
      <c r="Z16" s="563">
        <v>0.0</v>
      </c>
      <c r="AA16" s="563">
        <v>0.0</v>
      </c>
      <c r="AB16" s="563">
        <v>0.0</v>
      </c>
      <c r="AC16" s="563">
        <v>0.0</v>
      </c>
      <c r="AD16" s="563">
        <v>0.0</v>
      </c>
      <c r="AE16" s="563">
        <v>0.0</v>
      </c>
      <c r="AF16" s="563">
        <v>0.0</v>
      </c>
      <c r="AG16" s="563">
        <v>0.0</v>
      </c>
      <c r="AH16" s="563">
        <v>0.0</v>
      </c>
      <c r="AI16" s="563">
        <v>0.0</v>
      </c>
      <c r="AJ16" s="563">
        <v>0.0</v>
      </c>
      <c r="AK16" s="563">
        <v>0.0</v>
      </c>
      <c r="AL16" s="563">
        <v>0.0</v>
      </c>
      <c r="AM16" s="563">
        <v>0.0</v>
      </c>
      <c r="AN16" s="563">
        <v>0.0</v>
      </c>
    </row>
    <row r="17" ht="15.75" customHeight="1">
      <c r="A17" s="575" t="s">
        <v>17</v>
      </c>
      <c r="B17" s="6" t="s">
        <v>3622</v>
      </c>
      <c r="C17" s="6" t="s">
        <v>3623</v>
      </c>
      <c r="D17" s="7" t="s">
        <v>3624</v>
      </c>
      <c r="E17" s="317" t="s">
        <v>18</v>
      </c>
      <c r="F17" s="11" t="s">
        <v>29</v>
      </c>
      <c r="G17" s="506" t="s">
        <v>58</v>
      </c>
      <c r="H17" s="433" t="s">
        <v>178</v>
      </c>
      <c r="I17" s="48" t="s">
        <v>24</v>
      </c>
      <c r="J17" s="317" t="s">
        <v>3591</v>
      </c>
      <c r="K17" s="317" t="s">
        <v>3592</v>
      </c>
      <c r="L17" s="317" t="s">
        <v>3592</v>
      </c>
      <c r="M17" s="312" t="str">
        <f t="shared" si="1"/>
        <v>Não</v>
      </c>
      <c r="N17" s="576">
        <v>45329.0</v>
      </c>
      <c r="O17" s="504"/>
      <c r="P17" s="5" t="s">
        <v>23</v>
      </c>
      <c r="Q17" s="577">
        <v>0.008</v>
      </c>
      <c r="R17" s="156"/>
      <c r="S17" s="156"/>
      <c r="T17" s="5" t="s">
        <v>89</v>
      </c>
      <c r="U17" s="13" t="s">
        <v>2644</v>
      </c>
      <c r="V17" s="9"/>
      <c r="W17" s="151"/>
      <c r="X17" s="151"/>
      <c r="Y17" s="563">
        <v>0.0</v>
      </c>
      <c r="Z17" s="563">
        <v>0.0</v>
      </c>
      <c r="AA17" s="563">
        <v>0.0</v>
      </c>
      <c r="AB17" s="563">
        <v>0.0</v>
      </c>
      <c r="AC17" s="563">
        <v>0.0</v>
      </c>
      <c r="AD17" s="563">
        <v>0.0</v>
      </c>
      <c r="AE17" s="563">
        <v>0.0</v>
      </c>
      <c r="AF17" s="563">
        <v>0.0</v>
      </c>
      <c r="AG17" s="563">
        <v>0.0</v>
      </c>
      <c r="AH17" s="563">
        <v>0.0</v>
      </c>
      <c r="AI17" s="563">
        <v>0.0</v>
      </c>
      <c r="AJ17" s="563">
        <v>0.0</v>
      </c>
      <c r="AK17" s="563">
        <v>0.0</v>
      </c>
      <c r="AL17" s="563">
        <v>0.0</v>
      </c>
      <c r="AM17" s="563">
        <v>25253.99</v>
      </c>
      <c r="AN17" s="563">
        <v>24598.33</v>
      </c>
    </row>
    <row r="18" ht="15.75" customHeight="1">
      <c r="A18" s="564" t="s">
        <v>17</v>
      </c>
      <c r="B18" s="565" t="s">
        <v>1580</v>
      </c>
      <c r="C18" s="564" t="s">
        <v>1576</v>
      </c>
      <c r="D18" s="559" t="s">
        <v>3625</v>
      </c>
      <c r="E18" s="312" t="s">
        <v>18</v>
      </c>
      <c r="F18" s="92" t="s">
        <v>29</v>
      </c>
      <c r="G18" s="505" t="s">
        <v>58</v>
      </c>
      <c r="H18" s="456" t="s">
        <v>178</v>
      </c>
      <c r="I18" s="48" t="s">
        <v>24</v>
      </c>
      <c r="J18" s="312" t="s">
        <v>3591</v>
      </c>
      <c r="K18" s="312" t="s">
        <v>3592</v>
      </c>
      <c r="L18" s="312" t="s">
        <v>3592</v>
      </c>
      <c r="M18" s="312" t="str">
        <f t="shared" si="1"/>
        <v>Não</v>
      </c>
      <c r="N18" s="554">
        <v>45215.0</v>
      </c>
      <c r="O18" s="555"/>
      <c r="P18" s="24" t="s">
        <v>23</v>
      </c>
      <c r="Q18" s="556">
        <v>0.008</v>
      </c>
      <c r="R18" s="52"/>
      <c r="S18" s="52"/>
      <c r="T18" s="24" t="s">
        <v>89</v>
      </c>
      <c r="U18" s="13" t="s">
        <v>29</v>
      </c>
      <c r="V18" s="9"/>
      <c r="W18" s="24"/>
      <c r="X18" s="24"/>
      <c r="Y18" s="557">
        <v>0.0</v>
      </c>
      <c r="Z18" s="557">
        <v>0.0</v>
      </c>
      <c r="AA18" s="557">
        <v>0.0</v>
      </c>
      <c r="AB18" s="557">
        <v>0.0</v>
      </c>
      <c r="AC18" s="557">
        <v>0.0</v>
      </c>
      <c r="AD18" s="557">
        <v>0.0</v>
      </c>
      <c r="AE18" s="557">
        <v>0.0</v>
      </c>
      <c r="AF18" s="557">
        <v>0.0</v>
      </c>
      <c r="AG18" s="557">
        <v>0.0</v>
      </c>
      <c r="AH18" s="563">
        <v>0.0</v>
      </c>
      <c r="AI18" s="563">
        <v>0.0</v>
      </c>
      <c r="AJ18" s="563">
        <v>0.0</v>
      </c>
      <c r="AK18" s="563">
        <v>0.0</v>
      </c>
      <c r="AL18" s="563">
        <v>0.0</v>
      </c>
      <c r="AM18" s="563">
        <v>0.0</v>
      </c>
      <c r="AN18" s="563">
        <v>35327.4</v>
      </c>
    </row>
    <row r="19" ht="15.75" customHeight="1">
      <c r="A19" s="80" t="s">
        <v>17</v>
      </c>
      <c r="B19" s="565" t="s">
        <v>1911</v>
      </c>
      <c r="C19" s="565" t="s">
        <v>3626</v>
      </c>
      <c r="D19" s="504" t="s">
        <v>3627</v>
      </c>
      <c r="E19" s="312" t="s">
        <v>18</v>
      </c>
      <c r="F19" s="92" t="s">
        <v>29</v>
      </c>
      <c r="G19" s="505" t="s">
        <v>110</v>
      </c>
      <c r="H19" s="456" t="s">
        <v>88</v>
      </c>
      <c r="I19" s="48" t="s">
        <v>24</v>
      </c>
      <c r="J19" s="312" t="s">
        <v>3628</v>
      </c>
      <c r="K19" s="312" t="s">
        <v>3604</v>
      </c>
      <c r="L19" s="312" t="s">
        <v>3604</v>
      </c>
      <c r="M19" s="312" t="str">
        <f t="shared" si="1"/>
        <v>Não</v>
      </c>
      <c r="N19" s="504"/>
      <c r="O19" s="504"/>
      <c r="P19" s="151" t="s">
        <v>23</v>
      </c>
      <c r="Q19" s="561"/>
      <c r="R19" s="156"/>
      <c r="S19" s="578"/>
      <c r="T19" s="151" t="s">
        <v>89</v>
      </c>
      <c r="U19" s="13" t="s">
        <v>29</v>
      </c>
      <c r="V19" s="9"/>
      <c r="W19" s="151"/>
      <c r="X19" s="151"/>
      <c r="Y19" s="562">
        <v>0.0</v>
      </c>
      <c r="Z19" s="562">
        <v>0.0</v>
      </c>
      <c r="AA19" s="562">
        <v>0.0</v>
      </c>
      <c r="AB19" s="562">
        <v>0.0</v>
      </c>
      <c r="AC19" s="562">
        <v>0.0</v>
      </c>
      <c r="AD19" s="562">
        <v>0.0</v>
      </c>
      <c r="AE19" s="562">
        <v>0.0</v>
      </c>
      <c r="AF19" s="562">
        <v>0.0</v>
      </c>
      <c r="AG19" s="562">
        <v>0.0</v>
      </c>
      <c r="AH19" s="563">
        <v>0.0</v>
      </c>
      <c r="AI19" s="563">
        <v>0.0</v>
      </c>
      <c r="AJ19" s="563">
        <v>0.0</v>
      </c>
      <c r="AK19" s="563">
        <v>0.0</v>
      </c>
      <c r="AL19" s="563">
        <v>0.0</v>
      </c>
      <c r="AM19" s="563">
        <v>0.0</v>
      </c>
      <c r="AN19" s="563">
        <v>0.0</v>
      </c>
    </row>
    <row r="20" ht="15.75" customHeight="1">
      <c r="A20" s="168" t="s">
        <v>17</v>
      </c>
      <c r="B20" s="565" t="s">
        <v>2644</v>
      </c>
      <c r="C20" s="564" t="s">
        <v>3629</v>
      </c>
      <c r="D20" s="504" t="s">
        <v>3630</v>
      </c>
      <c r="E20" s="312" t="s">
        <v>18</v>
      </c>
      <c r="F20" s="92" t="s">
        <v>29</v>
      </c>
      <c r="G20" s="505" t="s">
        <v>137</v>
      </c>
      <c r="H20" s="433" t="s">
        <v>116</v>
      </c>
      <c r="I20" s="48" t="s">
        <v>24</v>
      </c>
      <c r="J20" s="312" t="s">
        <v>3591</v>
      </c>
      <c r="K20" s="312" t="s">
        <v>3592</v>
      </c>
      <c r="L20" s="312" t="s">
        <v>3592</v>
      </c>
      <c r="M20" s="312" t="str">
        <f t="shared" si="1"/>
        <v>Não</v>
      </c>
      <c r="N20" s="560">
        <v>44944.0</v>
      </c>
      <c r="O20" s="504"/>
      <c r="P20" s="151" t="s">
        <v>23</v>
      </c>
      <c r="Q20" s="561">
        <v>0.008</v>
      </c>
      <c r="R20" s="124"/>
      <c r="S20" s="111" t="s">
        <v>3631</v>
      </c>
      <c r="T20" s="151" t="s">
        <v>329</v>
      </c>
      <c r="U20" s="13" t="s">
        <v>2644</v>
      </c>
      <c r="V20" s="9"/>
      <c r="W20" s="151"/>
      <c r="X20" s="151"/>
      <c r="Y20" s="562">
        <v>475031.53</v>
      </c>
      <c r="Z20" s="562">
        <v>467242.31</v>
      </c>
      <c r="AA20" s="562">
        <v>475245.76</v>
      </c>
      <c r="AB20" s="562">
        <v>474056.33</v>
      </c>
      <c r="AC20" s="562">
        <v>475975.17</v>
      </c>
      <c r="AD20" s="562">
        <v>483037.09</v>
      </c>
      <c r="AE20" s="562">
        <v>492092.04</v>
      </c>
      <c r="AF20" s="562">
        <v>485533.4</v>
      </c>
      <c r="AG20" s="562">
        <v>478684.8</v>
      </c>
      <c r="AH20" s="563">
        <v>476463.51</v>
      </c>
      <c r="AI20" s="563">
        <v>496631.17</v>
      </c>
      <c r="AJ20" s="563">
        <v>511349.87</v>
      </c>
      <c r="AK20" s="563">
        <v>507269.24</v>
      </c>
      <c r="AL20" s="563">
        <v>526554.68</v>
      </c>
      <c r="AM20" s="563">
        <v>553891.52</v>
      </c>
      <c r="AN20" s="563">
        <v>529283.89</v>
      </c>
    </row>
    <row r="21" ht="15.75" customHeight="1">
      <c r="A21" s="168" t="s">
        <v>17</v>
      </c>
      <c r="B21" s="79" t="s">
        <v>3632</v>
      </c>
      <c r="C21" s="80" t="s">
        <v>3633</v>
      </c>
      <c r="D21" s="504" t="s">
        <v>3634</v>
      </c>
      <c r="E21" s="312" t="s">
        <v>18</v>
      </c>
      <c r="F21" s="92" t="s">
        <v>29</v>
      </c>
      <c r="G21" s="505" t="s">
        <v>58</v>
      </c>
      <c r="H21" s="456" t="s">
        <v>88</v>
      </c>
      <c r="I21" s="48" t="s">
        <v>24</v>
      </c>
      <c r="J21" s="312" t="s">
        <v>3591</v>
      </c>
      <c r="K21" s="312" t="s">
        <v>3592</v>
      </c>
      <c r="L21" s="312" t="s">
        <v>3592</v>
      </c>
      <c r="M21" s="312" t="str">
        <f t="shared" si="1"/>
        <v>Não</v>
      </c>
      <c r="N21" s="560">
        <v>45001.0</v>
      </c>
      <c r="O21" s="504"/>
      <c r="P21" s="151" t="s">
        <v>23</v>
      </c>
      <c r="Q21" s="561">
        <v>0.008</v>
      </c>
      <c r="R21" s="156"/>
      <c r="S21" s="156"/>
      <c r="T21" s="151" t="s">
        <v>89</v>
      </c>
      <c r="U21" s="13" t="s">
        <v>2644</v>
      </c>
      <c r="V21" s="9"/>
      <c r="W21" s="151"/>
      <c r="X21" s="151"/>
      <c r="Y21" s="562">
        <v>0.0</v>
      </c>
      <c r="Z21" s="562">
        <v>0.0</v>
      </c>
      <c r="AA21" s="562">
        <v>253638.82</v>
      </c>
      <c r="AB21" s="562">
        <v>254673.01</v>
      </c>
      <c r="AC21" s="562">
        <v>254027.5</v>
      </c>
      <c r="AD21" s="562">
        <v>258268.19</v>
      </c>
      <c r="AE21" s="562">
        <v>261881.54</v>
      </c>
      <c r="AF21" s="562">
        <v>260319.34</v>
      </c>
      <c r="AG21" s="562">
        <v>254977.7</v>
      </c>
      <c r="AH21" s="563">
        <v>252509.3</v>
      </c>
      <c r="AI21" s="563">
        <v>264031.76</v>
      </c>
      <c r="AJ21" s="563">
        <v>270334.46</v>
      </c>
      <c r="AK21" s="563">
        <v>272829.18</v>
      </c>
      <c r="AL21" s="563">
        <v>358411.0</v>
      </c>
      <c r="AM21" s="563">
        <v>366704.43</v>
      </c>
      <c r="AN21" s="563">
        <v>360104.0</v>
      </c>
    </row>
    <row r="22" ht="15.75" customHeight="1">
      <c r="A22" s="564" t="s">
        <v>17</v>
      </c>
      <c r="B22" s="565" t="s">
        <v>2171</v>
      </c>
      <c r="C22" s="564" t="s">
        <v>2169</v>
      </c>
      <c r="D22" s="555" t="s">
        <v>3635</v>
      </c>
      <c r="E22" s="312" t="s">
        <v>18</v>
      </c>
      <c r="F22" s="92" t="s">
        <v>29</v>
      </c>
      <c r="G22" s="505" t="s">
        <v>137</v>
      </c>
      <c r="H22" s="456" t="s">
        <v>157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5"/>
      <c r="O22" s="554">
        <v>45083.0</v>
      </c>
      <c r="P22" s="24" t="s">
        <v>23</v>
      </c>
      <c r="Q22" s="556">
        <v>0.008</v>
      </c>
      <c r="R22" s="75"/>
      <c r="S22" s="52"/>
      <c r="T22" s="24" t="s">
        <v>89</v>
      </c>
      <c r="U22" s="13" t="s">
        <v>29</v>
      </c>
      <c r="V22" s="9"/>
      <c r="W22" s="24"/>
      <c r="X22" s="24"/>
      <c r="Y22" s="557">
        <v>0.0</v>
      </c>
      <c r="Z22" s="557">
        <v>0.0</v>
      </c>
      <c r="AA22" s="557">
        <v>0.0</v>
      </c>
      <c r="AB22" s="557">
        <v>0.0</v>
      </c>
      <c r="AC22" s="557">
        <v>0.0</v>
      </c>
      <c r="AD22" s="557">
        <v>0.0</v>
      </c>
      <c r="AE22" s="557">
        <v>0.0</v>
      </c>
      <c r="AF22" s="557">
        <v>0.0</v>
      </c>
      <c r="AG22" s="557">
        <v>0.0</v>
      </c>
      <c r="AH22" s="557">
        <v>0.0</v>
      </c>
      <c r="AI22" s="557">
        <v>0.0</v>
      </c>
      <c r="AJ22" s="557">
        <v>0.0</v>
      </c>
      <c r="AK22" s="557">
        <v>0.0</v>
      </c>
      <c r="AL22" s="557">
        <v>0.0</v>
      </c>
      <c r="AM22" s="557">
        <v>0.0</v>
      </c>
      <c r="AN22" s="563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2362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9">
        <f t="shared" ref="Y25:AC25" si="2">SUM(Y4:Y23)</f>
        <v>486835.1</v>
      </c>
      <c r="Z25" s="579">
        <f t="shared" si="2"/>
        <v>485698.67</v>
      </c>
      <c r="AA25" s="579">
        <f t="shared" si="2"/>
        <v>749759.91</v>
      </c>
      <c r="AB25" s="579">
        <f t="shared" si="2"/>
        <v>843919.1</v>
      </c>
      <c r="AC25" s="579">
        <f t="shared" si="2"/>
        <v>1075353.23</v>
      </c>
      <c r="AD25" s="579">
        <f t="shared" ref="AD25:AN25" si="3">SUM(AD3:AD23)</f>
        <v>1283396.61</v>
      </c>
      <c r="AE25" s="579">
        <f t="shared" si="3"/>
        <v>1611547.48</v>
      </c>
      <c r="AF25" s="579">
        <f t="shared" si="3"/>
        <v>1805361.66</v>
      </c>
      <c r="AG25" s="579">
        <f t="shared" si="3"/>
        <v>1910410.67</v>
      </c>
      <c r="AH25" s="579">
        <f t="shared" si="3"/>
        <v>2019361.11</v>
      </c>
      <c r="AI25" s="579">
        <f t="shared" si="3"/>
        <v>2374956.26</v>
      </c>
      <c r="AJ25" s="579">
        <f t="shared" si="3"/>
        <v>2780694.11</v>
      </c>
      <c r="AK25" s="579">
        <f t="shared" si="3"/>
        <v>2784739.66</v>
      </c>
      <c r="AL25" s="579">
        <f t="shared" si="3"/>
        <v>2901557.6</v>
      </c>
      <c r="AM25" s="579">
        <f t="shared" si="3"/>
        <v>3080107.76</v>
      </c>
      <c r="AN25" s="579">
        <f t="shared" si="3"/>
        <v>3336074.58</v>
      </c>
    </row>
    <row r="26" ht="15.75" customHeight="1">
      <c r="A26" s="533"/>
      <c r="B26" s="534"/>
      <c r="C26" s="534" t="s">
        <v>2363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2364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2365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autoFilter ref="$A$1:$AM$22"/>
  <customSheetViews>
    <customSheetView guid="{6ABE31C0-E26C-48D4-98C8-D04880C01291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68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2369</v>
      </c>
      <c r="I1" s="584" t="s">
        <v>3636</v>
      </c>
      <c r="J1" s="583" t="s">
        <v>70</v>
      </c>
      <c r="K1" s="584" t="s">
        <v>2370</v>
      </c>
      <c r="L1" s="583" t="s">
        <v>3637</v>
      </c>
      <c r="M1" s="581" t="s">
        <v>3638</v>
      </c>
      <c r="N1" s="582" t="s">
        <v>73</v>
      </c>
      <c r="O1" s="581" t="s">
        <v>74</v>
      </c>
      <c r="P1" s="582" t="s">
        <v>9</v>
      </c>
      <c r="Q1" s="585" t="s">
        <v>75</v>
      </c>
      <c r="R1" s="586" t="s">
        <v>3639</v>
      </c>
      <c r="S1" s="587" t="s">
        <v>3640</v>
      </c>
      <c r="T1" s="588" t="s">
        <v>3641</v>
      </c>
      <c r="U1" s="588" t="s">
        <v>2373</v>
      </c>
      <c r="V1" s="589" t="s">
        <v>2375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3642</v>
      </c>
      <c r="B2" s="79" t="s">
        <v>3643</v>
      </c>
      <c r="C2" s="519" t="s">
        <v>3644</v>
      </c>
      <c r="D2" s="555">
        <v>4926548.0</v>
      </c>
      <c r="E2" s="505" t="s">
        <v>18</v>
      </c>
      <c r="F2" s="591" t="s">
        <v>29</v>
      </c>
      <c r="G2" s="505" t="s">
        <v>865</v>
      </c>
      <c r="H2" s="505" t="str">
        <f>IFERROR(VLOOKUP(G2,'Cadastro de assessores'!A:B,2,FALSE),"Não Cadastrado")</f>
        <v>14739</v>
      </c>
      <c r="I2" s="505"/>
      <c r="J2" s="505" t="s">
        <v>3645</v>
      </c>
      <c r="K2" s="515" t="s">
        <v>88</v>
      </c>
      <c r="L2" s="515" t="s">
        <v>3646</v>
      </c>
      <c r="M2" s="592">
        <v>44475.0</v>
      </c>
      <c r="N2" s="593">
        <v>44482.0</v>
      </c>
      <c r="O2" s="555"/>
      <c r="P2" s="555" t="s">
        <v>3647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89</v>
      </c>
      <c r="V2" s="515" t="s">
        <v>3182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3642</v>
      </c>
      <c r="B3" s="79" t="s">
        <v>3648</v>
      </c>
      <c r="C3" s="597" t="s">
        <v>3649</v>
      </c>
      <c r="D3" s="515">
        <v>4653733.0</v>
      </c>
      <c r="E3" s="515" t="s">
        <v>18</v>
      </c>
      <c r="F3" s="515" t="s">
        <v>29</v>
      </c>
      <c r="G3" s="515" t="s">
        <v>3650</v>
      </c>
      <c r="H3" s="515" t="str">
        <f>IFERROR(VLOOKUP(G3,'Cadastro de assessores'!A:B,2,FALSE),"Não Cadastrado")</f>
        <v>17679</v>
      </c>
      <c r="I3" s="515"/>
      <c r="J3" s="598" t="s">
        <v>2393</v>
      </c>
      <c r="K3" s="515" t="s">
        <v>2393</v>
      </c>
      <c r="L3" s="515" t="s">
        <v>3646</v>
      </c>
      <c r="M3" s="599">
        <v>44186.0</v>
      </c>
      <c r="N3" s="599">
        <v>44186.0</v>
      </c>
      <c r="O3" s="600">
        <v>44456.0</v>
      </c>
      <c r="P3" s="515" t="s">
        <v>3651</v>
      </c>
      <c r="Q3" s="594">
        <v>0.015</v>
      </c>
      <c r="R3" s="601" t="s">
        <v>3652</v>
      </c>
      <c r="S3" s="595"/>
      <c r="T3" s="515" t="str">
        <f t="shared" si="1"/>
        <v/>
      </c>
      <c r="U3" s="515" t="s">
        <v>89</v>
      </c>
      <c r="V3" s="515" t="s">
        <v>2453</v>
      </c>
      <c r="W3" s="515" t="s">
        <v>29</v>
      </c>
      <c r="X3" s="596" t="s">
        <v>3653</v>
      </c>
      <c r="Y3" s="596" t="s">
        <v>3653</v>
      </c>
      <c r="Z3" s="596" t="s">
        <v>3653</v>
      </c>
      <c r="AA3" s="596" t="s">
        <v>3653</v>
      </c>
      <c r="AB3" s="596" t="s">
        <v>3653</v>
      </c>
      <c r="AC3" s="596" t="s">
        <v>3653</v>
      </c>
      <c r="AD3" s="596" t="s">
        <v>3653</v>
      </c>
      <c r="AE3" s="596" t="s">
        <v>3653</v>
      </c>
      <c r="AF3" s="596" t="s">
        <v>3653</v>
      </c>
      <c r="AG3" s="596" t="s">
        <v>3653</v>
      </c>
      <c r="AH3" s="596" t="s">
        <v>3653</v>
      </c>
      <c r="AI3" s="596" t="s">
        <v>3653</v>
      </c>
      <c r="AJ3" s="596" t="s">
        <v>3653</v>
      </c>
      <c r="AK3" s="596" t="s">
        <v>3653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2396</v>
      </c>
      <c r="BF3" s="443" t="s">
        <v>2396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3642</v>
      </c>
      <c r="B4" s="79" t="s">
        <v>3654</v>
      </c>
      <c r="C4" s="602" t="s">
        <v>3655</v>
      </c>
      <c r="D4" s="505">
        <v>4084071.0</v>
      </c>
      <c r="E4" s="505" t="s">
        <v>18</v>
      </c>
      <c r="F4" s="505" t="s">
        <v>29</v>
      </c>
      <c r="G4" s="505" t="s">
        <v>3656</v>
      </c>
      <c r="H4" s="505">
        <f>IFERROR(VLOOKUP(G4,'Cadastro de assessores'!A:B,2,FALSE),"Não Cadastrado")</f>
        <v>12336</v>
      </c>
      <c r="I4" s="505"/>
      <c r="J4" s="505" t="s">
        <v>3645</v>
      </c>
      <c r="K4" s="515" t="s">
        <v>88</v>
      </c>
      <c r="L4" s="515" t="s">
        <v>3646</v>
      </c>
      <c r="M4" s="592">
        <v>44323.0</v>
      </c>
      <c r="N4" s="592">
        <v>44326.0</v>
      </c>
      <c r="O4" s="515"/>
      <c r="P4" s="555" t="s">
        <v>3657</v>
      </c>
      <c r="Q4" s="556">
        <v>0.007</v>
      </c>
      <c r="R4" s="603"/>
      <c r="S4" s="595"/>
      <c r="T4" s="515" t="str">
        <f t="shared" si="1"/>
        <v>Não Qualificado</v>
      </c>
      <c r="U4" s="515" t="s">
        <v>89</v>
      </c>
      <c r="V4" s="515" t="s">
        <v>2641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3642</v>
      </c>
      <c r="B5" s="79" t="s">
        <v>103</v>
      </c>
      <c r="C5" s="564" t="s">
        <v>3658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88</v>
      </c>
      <c r="K5" s="515" t="s">
        <v>88</v>
      </c>
      <c r="L5" s="515" t="s">
        <v>3659</v>
      </c>
      <c r="M5" s="605">
        <v>44642.0</v>
      </c>
      <c r="N5" s="605">
        <v>44642.0</v>
      </c>
      <c r="O5" s="555"/>
      <c r="P5" s="555" t="s">
        <v>3660</v>
      </c>
      <c r="Q5" s="594">
        <v>0.012</v>
      </c>
      <c r="R5" s="603" t="s">
        <v>3661</v>
      </c>
      <c r="S5" s="595"/>
      <c r="T5" s="515" t="str">
        <f t="shared" si="1"/>
        <v>Não Qualificado</v>
      </c>
      <c r="U5" s="515" t="s">
        <v>89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3642</v>
      </c>
      <c r="B6" s="79" t="s">
        <v>3662</v>
      </c>
      <c r="C6" s="606" t="s">
        <v>3663</v>
      </c>
      <c r="D6" s="607">
        <v>4442405.0</v>
      </c>
      <c r="E6" s="505" t="s">
        <v>18</v>
      </c>
      <c r="F6" s="505" t="s">
        <v>19</v>
      </c>
      <c r="G6" s="505" t="s">
        <v>230</v>
      </c>
      <c r="H6" s="505" t="str">
        <f>IFERROR(VLOOKUP(G6,'Cadastro de assessores'!A:B,2,FALSE),"Não Cadastrado")</f>
        <v>18009</v>
      </c>
      <c r="I6" s="505"/>
      <c r="J6" s="505" t="s">
        <v>3645</v>
      </c>
      <c r="K6" s="515" t="s">
        <v>88</v>
      </c>
      <c r="L6" s="515" t="s">
        <v>3646</v>
      </c>
      <c r="M6" s="592">
        <v>44084.0</v>
      </c>
      <c r="N6" s="592">
        <v>44084.0</v>
      </c>
      <c r="O6" s="515"/>
      <c r="P6" s="515" t="s">
        <v>3664</v>
      </c>
      <c r="Q6" s="594">
        <v>0.025</v>
      </c>
      <c r="R6" s="603" t="s">
        <v>3665</v>
      </c>
      <c r="S6" s="595"/>
      <c r="T6" s="515" t="str">
        <f t="shared" si="1"/>
        <v>Não Qualificado</v>
      </c>
      <c r="U6" s="515" t="s">
        <v>89</v>
      </c>
      <c r="V6" s="515" t="s">
        <v>2432</v>
      </c>
      <c r="W6" s="515" t="s">
        <v>29</v>
      </c>
      <c r="X6" s="596" t="s">
        <v>3653</v>
      </c>
      <c r="Y6" s="596" t="s">
        <v>3653</v>
      </c>
      <c r="Z6" s="596" t="s">
        <v>3653</v>
      </c>
      <c r="AA6" s="596" t="s">
        <v>3653</v>
      </c>
      <c r="AB6" s="596" t="s">
        <v>3653</v>
      </c>
      <c r="AC6" s="596" t="s">
        <v>3653</v>
      </c>
      <c r="AD6" s="596" t="s">
        <v>3653</v>
      </c>
      <c r="AE6" s="596" t="s">
        <v>3653</v>
      </c>
      <c r="AF6" s="596" t="s">
        <v>3653</v>
      </c>
      <c r="AG6" s="596" t="s">
        <v>3653</v>
      </c>
      <c r="AH6" s="596" t="s">
        <v>3653</v>
      </c>
      <c r="AI6" s="596" t="s">
        <v>3666</v>
      </c>
      <c r="AJ6" s="596" t="s">
        <v>3667</v>
      </c>
      <c r="AK6" s="596" t="s">
        <v>3668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3642</v>
      </c>
      <c r="B7" s="79" t="s">
        <v>3554</v>
      </c>
      <c r="C7" s="602" t="s">
        <v>3553</v>
      </c>
      <c r="D7" s="505">
        <v>4461647.0</v>
      </c>
      <c r="E7" s="505" t="s">
        <v>18</v>
      </c>
      <c r="F7" s="505" t="s">
        <v>29</v>
      </c>
      <c r="G7" s="505" t="s">
        <v>110</v>
      </c>
      <c r="H7" s="505">
        <f>IFERROR(VLOOKUP(G7,'Cadastro de assessores'!A:B,2,FALSE),"Não Cadastrado")</f>
        <v>12332</v>
      </c>
      <c r="I7" s="505"/>
      <c r="J7" s="505" t="s">
        <v>88</v>
      </c>
      <c r="K7" s="515" t="s">
        <v>88</v>
      </c>
      <c r="L7" s="515" t="s">
        <v>3659</v>
      </c>
      <c r="M7" s="592">
        <v>44090.0</v>
      </c>
      <c r="N7" s="592">
        <v>44092.0</v>
      </c>
      <c r="O7" s="515"/>
      <c r="P7" s="515" t="s">
        <v>3660</v>
      </c>
      <c r="Q7" s="594">
        <v>0.012</v>
      </c>
      <c r="R7" s="603" t="s">
        <v>3669</v>
      </c>
      <c r="S7" s="595"/>
      <c r="T7" s="515" t="str">
        <f t="shared" si="1"/>
        <v/>
      </c>
      <c r="U7" s="515" t="s">
        <v>89</v>
      </c>
      <c r="V7" s="515" t="s">
        <v>2421</v>
      </c>
      <c r="W7" s="515" t="s">
        <v>29</v>
      </c>
      <c r="X7" s="596" t="s">
        <v>3653</v>
      </c>
      <c r="Y7" s="596" t="s">
        <v>3653</v>
      </c>
      <c r="Z7" s="596" t="s">
        <v>3653</v>
      </c>
      <c r="AA7" s="596" t="s">
        <v>3653</v>
      </c>
      <c r="AB7" s="596" t="s">
        <v>3653</v>
      </c>
      <c r="AC7" s="596" t="s">
        <v>3653</v>
      </c>
      <c r="AD7" s="596" t="s">
        <v>3653</v>
      </c>
      <c r="AE7" s="596" t="s">
        <v>3653</v>
      </c>
      <c r="AF7" s="596" t="s">
        <v>3653</v>
      </c>
      <c r="AG7" s="596" t="s">
        <v>3653</v>
      </c>
      <c r="AH7" s="596" t="s">
        <v>3653</v>
      </c>
      <c r="AI7" s="596" t="s">
        <v>3670</v>
      </c>
      <c r="AJ7" s="596" t="s">
        <v>3671</v>
      </c>
      <c r="AK7" s="596" t="s">
        <v>3672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3642</v>
      </c>
      <c r="B8" s="79" t="s">
        <v>3554</v>
      </c>
      <c r="C8" s="602" t="s">
        <v>3553</v>
      </c>
      <c r="D8" s="505">
        <v>3345620.0</v>
      </c>
      <c r="E8" s="505" t="s">
        <v>18</v>
      </c>
      <c r="F8" s="505" t="s">
        <v>29</v>
      </c>
      <c r="G8" s="505" t="s">
        <v>110</v>
      </c>
      <c r="H8" s="505">
        <f>IFERROR(VLOOKUP(G8,'Cadastro de assessores'!A:B,2,FALSE),"Não Cadastrado")</f>
        <v>12332</v>
      </c>
      <c r="I8" s="505"/>
      <c r="J8" s="505" t="s">
        <v>88</v>
      </c>
      <c r="K8" s="515"/>
      <c r="L8" s="515" t="s">
        <v>3659</v>
      </c>
      <c r="M8" s="592"/>
      <c r="N8" s="592">
        <v>44960.0</v>
      </c>
      <c r="O8" s="515"/>
      <c r="P8" s="515" t="s">
        <v>3657</v>
      </c>
      <c r="Q8" s="594">
        <v>0.01</v>
      </c>
      <c r="R8" s="603"/>
      <c r="S8" s="595"/>
      <c r="T8" s="515"/>
      <c r="U8" s="515"/>
      <c r="V8" s="515"/>
      <c r="W8" s="515" t="s">
        <v>455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3642</v>
      </c>
      <c r="B9" s="79" t="s">
        <v>3673</v>
      </c>
      <c r="C9" s="597" t="s">
        <v>3674</v>
      </c>
      <c r="D9" s="505">
        <v>3679808.0</v>
      </c>
      <c r="E9" s="505" t="s">
        <v>18</v>
      </c>
      <c r="F9" s="505" t="s">
        <v>19</v>
      </c>
      <c r="G9" s="505" t="s">
        <v>1672</v>
      </c>
      <c r="H9" s="505">
        <f>IFERROR(VLOOKUP(G9,'Cadastro de assessores'!A:B,2,FALSE),"Não Cadastrado")</f>
        <v>12350</v>
      </c>
      <c r="I9" s="505" t="s">
        <v>3675</v>
      </c>
      <c r="J9" s="505" t="s">
        <v>3001</v>
      </c>
      <c r="K9" s="515"/>
      <c r="L9" s="515"/>
      <c r="M9" s="592"/>
      <c r="N9" s="592"/>
      <c r="O9" s="515"/>
      <c r="P9" s="515" t="s">
        <v>3651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3642</v>
      </c>
      <c r="B10" s="79" t="s">
        <v>112</v>
      </c>
      <c r="C10" s="597" t="s">
        <v>108</v>
      </c>
      <c r="D10" s="505">
        <v>2204868.0</v>
      </c>
      <c r="E10" s="505" t="s">
        <v>18</v>
      </c>
      <c r="F10" s="505" t="s">
        <v>29</v>
      </c>
      <c r="G10" s="505" t="s">
        <v>2052</v>
      </c>
      <c r="H10" s="505" t="str">
        <f>IFERROR(VLOOKUP(G10,'Cadastro de assessores'!A:B,2,FALSE),"Não Cadastrado")</f>
        <v>18256</v>
      </c>
      <c r="I10" s="505"/>
      <c r="J10" s="505" t="s">
        <v>88</v>
      </c>
      <c r="K10" s="515" t="s">
        <v>88</v>
      </c>
      <c r="L10" s="515" t="s">
        <v>3659</v>
      </c>
      <c r="M10" s="592">
        <v>44252.0</v>
      </c>
      <c r="N10" s="592">
        <v>44252.0</v>
      </c>
      <c r="O10" s="515"/>
      <c r="P10" s="515" t="s">
        <v>3651</v>
      </c>
      <c r="Q10" s="594">
        <v>0.015</v>
      </c>
      <c r="R10" s="603" t="s">
        <v>3676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89</v>
      </c>
      <c r="V10" s="515" t="s">
        <v>2395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3642</v>
      </c>
      <c r="B11" s="79" t="s">
        <v>3677</v>
      </c>
      <c r="C11" s="564" t="s">
        <v>3678</v>
      </c>
      <c r="D11" s="555">
        <v>2697792.0</v>
      </c>
      <c r="E11" s="515" t="s">
        <v>18</v>
      </c>
      <c r="F11" s="515" t="s">
        <v>29</v>
      </c>
      <c r="G11" s="515" t="s">
        <v>3533</v>
      </c>
      <c r="H11" s="515" t="str">
        <f>IFERROR(VLOOKUP(G11,'Cadastro de assessores'!A:B,2,FALSE),"Não Cadastrado")</f>
        <v>18266</v>
      </c>
      <c r="I11" s="515"/>
      <c r="J11" s="598" t="s">
        <v>2393</v>
      </c>
      <c r="K11" s="515" t="s">
        <v>2393</v>
      </c>
      <c r="L11" s="515" t="s">
        <v>3646</v>
      </c>
      <c r="M11" s="600">
        <v>44302.0</v>
      </c>
      <c r="N11" s="600">
        <v>44302.0</v>
      </c>
      <c r="O11" s="600">
        <v>44473.0</v>
      </c>
      <c r="P11" s="515" t="s">
        <v>3664</v>
      </c>
      <c r="Q11" s="594">
        <v>0.025</v>
      </c>
      <c r="R11" s="601" t="s">
        <v>3679</v>
      </c>
      <c r="S11" s="595"/>
      <c r="T11" s="515" t="str">
        <f t="shared" si="2"/>
        <v/>
      </c>
      <c r="U11" s="515" t="s">
        <v>89</v>
      </c>
      <c r="V11" s="515" t="s">
        <v>3680</v>
      </c>
      <c r="W11" s="515" t="s">
        <v>3681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2396</v>
      </c>
      <c r="BF11" s="443" t="s">
        <v>2396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3642</v>
      </c>
      <c r="B12" s="79" t="s">
        <v>3682</v>
      </c>
      <c r="C12" s="597" t="s">
        <v>3683</v>
      </c>
      <c r="D12" s="515">
        <v>4447856.0</v>
      </c>
      <c r="E12" s="515" t="s">
        <v>86</v>
      </c>
      <c r="F12" s="515" t="s">
        <v>29</v>
      </c>
      <c r="G12" s="515" t="s">
        <v>3486</v>
      </c>
      <c r="H12" s="515" t="str">
        <f>IFERROR(VLOOKUP(G12,'Cadastro de assessores'!A:B,2,FALSE),"Não Cadastrado")</f>
        <v>14574</v>
      </c>
      <c r="I12" s="515"/>
      <c r="J12" s="598" t="s">
        <v>2393</v>
      </c>
      <c r="K12" s="515" t="s">
        <v>2393</v>
      </c>
      <c r="L12" s="515" t="s">
        <v>3646</v>
      </c>
      <c r="M12" s="600">
        <v>44085.0</v>
      </c>
      <c r="N12" s="600">
        <v>44085.0</v>
      </c>
      <c r="O12" s="600">
        <v>44396.0</v>
      </c>
      <c r="P12" s="515" t="s">
        <v>3660</v>
      </c>
      <c r="Q12" s="594">
        <v>0.012</v>
      </c>
      <c r="R12" s="601" t="s">
        <v>3684</v>
      </c>
      <c r="S12" s="595"/>
      <c r="T12" s="515" t="str">
        <f t="shared" si="2"/>
        <v/>
      </c>
      <c r="U12" s="515" t="s">
        <v>89</v>
      </c>
      <c r="V12" s="515" t="s">
        <v>2444</v>
      </c>
      <c r="W12" s="515" t="s">
        <v>29</v>
      </c>
      <c r="X12" s="596" t="s">
        <v>3653</v>
      </c>
      <c r="Y12" s="596" t="s">
        <v>3653</v>
      </c>
      <c r="Z12" s="596" t="s">
        <v>3653</v>
      </c>
      <c r="AA12" s="596" t="s">
        <v>3653</v>
      </c>
      <c r="AB12" s="596" t="s">
        <v>3653</v>
      </c>
      <c r="AC12" s="596" t="s">
        <v>3653</v>
      </c>
      <c r="AD12" s="596" t="s">
        <v>3653</v>
      </c>
      <c r="AE12" s="596" t="s">
        <v>3653</v>
      </c>
      <c r="AF12" s="596" t="s">
        <v>3653</v>
      </c>
      <c r="AG12" s="596" t="s">
        <v>3653</v>
      </c>
      <c r="AH12" s="596" t="s">
        <v>3653</v>
      </c>
      <c r="AI12" s="596" t="s">
        <v>3685</v>
      </c>
      <c r="AJ12" s="596" t="s">
        <v>3686</v>
      </c>
      <c r="AK12" s="596" t="s">
        <v>3687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2396</v>
      </c>
      <c r="BF12" s="443" t="s">
        <v>2396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3642</v>
      </c>
      <c r="B13" s="79" t="s">
        <v>3688</v>
      </c>
      <c r="C13" s="564" t="s">
        <v>3689</v>
      </c>
      <c r="D13" s="604">
        <v>8227775.0</v>
      </c>
      <c r="E13" s="505" t="s">
        <v>18</v>
      </c>
      <c r="F13" s="505" t="s">
        <v>29</v>
      </c>
      <c r="G13" s="505" t="s">
        <v>137</v>
      </c>
      <c r="H13" s="505">
        <f>IFERROR(VLOOKUP(G13,'Cadastro de assessores'!A:B,2,FALSE),"Não Cadastrado")</f>
        <v>12344</v>
      </c>
      <c r="I13" s="505"/>
      <c r="J13" s="505" t="s">
        <v>88</v>
      </c>
      <c r="K13" s="515" t="s">
        <v>88</v>
      </c>
      <c r="L13" s="505" t="s">
        <v>3659</v>
      </c>
      <c r="M13" s="605">
        <v>44652.0</v>
      </c>
      <c r="N13" s="605">
        <v>44652.0</v>
      </c>
      <c r="O13" s="555"/>
      <c r="P13" s="555" t="s">
        <v>3657</v>
      </c>
      <c r="Q13" s="556">
        <v>0.007</v>
      </c>
      <c r="R13" s="603"/>
      <c r="S13" s="595"/>
      <c r="T13" s="515"/>
      <c r="U13" s="515" t="s">
        <v>89</v>
      </c>
      <c r="V13" s="515" t="s">
        <v>2432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3642</v>
      </c>
      <c r="B14" s="79" t="s">
        <v>3690</v>
      </c>
      <c r="C14" s="564" t="s">
        <v>3691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3675</v>
      </c>
      <c r="J14" s="505" t="s">
        <v>88</v>
      </c>
      <c r="K14" s="515" t="s">
        <v>88</v>
      </c>
      <c r="L14" s="505" t="s">
        <v>3659</v>
      </c>
      <c r="M14" s="605">
        <v>44453.0</v>
      </c>
      <c r="N14" s="605">
        <v>44609.0</v>
      </c>
      <c r="O14" s="608"/>
      <c r="P14" s="608" t="s">
        <v>3660</v>
      </c>
      <c r="Q14" s="594">
        <v>0.012</v>
      </c>
      <c r="R14" s="603" t="s">
        <v>3692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89</v>
      </c>
      <c r="V14" s="515" t="s">
        <v>2482</v>
      </c>
      <c r="W14" s="555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3642</v>
      </c>
      <c r="B15" s="79" t="s">
        <v>159</v>
      </c>
      <c r="C15" s="564" t="s">
        <v>155</v>
      </c>
      <c r="D15" s="591">
        <v>3952119.0</v>
      </c>
      <c r="E15" s="505" t="s">
        <v>18</v>
      </c>
      <c r="F15" s="505" t="s">
        <v>29</v>
      </c>
      <c r="G15" s="505" t="s">
        <v>2760</v>
      </c>
      <c r="H15" s="505" t="str">
        <f>IFERROR(VLOOKUP(G15,'Cadastro de assessores'!A:B,2,FALSE),"Não Cadastrado")</f>
        <v>13444</v>
      </c>
      <c r="I15" s="505"/>
      <c r="J15" s="505" t="s">
        <v>88</v>
      </c>
      <c r="K15" s="515" t="s">
        <v>88</v>
      </c>
      <c r="L15" s="505" t="s">
        <v>3659</v>
      </c>
      <c r="M15" s="592">
        <v>44335.0</v>
      </c>
      <c r="N15" s="592">
        <v>44335.0</v>
      </c>
      <c r="O15" s="555"/>
      <c r="P15" s="555" t="s">
        <v>3693</v>
      </c>
      <c r="Q15" s="556">
        <v>0.008</v>
      </c>
      <c r="R15" s="603"/>
      <c r="S15" s="595"/>
      <c r="T15" s="515" t="str">
        <f t="shared" si="3"/>
        <v>Não Qualificado</v>
      </c>
      <c r="U15" s="515" t="s">
        <v>89</v>
      </c>
      <c r="V15" s="515" t="s">
        <v>2453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3642</v>
      </c>
      <c r="B16" s="79" t="s">
        <v>3694</v>
      </c>
      <c r="C16" s="127" t="s">
        <v>3695</v>
      </c>
      <c r="D16" s="555">
        <v>7435703.0</v>
      </c>
      <c r="E16" s="515" t="s">
        <v>18</v>
      </c>
      <c r="F16" s="504" t="s">
        <v>19</v>
      </c>
      <c r="G16" s="515" t="s">
        <v>230</v>
      </c>
      <c r="H16" s="515" t="str">
        <f>IFERROR(VLOOKUP(G16,'Cadastro de assessores'!A:B,2,FALSE),"Não Cadastrado")</f>
        <v>18009</v>
      </c>
      <c r="I16" s="515" t="s">
        <v>3675</v>
      </c>
      <c r="J16" s="598" t="s">
        <v>2393</v>
      </c>
      <c r="K16" s="515"/>
      <c r="L16" s="515" t="s">
        <v>3646</v>
      </c>
      <c r="M16" s="599">
        <v>44547.0</v>
      </c>
      <c r="N16" s="599">
        <v>44547.0</v>
      </c>
      <c r="O16" s="554">
        <v>44664.0</v>
      </c>
      <c r="P16" s="555" t="s">
        <v>3664</v>
      </c>
      <c r="Q16" s="594">
        <v>0.025</v>
      </c>
      <c r="R16" s="601" t="s">
        <v>3696</v>
      </c>
      <c r="S16" s="595"/>
      <c r="T16" s="515" t="str">
        <f t="shared" si="3"/>
        <v>Não Qualificado</v>
      </c>
      <c r="U16" s="515" t="s">
        <v>89</v>
      </c>
      <c r="V16" s="515" t="s">
        <v>2449</v>
      </c>
      <c r="W16" s="555" t="s">
        <v>121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2396</v>
      </c>
      <c r="BF16" s="443" t="s">
        <v>2396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3642</v>
      </c>
      <c r="B17" s="79" t="s">
        <v>184</v>
      </c>
      <c r="C17" s="597" t="s">
        <v>181</v>
      </c>
      <c r="D17" s="515">
        <v>4831456.0</v>
      </c>
      <c r="E17" s="505" t="s">
        <v>86</v>
      </c>
      <c r="F17" s="505" t="s">
        <v>29</v>
      </c>
      <c r="G17" s="505" t="s">
        <v>3697</v>
      </c>
      <c r="H17" s="505" t="str">
        <f>IFERROR(VLOOKUP(G17,'Cadastro de assessores'!A:B,2,FALSE),"Não Cadastrado")</f>
        <v>12624</v>
      </c>
      <c r="I17" s="505"/>
      <c r="J17" s="505" t="s">
        <v>88</v>
      </c>
      <c r="K17" s="515" t="s">
        <v>88</v>
      </c>
      <c r="L17" s="515" t="s">
        <v>3659</v>
      </c>
      <c r="M17" s="592">
        <v>44231.0</v>
      </c>
      <c r="N17" s="592">
        <v>44231.0</v>
      </c>
      <c r="O17" s="515"/>
      <c r="P17" s="515" t="s">
        <v>3664</v>
      </c>
      <c r="Q17" s="594">
        <v>0.025</v>
      </c>
      <c r="R17" s="603" t="s">
        <v>3698</v>
      </c>
      <c r="S17" s="595"/>
      <c r="T17" s="515" t="str">
        <f t="shared" si="3"/>
        <v>Não Qualificado</v>
      </c>
      <c r="U17" s="515" t="s">
        <v>89</v>
      </c>
      <c r="V17" s="515" t="s">
        <v>2405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3642</v>
      </c>
      <c r="B18" s="79" t="s">
        <v>3699</v>
      </c>
      <c r="C18" s="602" t="s">
        <v>3700</v>
      </c>
      <c r="D18" s="609">
        <v>8742121.0</v>
      </c>
      <c r="E18" s="505" t="s">
        <v>18</v>
      </c>
      <c r="F18" s="505" t="s">
        <v>19</v>
      </c>
      <c r="G18" s="505" t="s">
        <v>52</v>
      </c>
      <c r="H18" s="505" t="str">
        <f>IFERROR(VLOOKUP(G18,'Cadastro de assessores'!A:B,2,FALSE),"Não Cadastrado")</f>
        <v>17831</v>
      </c>
      <c r="I18" s="505"/>
      <c r="J18" s="505" t="s">
        <v>88</v>
      </c>
      <c r="K18" s="515" t="s">
        <v>88</v>
      </c>
      <c r="L18" s="515" t="s">
        <v>3659</v>
      </c>
      <c r="M18" s="592">
        <v>44722.0</v>
      </c>
      <c r="N18" s="592">
        <v>44729.0</v>
      </c>
      <c r="O18" s="515"/>
      <c r="P18" s="515" t="s">
        <v>3660</v>
      </c>
      <c r="Q18" s="594">
        <v>0.012</v>
      </c>
      <c r="R18" s="601"/>
      <c r="S18" s="595"/>
      <c r="T18" s="515" t="s">
        <v>95</v>
      </c>
      <c r="U18" s="515" t="s">
        <v>89</v>
      </c>
      <c r="V18" s="515" t="s">
        <v>2432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2396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3642</v>
      </c>
      <c r="B19" s="79" t="s">
        <v>191</v>
      </c>
      <c r="C19" s="602" t="s">
        <v>3701</v>
      </c>
      <c r="D19" s="505">
        <v>2931994.0</v>
      </c>
      <c r="E19" s="505" t="s">
        <v>86</v>
      </c>
      <c r="F19" s="505" t="s">
        <v>29</v>
      </c>
      <c r="G19" s="505" t="s">
        <v>3702</v>
      </c>
      <c r="H19" s="505" t="str">
        <f>IFERROR(VLOOKUP(G19,'Cadastro de assessores'!A:B,2,FALSE),"Não Cadastrado")</f>
        <v>1441</v>
      </c>
      <c r="I19" s="505"/>
      <c r="J19" s="505" t="s">
        <v>88</v>
      </c>
      <c r="K19" s="515" t="s">
        <v>88</v>
      </c>
      <c r="L19" s="515" t="s">
        <v>3659</v>
      </c>
      <c r="M19" s="592">
        <v>44134.0</v>
      </c>
      <c r="N19" s="592">
        <v>44138.0</v>
      </c>
      <c r="O19" s="515"/>
      <c r="P19" s="515" t="s">
        <v>3664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89</v>
      </c>
      <c r="V19" s="515" t="s">
        <v>2432</v>
      </c>
      <c r="W19" s="515" t="s">
        <v>29</v>
      </c>
      <c r="X19" s="596" t="s">
        <v>3653</v>
      </c>
      <c r="Y19" s="596" t="s">
        <v>3653</v>
      </c>
      <c r="Z19" s="596" t="s">
        <v>3653</v>
      </c>
      <c r="AA19" s="596" t="s">
        <v>3653</v>
      </c>
      <c r="AB19" s="596" t="s">
        <v>3653</v>
      </c>
      <c r="AC19" s="596" t="s">
        <v>3653</v>
      </c>
      <c r="AD19" s="596" t="s">
        <v>3653</v>
      </c>
      <c r="AE19" s="596" t="s">
        <v>3653</v>
      </c>
      <c r="AF19" s="596" t="s">
        <v>3653</v>
      </c>
      <c r="AG19" s="596" t="s">
        <v>3653</v>
      </c>
      <c r="AH19" s="596" t="s">
        <v>3653</v>
      </c>
      <c r="AI19" s="596" t="s">
        <v>3653</v>
      </c>
      <c r="AJ19" s="596" t="s">
        <v>3703</v>
      </c>
      <c r="AK19" s="596" t="s">
        <v>3704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3642</v>
      </c>
      <c r="B20" s="79" t="s">
        <v>3705</v>
      </c>
      <c r="C20" s="602" t="s">
        <v>3706</v>
      </c>
      <c r="D20" s="505">
        <v>4608802.0</v>
      </c>
      <c r="E20" s="505" t="s">
        <v>2379</v>
      </c>
      <c r="F20" s="505" t="s">
        <v>29</v>
      </c>
      <c r="G20" s="505" t="s">
        <v>2379</v>
      </c>
      <c r="H20" s="505" t="str">
        <f>IFERROR(VLOOKUP(G20,'Cadastro de assessores'!A:B,2,FALSE),"Não Cadastrado")</f>
        <v>18986</v>
      </c>
      <c r="I20" s="505" t="s">
        <v>3675</v>
      </c>
      <c r="J20" s="505" t="s">
        <v>88</v>
      </c>
      <c r="K20" s="515" t="s">
        <v>88</v>
      </c>
      <c r="L20" s="515" t="s">
        <v>3659</v>
      </c>
      <c r="M20" s="593">
        <v>44158.0</v>
      </c>
      <c r="N20" s="593">
        <v>44180.0</v>
      </c>
      <c r="O20" s="515"/>
      <c r="P20" s="515" t="s">
        <v>3651</v>
      </c>
      <c r="Q20" s="594">
        <v>0.015</v>
      </c>
      <c r="R20" s="603" t="s">
        <v>3707</v>
      </c>
      <c r="S20" s="595"/>
      <c r="T20" s="515" t="str">
        <f t="shared" si="4"/>
        <v/>
      </c>
      <c r="U20" s="505" t="s">
        <v>89</v>
      </c>
      <c r="V20" s="505" t="s">
        <v>3708</v>
      </c>
      <c r="W20" s="505" t="s">
        <v>29</v>
      </c>
      <c r="X20" s="596" t="s">
        <v>3653</v>
      </c>
      <c r="Y20" s="596" t="s">
        <v>3653</v>
      </c>
      <c r="Z20" s="596" t="s">
        <v>3653</v>
      </c>
      <c r="AA20" s="596" t="s">
        <v>3653</v>
      </c>
      <c r="AB20" s="596" t="s">
        <v>3653</v>
      </c>
      <c r="AC20" s="596" t="s">
        <v>3653</v>
      </c>
      <c r="AD20" s="596" t="s">
        <v>3653</v>
      </c>
      <c r="AE20" s="596" t="s">
        <v>3653</v>
      </c>
      <c r="AF20" s="596" t="s">
        <v>3653</v>
      </c>
      <c r="AG20" s="596" t="s">
        <v>3653</v>
      </c>
      <c r="AH20" s="596" t="s">
        <v>3653</v>
      </c>
      <c r="AI20" s="596" t="s">
        <v>3653</v>
      </c>
      <c r="AJ20" s="596" t="s">
        <v>3653</v>
      </c>
      <c r="AK20" s="596" t="s">
        <v>3653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3642</v>
      </c>
      <c r="B21" s="79" t="s">
        <v>3709</v>
      </c>
      <c r="C21" s="602" t="s">
        <v>3710</v>
      </c>
      <c r="D21" s="505">
        <v>4441469.0</v>
      </c>
      <c r="E21" s="505" t="s">
        <v>86</v>
      </c>
      <c r="F21" s="505" t="s">
        <v>29</v>
      </c>
      <c r="G21" s="505" t="s">
        <v>3711</v>
      </c>
      <c r="H21" s="505" t="str">
        <f>IFERROR(VLOOKUP(G21,'Cadastro de assessores'!A:B,2,FALSE),"Não Cadastrado")</f>
        <v>1298</v>
      </c>
      <c r="I21" s="505"/>
      <c r="J21" s="505" t="s">
        <v>88</v>
      </c>
      <c r="K21" s="515" t="s">
        <v>88</v>
      </c>
      <c r="L21" s="515" t="s">
        <v>3659</v>
      </c>
      <c r="M21" s="592">
        <v>44078.0</v>
      </c>
      <c r="N21" s="592">
        <v>44085.0</v>
      </c>
      <c r="O21" s="515"/>
      <c r="P21" s="515" t="s">
        <v>3651</v>
      </c>
      <c r="Q21" s="594">
        <v>0.015</v>
      </c>
      <c r="R21" s="601" t="s">
        <v>3712</v>
      </c>
      <c r="S21" s="595"/>
      <c r="T21" s="515" t="str">
        <f t="shared" si="4"/>
        <v>Não Qualificado</v>
      </c>
      <c r="U21" s="515" t="s">
        <v>89</v>
      </c>
      <c r="V21" s="515" t="s">
        <v>2641</v>
      </c>
      <c r="W21" s="515" t="s">
        <v>29</v>
      </c>
      <c r="X21" s="596" t="s">
        <v>3653</v>
      </c>
      <c r="Y21" s="596" t="s">
        <v>3653</v>
      </c>
      <c r="Z21" s="596" t="s">
        <v>3653</v>
      </c>
      <c r="AA21" s="596" t="s">
        <v>3653</v>
      </c>
      <c r="AB21" s="596" t="s">
        <v>3653</v>
      </c>
      <c r="AC21" s="596" t="s">
        <v>3653</v>
      </c>
      <c r="AD21" s="596" t="s">
        <v>3653</v>
      </c>
      <c r="AE21" s="596" t="s">
        <v>3653</v>
      </c>
      <c r="AF21" s="596" t="s">
        <v>3653</v>
      </c>
      <c r="AG21" s="596" t="s">
        <v>3653</v>
      </c>
      <c r="AH21" s="596" t="s">
        <v>3653</v>
      </c>
      <c r="AI21" s="596" t="s">
        <v>3713</v>
      </c>
      <c r="AJ21" s="596" t="s">
        <v>3714</v>
      </c>
      <c r="AK21" s="596" t="s">
        <v>3715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3642</v>
      </c>
      <c r="B22" s="79" t="s">
        <v>3716</v>
      </c>
      <c r="C22" s="127" t="s">
        <v>3717</v>
      </c>
      <c r="D22" s="608">
        <v>6032020.0</v>
      </c>
      <c r="E22" s="505" t="s">
        <v>18</v>
      </c>
      <c r="F22" s="591" t="s">
        <v>29</v>
      </c>
      <c r="G22" s="608" t="s">
        <v>2052</v>
      </c>
      <c r="H22" s="505" t="str">
        <f>IFERROR(VLOOKUP(G22,'Cadastro de assessores'!A:B,2,FALSE),"Não Cadastrado")</f>
        <v>18256</v>
      </c>
      <c r="I22" s="505"/>
      <c r="J22" s="505" t="s">
        <v>88</v>
      </c>
      <c r="K22" s="515" t="s">
        <v>88</v>
      </c>
      <c r="L22" s="515" t="s">
        <v>3659</v>
      </c>
      <c r="M22" s="592">
        <v>44537.0</v>
      </c>
      <c r="N22" s="592">
        <v>44537.0</v>
      </c>
      <c r="O22" s="608"/>
      <c r="P22" s="608" t="s">
        <v>3657</v>
      </c>
      <c r="Q22" s="556">
        <v>0.007</v>
      </c>
      <c r="R22" s="475" t="s">
        <v>3718</v>
      </c>
      <c r="S22" s="595"/>
      <c r="T22" s="515" t="str">
        <f t="shared" si="4"/>
        <v>Não Qualificado</v>
      </c>
      <c r="U22" s="515" t="s">
        <v>89</v>
      </c>
      <c r="V22" s="515" t="s">
        <v>2453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3642</v>
      </c>
      <c r="B23" s="79" t="s">
        <v>3719</v>
      </c>
      <c r="C23" s="597" t="s">
        <v>3720</v>
      </c>
      <c r="D23" s="515">
        <v>4656935.0</v>
      </c>
      <c r="E23" s="515" t="s">
        <v>86</v>
      </c>
      <c r="F23" s="515" t="s">
        <v>29</v>
      </c>
      <c r="G23" s="515" t="s">
        <v>3721</v>
      </c>
      <c r="H23" s="515" t="str">
        <f>IFERROR(VLOOKUP(G23,'Cadastro de assessores'!A:B,2,FALSE),"Não Cadastrado")</f>
        <v>13598</v>
      </c>
      <c r="I23" s="515"/>
      <c r="J23" s="598" t="s">
        <v>2393</v>
      </c>
      <c r="K23" s="515" t="s">
        <v>2393</v>
      </c>
      <c r="L23" s="515" t="s">
        <v>3675</v>
      </c>
      <c r="M23" s="599">
        <v>44180.0</v>
      </c>
      <c r="N23" s="599">
        <v>44180.0</v>
      </c>
      <c r="O23" s="600">
        <v>44705.0</v>
      </c>
      <c r="P23" s="515" t="s">
        <v>3660</v>
      </c>
      <c r="Q23" s="594">
        <v>0.012</v>
      </c>
      <c r="R23" s="601" t="s">
        <v>3722</v>
      </c>
      <c r="S23" s="595"/>
      <c r="T23" s="515" t="str">
        <f t="shared" si="4"/>
        <v>Não Qualificado</v>
      </c>
      <c r="U23" s="515" t="s">
        <v>89</v>
      </c>
      <c r="V23" s="515" t="s">
        <v>2421</v>
      </c>
      <c r="W23" s="515" t="s">
        <v>29</v>
      </c>
      <c r="X23" s="596" t="s">
        <v>3653</v>
      </c>
      <c r="Y23" s="596" t="s">
        <v>3653</v>
      </c>
      <c r="Z23" s="596" t="s">
        <v>3653</v>
      </c>
      <c r="AA23" s="596" t="s">
        <v>3653</v>
      </c>
      <c r="AB23" s="596" t="s">
        <v>3653</v>
      </c>
      <c r="AC23" s="596" t="s">
        <v>3653</v>
      </c>
      <c r="AD23" s="596" t="s">
        <v>3653</v>
      </c>
      <c r="AE23" s="596" t="s">
        <v>3653</v>
      </c>
      <c r="AF23" s="596" t="s">
        <v>3653</v>
      </c>
      <c r="AG23" s="596" t="s">
        <v>3653</v>
      </c>
      <c r="AH23" s="596" t="s">
        <v>3653</v>
      </c>
      <c r="AI23" s="596" t="s">
        <v>3653</v>
      </c>
      <c r="AJ23" s="596" t="s">
        <v>3653</v>
      </c>
      <c r="AK23" s="596" t="s">
        <v>3653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3642</v>
      </c>
      <c r="B24" s="79" t="s">
        <v>3723</v>
      </c>
      <c r="C24" s="564" t="s">
        <v>3724</v>
      </c>
      <c r="D24" s="604">
        <v>7988957.0</v>
      </c>
      <c r="E24" s="505" t="s">
        <v>86</v>
      </c>
      <c r="F24" s="505" t="s">
        <v>29</v>
      </c>
      <c r="G24" s="505" t="s">
        <v>3725</v>
      </c>
      <c r="H24" s="505">
        <f>IFERROR(VLOOKUP(G24,'Cadastro de assessores'!A:B,2,FALSE),"Não Cadastrado")</f>
        <v>12356</v>
      </c>
      <c r="I24" s="505"/>
      <c r="J24" s="505" t="s">
        <v>88</v>
      </c>
      <c r="K24" s="515" t="s">
        <v>88</v>
      </c>
      <c r="L24" s="515" t="s">
        <v>3659</v>
      </c>
      <c r="M24" s="592">
        <v>44636.0</v>
      </c>
      <c r="N24" s="592">
        <v>44655.0</v>
      </c>
      <c r="O24" s="515"/>
      <c r="P24" s="515" t="s">
        <v>3726</v>
      </c>
      <c r="Q24" s="594">
        <v>0.01</v>
      </c>
      <c r="R24" s="601" t="s">
        <v>3727</v>
      </c>
      <c r="S24" s="595"/>
      <c r="T24" s="515" t="str">
        <f t="shared" si="4"/>
        <v>Não Qualificado</v>
      </c>
      <c r="U24" s="515" t="s">
        <v>89</v>
      </c>
      <c r="V24" s="515" t="s">
        <v>2395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3642</v>
      </c>
      <c r="B25" s="79" t="s">
        <v>3728</v>
      </c>
      <c r="C25" s="602" t="s">
        <v>3729</v>
      </c>
      <c r="D25" s="505">
        <v>97869.0</v>
      </c>
      <c r="E25" s="505" t="s">
        <v>2379</v>
      </c>
      <c r="F25" s="505" t="s">
        <v>29</v>
      </c>
      <c r="G25" s="505" t="s">
        <v>2379</v>
      </c>
      <c r="H25" s="505" t="str">
        <f>IFERROR(VLOOKUP(G25,'Cadastro de assessores'!A:B,2,FALSE),"Não Cadastrado")</f>
        <v>18986</v>
      </c>
      <c r="I25" s="505" t="s">
        <v>3675</v>
      </c>
      <c r="J25" s="505" t="s">
        <v>88</v>
      </c>
      <c r="K25" s="515" t="s">
        <v>88</v>
      </c>
      <c r="L25" s="515" t="s">
        <v>3659</v>
      </c>
      <c r="M25" s="592">
        <v>44218.0</v>
      </c>
      <c r="N25" s="592">
        <v>44218.0</v>
      </c>
      <c r="O25" s="515"/>
      <c r="P25" s="515" t="s">
        <v>3651</v>
      </c>
      <c r="Q25" s="594">
        <v>0.015</v>
      </c>
      <c r="R25" s="601"/>
      <c r="S25" s="595"/>
      <c r="T25" s="515" t="str">
        <f t="shared" si="4"/>
        <v/>
      </c>
      <c r="U25" s="515" t="s">
        <v>89</v>
      </c>
      <c r="V25" s="515" t="s">
        <v>2432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3653</v>
      </c>
      <c r="AK25" s="596" t="s">
        <v>3653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3642</v>
      </c>
      <c r="B26" s="79" t="s">
        <v>3730</v>
      </c>
      <c r="C26" s="564" t="s">
        <v>3731</v>
      </c>
      <c r="D26" s="555">
        <v>5959474.0</v>
      </c>
      <c r="E26" s="515" t="s">
        <v>18</v>
      </c>
      <c r="F26" s="504" t="s">
        <v>19</v>
      </c>
      <c r="G26" s="515" t="s">
        <v>230</v>
      </c>
      <c r="H26" s="504" t="str">
        <f>IFERROR(VLOOKUP(G26,'Cadastro de assessores'!A:B,2,FALSE),"Não Cadastrado")</f>
        <v>18009</v>
      </c>
      <c r="I26" s="504" t="s">
        <v>3675</v>
      </c>
      <c r="J26" s="598" t="s">
        <v>2393</v>
      </c>
      <c r="K26" s="515" t="s">
        <v>2393</v>
      </c>
      <c r="L26" s="515" t="s">
        <v>3646</v>
      </c>
      <c r="M26" s="600">
        <v>44405.0</v>
      </c>
      <c r="N26" s="600">
        <v>44405.0</v>
      </c>
      <c r="O26" s="555"/>
      <c r="P26" s="555" t="s">
        <v>3664</v>
      </c>
      <c r="Q26" s="594">
        <v>0.025</v>
      </c>
      <c r="R26" s="210"/>
      <c r="S26" s="595"/>
      <c r="T26" s="515" t="str">
        <f t="shared" si="4"/>
        <v/>
      </c>
      <c r="U26" s="515" t="s">
        <v>89</v>
      </c>
      <c r="V26" s="515" t="s">
        <v>2426</v>
      </c>
      <c r="W26" s="515" t="s">
        <v>3732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2396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3642</v>
      </c>
      <c r="B27" s="79" t="s">
        <v>3733</v>
      </c>
      <c r="C27" s="597" t="s">
        <v>3734</v>
      </c>
      <c r="D27" s="515">
        <v>4701151.0</v>
      </c>
      <c r="E27" s="515" t="s">
        <v>18</v>
      </c>
      <c r="F27" s="515" t="s">
        <v>29</v>
      </c>
      <c r="G27" s="515" t="s">
        <v>3650</v>
      </c>
      <c r="H27" s="515" t="str">
        <f>IFERROR(VLOOKUP(G27,'Cadastro de assessores'!A:B,2,FALSE),"Não Cadastrado")</f>
        <v>17679</v>
      </c>
      <c r="I27" s="515"/>
      <c r="J27" s="598" t="s">
        <v>2393</v>
      </c>
      <c r="K27" s="515" t="s">
        <v>2393</v>
      </c>
      <c r="L27" s="515" t="s">
        <v>3646</v>
      </c>
      <c r="M27" s="600">
        <v>44245.0</v>
      </c>
      <c r="N27" s="600">
        <v>44245.0</v>
      </c>
      <c r="O27" s="600">
        <v>44442.0</v>
      </c>
      <c r="P27" s="515" t="s">
        <v>3651</v>
      </c>
      <c r="Q27" s="594">
        <v>0.015</v>
      </c>
      <c r="R27" s="601" t="s">
        <v>3735</v>
      </c>
      <c r="S27" s="595"/>
      <c r="T27" s="515" t="str">
        <f t="shared" si="4"/>
        <v>Não Qualificado</v>
      </c>
      <c r="U27" s="515" t="s">
        <v>89</v>
      </c>
      <c r="V27" s="515" t="s">
        <v>2453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2396</v>
      </c>
      <c r="BF27" s="443" t="s">
        <v>2396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3642</v>
      </c>
      <c r="B28" s="79" t="s">
        <v>3736</v>
      </c>
      <c r="C28" s="597" t="s">
        <v>3737</v>
      </c>
      <c r="D28" s="515">
        <v>4711937.0</v>
      </c>
      <c r="E28" s="515" t="s">
        <v>86</v>
      </c>
      <c r="F28" s="515" t="s">
        <v>29</v>
      </c>
      <c r="G28" s="515" t="s">
        <v>3738</v>
      </c>
      <c r="H28" s="515" t="str">
        <f>IFERROR(VLOOKUP(G28,'Cadastro de assessores'!A:B,2,FALSE),"Não Cadastrado")</f>
        <v>14284</v>
      </c>
      <c r="I28" s="515"/>
      <c r="J28" s="598" t="s">
        <v>2393</v>
      </c>
      <c r="K28" s="515" t="s">
        <v>2393</v>
      </c>
      <c r="L28" s="515" t="s">
        <v>3646</v>
      </c>
      <c r="M28" s="600">
        <v>44202.0</v>
      </c>
      <c r="N28" s="600">
        <v>44202.0</v>
      </c>
      <c r="O28" s="515" t="s">
        <v>3739</v>
      </c>
      <c r="P28" s="515" t="s">
        <v>3647</v>
      </c>
      <c r="Q28" s="594">
        <v>0.02</v>
      </c>
      <c r="R28" s="601" t="s">
        <v>3740</v>
      </c>
      <c r="S28" s="595"/>
      <c r="T28" s="515" t="str">
        <f t="shared" si="4"/>
        <v>Não Qualificado</v>
      </c>
      <c r="U28" s="515" t="s">
        <v>89</v>
      </c>
      <c r="V28" s="515" t="s">
        <v>2421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2396</v>
      </c>
      <c r="BF28" s="443" t="s">
        <v>2396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3642</v>
      </c>
      <c r="B29" s="79" t="s">
        <v>3741</v>
      </c>
      <c r="C29" s="564" t="s">
        <v>3742</v>
      </c>
      <c r="D29" s="555">
        <v>5251498.0</v>
      </c>
      <c r="E29" s="505" t="s">
        <v>18</v>
      </c>
      <c r="F29" s="591" t="s">
        <v>19</v>
      </c>
      <c r="G29" s="505" t="s">
        <v>230</v>
      </c>
      <c r="H29" s="505" t="str">
        <f>IFERROR(VLOOKUP(G29,'Cadastro de assessores'!A:B,2,FALSE),"Não Cadastrado")</f>
        <v>18009</v>
      </c>
      <c r="I29" s="505"/>
      <c r="J29" s="505" t="s">
        <v>88</v>
      </c>
      <c r="K29" s="515" t="s">
        <v>88</v>
      </c>
      <c r="L29" s="515" t="s">
        <v>3659</v>
      </c>
      <c r="M29" s="592">
        <v>44671.0</v>
      </c>
      <c r="N29" s="592">
        <v>44308.0</v>
      </c>
      <c r="O29" s="515"/>
      <c r="P29" s="515" t="s">
        <v>3664</v>
      </c>
      <c r="Q29" s="594">
        <v>0.025</v>
      </c>
      <c r="R29" s="210"/>
      <c r="S29" s="595"/>
      <c r="T29" s="515" t="str">
        <f t="shared" si="4"/>
        <v/>
      </c>
      <c r="U29" s="515" t="s">
        <v>89</v>
      </c>
      <c r="V29" s="515" t="s">
        <v>2449</v>
      </c>
      <c r="W29" s="555" t="s">
        <v>121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3642</v>
      </c>
      <c r="B30" s="79" t="s">
        <v>277</v>
      </c>
      <c r="C30" s="602" t="s">
        <v>2474</v>
      </c>
      <c r="D30" s="505">
        <v>3403198.0</v>
      </c>
      <c r="E30" s="505" t="s">
        <v>18</v>
      </c>
      <c r="F30" s="505" t="s">
        <v>29</v>
      </c>
      <c r="G30" s="505" t="s">
        <v>333</v>
      </c>
      <c r="H30" s="505" t="str">
        <f>IFERROR(VLOOKUP(G30,'Cadastro de assessores'!A:B,2,FALSE),"Não Cadastrado")</f>
        <v>18993</v>
      </c>
      <c r="I30" s="505"/>
      <c r="J30" s="505" t="s">
        <v>88</v>
      </c>
      <c r="K30" s="515" t="s">
        <v>88</v>
      </c>
      <c r="L30" s="515" t="s">
        <v>3659</v>
      </c>
      <c r="M30" s="592">
        <v>44188.0</v>
      </c>
      <c r="N30" s="592">
        <v>43675.0</v>
      </c>
      <c r="O30" s="515"/>
      <c r="P30" s="515" t="s">
        <v>3657</v>
      </c>
      <c r="Q30" s="610">
        <v>1.0E-4</v>
      </c>
      <c r="R30" s="601"/>
      <c r="S30" s="595"/>
      <c r="T30" s="515" t="str">
        <f t="shared" si="4"/>
        <v/>
      </c>
      <c r="U30" s="515" t="s">
        <v>89</v>
      </c>
      <c r="V30" s="515" t="s">
        <v>2421</v>
      </c>
      <c r="W30" s="515" t="s">
        <v>29</v>
      </c>
      <c r="X30" s="596" t="s">
        <v>3653</v>
      </c>
      <c r="Y30" s="596" t="s">
        <v>3653</v>
      </c>
      <c r="Z30" s="596" t="s">
        <v>3653</v>
      </c>
      <c r="AA30" s="596" t="s">
        <v>3653</v>
      </c>
      <c r="AB30" s="596" t="s">
        <v>3653</v>
      </c>
      <c r="AC30" s="596" t="s">
        <v>3653</v>
      </c>
      <c r="AD30" s="596" t="s">
        <v>3653</v>
      </c>
      <c r="AE30" s="596" t="s">
        <v>3653</v>
      </c>
      <c r="AF30" s="596" t="s">
        <v>3653</v>
      </c>
      <c r="AG30" s="596" t="s">
        <v>3653</v>
      </c>
      <c r="AH30" s="596" t="s">
        <v>3653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3642</v>
      </c>
      <c r="B31" s="79" t="s">
        <v>3743</v>
      </c>
      <c r="C31" s="564" t="s">
        <v>3744</v>
      </c>
      <c r="D31" s="555">
        <v>8446035.0</v>
      </c>
      <c r="E31" s="505" t="s">
        <v>18</v>
      </c>
      <c r="F31" s="505" t="s">
        <v>19</v>
      </c>
      <c r="G31" s="555" t="s">
        <v>52</v>
      </c>
      <c r="H31" s="505" t="str">
        <f>IFERROR(VLOOKUP(G31,'Cadastro de assessores'!A:B,2,FALSE),"Não Cadastrado")</f>
        <v>17831</v>
      </c>
      <c r="I31" s="505" t="s">
        <v>3675</v>
      </c>
      <c r="J31" s="505" t="s">
        <v>3745</v>
      </c>
      <c r="K31" s="515" t="s">
        <v>116</v>
      </c>
      <c r="L31" s="515" t="s">
        <v>3646</v>
      </c>
      <c r="M31" s="505" t="s">
        <v>3746</v>
      </c>
      <c r="N31" s="592">
        <v>44692.0</v>
      </c>
      <c r="O31" s="555"/>
      <c r="P31" s="555" t="s">
        <v>3651</v>
      </c>
      <c r="Q31" s="594">
        <v>0.015</v>
      </c>
      <c r="R31" s="210" t="s">
        <v>3747</v>
      </c>
      <c r="S31" s="595"/>
      <c r="T31" s="515" t="str">
        <f t="shared" si="4"/>
        <v>Não Qualificado</v>
      </c>
      <c r="U31" s="515" t="s">
        <v>89</v>
      </c>
      <c r="V31" s="515" t="s">
        <v>2482</v>
      </c>
      <c r="W31" s="555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2396</v>
      </c>
      <c r="BF31" s="443" t="s">
        <v>2396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3642</v>
      </c>
      <c r="B32" s="79" t="s">
        <v>280</v>
      </c>
      <c r="C32" s="602" t="s">
        <v>3748</v>
      </c>
      <c r="D32" s="505">
        <v>4425564.0</v>
      </c>
      <c r="E32" s="505" t="s">
        <v>18</v>
      </c>
      <c r="F32" s="505" t="s">
        <v>29</v>
      </c>
      <c r="G32" s="505" t="s">
        <v>58</v>
      </c>
      <c r="H32" s="505">
        <f>IFERROR(VLOOKUP(G32,'Cadastro de assessores'!A:B,2,FALSE),"Não Cadastrado")</f>
        <v>12359</v>
      </c>
      <c r="I32" s="505"/>
      <c r="J32" s="505" t="s">
        <v>88</v>
      </c>
      <c r="K32" s="515" t="s">
        <v>88</v>
      </c>
      <c r="L32" s="515" t="s">
        <v>3659</v>
      </c>
      <c r="M32" s="592">
        <v>44076.0</v>
      </c>
      <c r="N32" s="592">
        <v>44076.0</v>
      </c>
      <c r="O32" s="515"/>
      <c r="P32" s="515" t="s">
        <v>3660</v>
      </c>
      <c r="Q32" s="594">
        <v>0.012</v>
      </c>
      <c r="R32" s="601" t="s">
        <v>3749</v>
      </c>
      <c r="S32" s="595"/>
      <c r="T32" s="515" t="str">
        <f t="shared" si="4"/>
        <v>Não Qualificado</v>
      </c>
      <c r="U32" s="515" t="s">
        <v>89</v>
      </c>
      <c r="V32" s="515" t="s">
        <v>2395</v>
      </c>
      <c r="W32" s="515" t="s">
        <v>29</v>
      </c>
      <c r="X32" s="596" t="s">
        <v>3653</v>
      </c>
      <c r="Y32" s="596" t="s">
        <v>3653</v>
      </c>
      <c r="Z32" s="596" t="s">
        <v>3653</v>
      </c>
      <c r="AA32" s="596" t="s">
        <v>3653</v>
      </c>
      <c r="AB32" s="596" t="s">
        <v>3653</v>
      </c>
      <c r="AC32" s="596" t="s">
        <v>3653</v>
      </c>
      <c r="AD32" s="596" t="s">
        <v>3653</v>
      </c>
      <c r="AE32" s="596" t="s">
        <v>3653</v>
      </c>
      <c r="AF32" s="596" t="s">
        <v>3653</v>
      </c>
      <c r="AG32" s="596" t="s">
        <v>3653</v>
      </c>
      <c r="AH32" s="596" t="s">
        <v>3653</v>
      </c>
      <c r="AI32" s="596" t="s">
        <v>3750</v>
      </c>
      <c r="AJ32" s="596" t="s">
        <v>3751</v>
      </c>
      <c r="AK32" s="596" t="s">
        <v>3752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3642</v>
      </c>
      <c r="B33" s="79" t="s">
        <v>283</v>
      </c>
      <c r="C33" s="564" t="s">
        <v>3753</v>
      </c>
      <c r="D33" s="555">
        <v>5613795.0</v>
      </c>
      <c r="E33" s="505" t="s">
        <v>18</v>
      </c>
      <c r="F33" s="591" t="s">
        <v>19</v>
      </c>
      <c r="G33" s="555" t="s">
        <v>52</v>
      </c>
      <c r="H33" s="555" t="str">
        <f>IFERROR(VLOOKUP(G33,'Cadastro de assessores'!A:B,2,FALSE),"Não Cadastrado")</f>
        <v>17831</v>
      </c>
      <c r="I33" s="555" t="s">
        <v>3675</v>
      </c>
      <c r="J33" s="505" t="s">
        <v>88</v>
      </c>
      <c r="K33" s="515" t="s">
        <v>88</v>
      </c>
      <c r="L33" s="505" t="s">
        <v>3659</v>
      </c>
      <c r="M33" s="592">
        <v>44351.0</v>
      </c>
      <c r="N33" s="592">
        <v>44351.0</v>
      </c>
      <c r="O33" s="515"/>
      <c r="P33" s="515" t="s">
        <v>3651</v>
      </c>
      <c r="Q33" s="594">
        <v>0.015</v>
      </c>
      <c r="R33" s="210"/>
      <c r="S33" s="595"/>
      <c r="T33" s="515" t="str">
        <f t="shared" si="4"/>
        <v>Não Qualificado</v>
      </c>
      <c r="U33" s="515" t="s">
        <v>89</v>
      </c>
      <c r="V33" s="515" t="s">
        <v>3754</v>
      </c>
      <c r="W33" s="555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3642</v>
      </c>
      <c r="B34" s="79" t="s">
        <v>3755</v>
      </c>
      <c r="C34" s="564" t="s">
        <v>288</v>
      </c>
      <c r="D34" s="555">
        <v>429563.0</v>
      </c>
      <c r="E34" s="505" t="s">
        <v>18</v>
      </c>
      <c r="F34" s="505" t="s">
        <v>19</v>
      </c>
      <c r="G34" s="505" t="s">
        <v>20</v>
      </c>
      <c r="H34" s="555">
        <f>IFERROR(VLOOKUP(G34,'Cadastro de assessores'!A:B,2,FALSE),"Não Cadastrado")</f>
        <v>12331</v>
      </c>
      <c r="I34" s="505" t="s">
        <v>3675</v>
      </c>
      <c r="J34" s="505" t="s">
        <v>88</v>
      </c>
      <c r="K34" s="515" t="s">
        <v>88</v>
      </c>
      <c r="L34" s="515" t="s">
        <v>3659</v>
      </c>
      <c r="M34" s="605">
        <v>44820.0</v>
      </c>
      <c r="N34" s="605">
        <v>44820.0</v>
      </c>
      <c r="O34" s="515"/>
      <c r="P34" s="515" t="s">
        <v>3651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3642</v>
      </c>
      <c r="B35" s="79" t="s">
        <v>297</v>
      </c>
      <c r="C35" s="564" t="s">
        <v>295</v>
      </c>
      <c r="D35" s="555">
        <v>4085020.0</v>
      </c>
      <c r="E35" s="505" t="s">
        <v>18</v>
      </c>
      <c r="F35" s="505" t="s">
        <v>19</v>
      </c>
      <c r="G35" s="505" t="s">
        <v>201</v>
      </c>
      <c r="H35" s="505" t="s">
        <v>3756</v>
      </c>
      <c r="I35" s="505" t="s">
        <v>3675</v>
      </c>
      <c r="J35" s="505" t="s">
        <v>88</v>
      </c>
      <c r="K35" s="515" t="s">
        <v>88</v>
      </c>
      <c r="L35" s="515" t="s">
        <v>3659</v>
      </c>
      <c r="M35" s="605">
        <v>44767.0</v>
      </c>
      <c r="N35" s="605">
        <v>44767.0</v>
      </c>
      <c r="O35" s="515"/>
      <c r="P35" s="515" t="s">
        <v>3657</v>
      </c>
      <c r="Q35" s="594">
        <v>0.007</v>
      </c>
      <c r="R35" s="601" t="s">
        <v>3757</v>
      </c>
      <c r="S35" s="595"/>
      <c r="T35" s="515" t="s">
        <v>95</v>
      </c>
      <c r="U35" s="515" t="s">
        <v>89</v>
      </c>
      <c r="V35" s="515" t="s">
        <v>2482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2396</v>
      </c>
      <c r="BF35" s="443" t="s">
        <v>2396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3642</v>
      </c>
      <c r="B36" s="79" t="s">
        <v>3758</v>
      </c>
      <c r="C36" s="564" t="s">
        <v>3759</v>
      </c>
      <c r="D36" s="555">
        <v>6582452.0</v>
      </c>
      <c r="E36" s="505" t="s">
        <v>18</v>
      </c>
      <c r="F36" s="591" t="s">
        <v>19</v>
      </c>
      <c r="G36" s="505" t="s">
        <v>230</v>
      </c>
      <c r="H36" s="555" t="str">
        <f>IFERROR(VLOOKUP(G36,'Cadastro de assessores'!A:B,2,FALSE),"Não Cadastrado")</f>
        <v>18009</v>
      </c>
      <c r="I36" s="505" t="s">
        <v>3675</v>
      </c>
      <c r="J36" s="598" t="s">
        <v>2393</v>
      </c>
      <c r="K36" s="515" t="s">
        <v>88</v>
      </c>
      <c r="L36" s="505" t="s">
        <v>3646</v>
      </c>
      <c r="M36" s="554">
        <v>44454.0</v>
      </c>
      <c r="N36" s="554">
        <v>44460.0</v>
      </c>
      <c r="O36" s="611">
        <v>44838.0</v>
      </c>
      <c r="P36" s="608" t="s">
        <v>3760</v>
      </c>
      <c r="Q36" s="594">
        <v>0.008</v>
      </c>
      <c r="R36" s="210" t="s">
        <v>3761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89</v>
      </c>
      <c r="V36" s="515" t="s">
        <v>2449</v>
      </c>
      <c r="W36" s="555" t="s">
        <v>121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3762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3642</v>
      </c>
      <c r="B37" s="79" t="s">
        <v>3763</v>
      </c>
      <c r="C37" s="564" t="s">
        <v>3764</v>
      </c>
      <c r="D37" s="515">
        <v>4432780.0</v>
      </c>
      <c r="E37" s="505" t="s">
        <v>18</v>
      </c>
      <c r="F37" s="505" t="s">
        <v>19</v>
      </c>
      <c r="G37" s="505" t="s">
        <v>230</v>
      </c>
      <c r="H37" s="505" t="str">
        <f>IFERROR(VLOOKUP(G37,'Cadastro de assessores'!A:B,2,FALSE),"Não Cadastrado")</f>
        <v>18009</v>
      </c>
      <c r="I37" s="505" t="s">
        <v>3675</v>
      </c>
      <c r="J37" s="505" t="s">
        <v>88</v>
      </c>
      <c r="K37" s="515" t="s">
        <v>88</v>
      </c>
      <c r="L37" s="515" t="s">
        <v>3659</v>
      </c>
      <c r="M37" s="592">
        <v>44078.0</v>
      </c>
      <c r="N37" s="592">
        <v>44078.0</v>
      </c>
      <c r="O37" s="515"/>
      <c r="P37" s="515" t="s">
        <v>3664</v>
      </c>
      <c r="Q37" s="594">
        <v>0.025</v>
      </c>
      <c r="R37" s="603" t="s">
        <v>3765</v>
      </c>
      <c r="S37" s="595"/>
      <c r="T37" s="515" t="str">
        <f t="shared" si="5"/>
        <v>Não Qualificado</v>
      </c>
      <c r="U37" s="505" t="s">
        <v>329</v>
      </c>
      <c r="V37" s="505" t="s">
        <v>2453</v>
      </c>
      <c r="W37" s="505" t="s">
        <v>29</v>
      </c>
      <c r="X37" s="596" t="s">
        <v>3653</v>
      </c>
      <c r="Y37" s="596" t="s">
        <v>3653</v>
      </c>
      <c r="Z37" s="596" t="s">
        <v>3653</v>
      </c>
      <c r="AA37" s="596" t="s">
        <v>3653</v>
      </c>
      <c r="AB37" s="596" t="s">
        <v>3653</v>
      </c>
      <c r="AC37" s="596" t="s">
        <v>3653</v>
      </c>
      <c r="AD37" s="596" t="s">
        <v>3653</v>
      </c>
      <c r="AE37" s="596" t="s">
        <v>3653</v>
      </c>
      <c r="AF37" s="596" t="s">
        <v>3653</v>
      </c>
      <c r="AG37" s="596" t="s">
        <v>3653</v>
      </c>
      <c r="AH37" s="596" t="s">
        <v>3653</v>
      </c>
      <c r="AI37" s="596" t="s">
        <v>3766</v>
      </c>
      <c r="AJ37" s="596" t="s">
        <v>3767</v>
      </c>
      <c r="AK37" s="596" t="s">
        <v>3768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3642</v>
      </c>
      <c r="B38" s="79" t="s">
        <v>3769</v>
      </c>
      <c r="C38" s="597" t="s">
        <v>3770</v>
      </c>
      <c r="D38" s="612">
        <v>8104478.0</v>
      </c>
      <c r="E38" s="505" t="s">
        <v>18</v>
      </c>
      <c r="F38" s="505" t="s">
        <v>19</v>
      </c>
      <c r="G38" s="505" t="s">
        <v>1672</v>
      </c>
      <c r="H38" s="505">
        <f>IFERROR(VLOOKUP(G38,'Cadastro de assessores'!A:B,2,FALSE),"Não Cadastrado")</f>
        <v>12350</v>
      </c>
      <c r="I38" s="505"/>
      <c r="J38" s="505" t="s">
        <v>88</v>
      </c>
      <c r="K38" s="515" t="s">
        <v>88</v>
      </c>
      <c r="L38" s="515" t="s">
        <v>3659</v>
      </c>
      <c r="M38" s="605">
        <v>44798.0</v>
      </c>
      <c r="N38" s="605">
        <v>44812.0</v>
      </c>
      <c r="O38" s="555"/>
      <c r="P38" s="555" t="s">
        <v>3657</v>
      </c>
      <c r="Q38" s="594">
        <v>0.01</v>
      </c>
      <c r="R38" s="601" t="s">
        <v>3771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3642</v>
      </c>
      <c r="B39" s="79" t="s">
        <v>309</v>
      </c>
      <c r="C39" s="597" t="s">
        <v>306</v>
      </c>
      <c r="D39" s="515">
        <v>8039639.0</v>
      </c>
      <c r="E39" s="505" t="s">
        <v>18</v>
      </c>
      <c r="F39" s="505" t="s">
        <v>29</v>
      </c>
      <c r="G39" s="505" t="s">
        <v>137</v>
      </c>
      <c r="H39" s="505">
        <f>IFERROR(VLOOKUP(G39,'Cadastro de assessores'!A:B,2,FALSE),"Não Cadastrado")</f>
        <v>12344</v>
      </c>
      <c r="I39" s="505"/>
      <c r="J39" s="505" t="s">
        <v>88</v>
      </c>
      <c r="K39" s="515" t="s">
        <v>88</v>
      </c>
      <c r="L39" s="515" t="s">
        <v>3659</v>
      </c>
      <c r="M39" s="605">
        <v>44631.0</v>
      </c>
      <c r="N39" s="605">
        <v>44636.0</v>
      </c>
      <c r="O39" s="555"/>
      <c r="P39" s="555" t="s">
        <v>3657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89</v>
      </c>
      <c r="V39" s="505" t="s">
        <v>2486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3642</v>
      </c>
      <c r="B40" s="79" t="s">
        <v>3772</v>
      </c>
      <c r="C40" s="597" t="s">
        <v>3773</v>
      </c>
      <c r="D40" s="515">
        <v>4785856.0</v>
      </c>
      <c r="E40" s="505" t="s">
        <v>18</v>
      </c>
      <c r="F40" s="505" t="s">
        <v>29</v>
      </c>
      <c r="G40" s="505" t="s">
        <v>58</v>
      </c>
      <c r="H40" s="505">
        <f>IFERROR(VLOOKUP(G40,'Cadastro de assessores'!A:B,2,FALSE),"Não Cadastrado")</f>
        <v>12359</v>
      </c>
      <c r="I40" s="505"/>
      <c r="J40" s="505" t="s">
        <v>88</v>
      </c>
      <c r="K40" s="515" t="s">
        <v>88</v>
      </c>
      <c r="L40" s="515" t="s">
        <v>3659</v>
      </c>
      <c r="M40" s="592">
        <v>44582.0</v>
      </c>
      <c r="N40" s="592">
        <v>44217.0</v>
      </c>
      <c r="O40" s="515"/>
      <c r="P40" s="515" t="s">
        <v>3651</v>
      </c>
      <c r="Q40" s="594">
        <v>0.015</v>
      </c>
      <c r="R40" s="601" t="s">
        <v>3749</v>
      </c>
      <c r="S40" s="595"/>
      <c r="T40" s="515" t="str">
        <f t="shared" si="6"/>
        <v>Não Qualificado</v>
      </c>
      <c r="U40" s="505" t="s">
        <v>89</v>
      </c>
      <c r="V40" s="505" t="s">
        <v>2453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3653</v>
      </c>
      <c r="AK40" s="596"/>
      <c r="AL40" s="443" t="s">
        <v>2430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3642</v>
      </c>
      <c r="B41" s="79" t="s">
        <v>3774</v>
      </c>
      <c r="C41" s="564" t="s">
        <v>3775</v>
      </c>
      <c r="D41" s="555">
        <v>6456469.0</v>
      </c>
      <c r="E41" s="505" t="s">
        <v>18</v>
      </c>
      <c r="F41" s="591" t="s">
        <v>29</v>
      </c>
      <c r="G41" s="505" t="s">
        <v>633</v>
      </c>
      <c r="H41" s="505" t="str">
        <f>IFERROR(VLOOKUP(G41,'Cadastro de assessores'!A:B,2,FALSE),"Não Cadastrado")</f>
        <v>18467</v>
      </c>
      <c r="I41" s="505"/>
      <c r="J41" s="598" t="s">
        <v>2393</v>
      </c>
      <c r="K41" s="515" t="s">
        <v>88</v>
      </c>
      <c r="L41" s="515" t="s">
        <v>3659</v>
      </c>
      <c r="M41" s="592">
        <v>44463.0</v>
      </c>
      <c r="N41" s="592">
        <v>44466.0</v>
      </c>
      <c r="O41" s="554">
        <v>45154.0</v>
      </c>
      <c r="P41" s="555" t="s">
        <v>3647</v>
      </c>
      <c r="Q41" s="594">
        <v>0.02</v>
      </c>
      <c r="R41" s="210" t="s">
        <v>3776</v>
      </c>
      <c r="S41" s="595"/>
      <c r="T41" s="515" t="str">
        <f t="shared" si="6"/>
        <v>Não Qualificado</v>
      </c>
      <c r="U41" s="515" t="s">
        <v>89</v>
      </c>
      <c r="V41" s="515" t="s">
        <v>2410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3642</v>
      </c>
      <c r="B42" s="79" t="s">
        <v>3777</v>
      </c>
      <c r="C42" s="564" t="s">
        <v>3778</v>
      </c>
      <c r="D42" s="555">
        <v>5650271.0</v>
      </c>
      <c r="E42" s="515" t="s">
        <v>86</v>
      </c>
      <c r="F42" s="504" t="s">
        <v>29</v>
      </c>
      <c r="G42" s="504" t="s">
        <v>3486</v>
      </c>
      <c r="H42" s="504" t="str">
        <f>IFERROR(VLOOKUP(G42,'Cadastro de assessores'!A:B,2,FALSE),"Não Cadastrado")</f>
        <v>14574</v>
      </c>
      <c r="I42" s="504"/>
      <c r="J42" s="598" t="s">
        <v>2393</v>
      </c>
      <c r="K42" s="515" t="s">
        <v>2393</v>
      </c>
      <c r="L42" s="515" t="s">
        <v>3646</v>
      </c>
      <c r="M42" s="600">
        <v>44362.0</v>
      </c>
      <c r="N42" s="600">
        <v>44362.0</v>
      </c>
      <c r="O42" s="600">
        <v>44680.0</v>
      </c>
      <c r="P42" s="515" t="s">
        <v>3660</v>
      </c>
      <c r="Q42" s="594">
        <v>0.012</v>
      </c>
      <c r="R42" s="210" t="s">
        <v>3779</v>
      </c>
      <c r="S42" s="595"/>
      <c r="T42" s="515" t="str">
        <f t="shared" si="6"/>
        <v/>
      </c>
      <c r="U42" s="515" t="s">
        <v>89</v>
      </c>
      <c r="V42" s="515" t="s">
        <v>2505</v>
      </c>
      <c r="W42" s="555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2396</v>
      </c>
      <c r="BF42" s="443" t="s">
        <v>2396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3642</v>
      </c>
      <c r="B43" s="79" t="s">
        <v>3780</v>
      </c>
      <c r="C43" s="564" t="s">
        <v>3781</v>
      </c>
      <c r="D43" s="555">
        <v>5167097.0</v>
      </c>
      <c r="E43" s="505" t="s">
        <v>18</v>
      </c>
      <c r="F43" s="591" t="s">
        <v>19</v>
      </c>
      <c r="G43" s="505" t="s">
        <v>230</v>
      </c>
      <c r="H43" s="591" t="str">
        <f>IFERROR(VLOOKUP(G43,'Cadastro de assessores'!A:B,2,FALSE),"Não Cadastrado")</f>
        <v>18009</v>
      </c>
      <c r="I43" s="591"/>
      <c r="J43" s="505" t="s">
        <v>3645</v>
      </c>
      <c r="K43" s="515" t="s">
        <v>88</v>
      </c>
      <c r="L43" s="515" t="s">
        <v>3646</v>
      </c>
      <c r="M43" s="592">
        <v>44295.0</v>
      </c>
      <c r="N43" s="592">
        <v>44298.0</v>
      </c>
      <c r="O43" s="515"/>
      <c r="P43" s="515" t="s">
        <v>3660</v>
      </c>
      <c r="Q43" s="594">
        <v>0.012</v>
      </c>
      <c r="R43" s="210" t="s">
        <v>3782</v>
      </c>
      <c r="S43" s="595"/>
      <c r="T43" s="515" t="str">
        <f t="shared" si="6"/>
        <v/>
      </c>
      <c r="U43" s="515" t="s">
        <v>89</v>
      </c>
      <c r="V43" s="515" t="s">
        <v>2426</v>
      </c>
      <c r="W43" s="515" t="s">
        <v>3732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2396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3642</v>
      </c>
      <c r="B44" s="79" t="s">
        <v>3783</v>
      </c>
      <c r="C44" s="597" t="s">
        <v>3784</v>
      </c>
      <c r="D44" s="515">
        <v>2352697.0</v>
      </c>
      <c r="E44" s="515" t="s">
        <v>2379</v>
      </c>
      <c r="F44" s="515" t="s">
        <v>29</v>
      </c>
      <c r="G44" s="515" t="s">
        <v>2379</v>
      </c>
      <c r="H44" s="515" t="str">
        <f>IFERROR(VLOOKUP(G44,'Cadastro de assessores'!A:B,2,FALSE),"Não Cadastrado")</f>
        <v>18986</v>
      </c>
      <c r="I44" s="515"/>
      <c r="J44" s="598" t="s">
        <v>2393</v>
      </c>
      <c r="K44" s="515" t="s">
        <v>2393</v>
      </c>
      <c r="L44" s="515" t="s">
        <v>3646</v>
      </c>
      <c r="M44" s="600">
        <v>43838.0</v>
      </c>
      <c r="N44" s="600">
        <v>43838.0</v>
      </c>
      <c r="O44" s="600">
        <v>44042.0</v>
      </c>
      <c r="P44" s="515" t="s">
        <v>3785</v>
      </c>
      <c r="Q44" s="594">
        <v>0.025</v>
      </c>
      <c r="R44" s="601" t="s">
        <v>3786</v>
      </c>
      <c r="S44" s="595"/>
      <c r="T44" s="515" t="str">
        <f t="shared" si="6"/>
        <v>Não Qualificado</v>
      </c>
      <c r="U44" s="515" t="s">
        <v>89</v>
      </c>
      <c r="V44" s="515" t="s">
        <v>2410</v>
      </c>
      <c r="W44" s="515" t="s">
        <v>29</v>
      </c>
      <c r="X44" s="596" t="s">
        <v>3653</v>
      </c>
      <c r="Y44" s="596" t="s">
        <v>3653</v>
      </c>
      <c r="Z44" s="596" t="s">
        <v>3653</v>
      </c>
      <c r="AA44" s="596" t="s">
        <v>3787</v>
      </c>
      <c r="AB44" s="596" t="s">
        <v>3788</v>
      </c>
      <c r="AC44" s="596" t="s">
        <v>3789</v>
      </c>
      <c r="AD44" s="596" t="s">
        <v>3790</v>
      </c>
      <c r="AE44" s="596" t="s">
        <v>3791</v>
      </c>
      <c r="AF44" s="596" t="s">
        <v>3653</v>
      </c>
      <c r="AG44" s="596" t="s">
        <v>3653</v>
      </c>
      <c r="AH44" s="596" t="s">
        <v>3653</v>
      </c>
      <c r="AI44" s="596"/>
      <c r="AJ44" s="596"/>
      <c r="AK44" s="596"/>
      <c r="AL44" s="443"/>
      <c r="AM44" s="443"/>
      <c r="AN44" s="443" t="s">
        <v>2430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2396</v>
      </c>
      <c r="BF44" s="443" t="s">
        <v>2396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3642</v>
      </c>
      <c r="B45" s="79" t="s">
        <v>3792</v>
      </c>
      <c r="C45" s="597" t="s">
        <v>3793</v>
      </c>
      <c r="D45" s="515">
        <v>3214407.0</v>
      </c>
      <c r="E45" s="505" t="s">
        <v>18</v>
      </c>
      <c r="F45" s="505" t="s">
        <v>19</v>
      </c>
      <c r="G45" s="505" t="s">
        <v>201</v>
      </c>
      <c r="H45" s="515" t="str">
        <f>IFERROR(VLOOKUP(G45,'Cadastro de assessores'!A:B,2,FALSE),"Não Cadastrado")</f>
        <v>18890</v>
      </c>
      <c r="I45" s="515"/>
      <c r="J45" s="505" t="s">
        <v>3001</v>
      </c>
      <c r="K45" s="515" t="s">
        <v>116</v>
      </c>
      <c r="L45" s="515"/>
      <c r="M45" s="505" t="s">
        <v>2430</v>
      </c>
      <c r="N45" s="592"/>
      <c r="O45" s="515"/>
      <c r="P45" s="515" t="s">
        <v>3664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3642</v>
      </c>
      <c r="B46" s="79" t="s">
        <v>3794</v>
      </c>
      <c r="C46" s="613" t="s">
        <v>3795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88</v>
      </c>
      <c r="K46" s="505"/>
      <c r="L46" s="515"/>
      <c r="M46" s="592"/>
      <c r="N46" s="592">
        <v>44936.0</v>
      </c>
      <c r="O46" s="515"/>
      <c r="P46" s="515" t="s">
        <v>3657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3642</v>
      </c>
      <c r="B47" s="79" t="s">
        <v>3796</v>
      </c>
      <c r="C47" s="597" t="s">
        <v>3797</v>
      </c>
      <c r="D47" s="515">
        <v>3022313.0</v>
      </c>
      <c r="E47" s="505" t="s">
        <v>18</v>
      </c>
      <c r="F47" s="505" t="s">
        <v>29</v>
      </c>
      <c r="G47" s="505" t="s">
        <v>3798</v>
      </c>
      <c r="H47" s="505" t="str">
        <f>IFERROR(VLOOKUP(G47,'Cadastro de assessores'!A:B,2,FALSE),"Não Cadastrado")</f>
        <v>16855</v>
      </c>
      <c r="I47" s="505"/>
      <c r="J47" s="505" t="s">
        <v>88</v>
      </c>
      <c r="K47" s="505" t="s">
        <v>88</v>
      </c>
      <c r="L47" s="515" t="s">
        <v>3659</v>
      </c>
      <c r="M47" s="592">
        <v>43964.0</v>
      </c>
      <c r="N47" s="592">
        <v>44061.0</v>
      </c>
      <c r="O47" s="515"/>
      <c r="P47" s="515" t="s">
        <v>3651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89</v>
      </c>
      <c r="V47" s="515" t="s">
        <v>2486</v>
      </c>
      <c r="W47" s="515" t="s">
        <v>29</v>
      </c>
      <c r="X47" s="596" t="s">
        <v>3653</v>
      </c>
      <c r="Y47" s="596" t="s">
        <v>3653</v>
      </c>
      <c r="Z47" s="596" t="s">
        <v>3653</v>
      </c>
      <c r="AA47" s="596" t="s">
        <v>3653</v>
      </c>
      <c r="AB47" s="596" t="s">
        <v>3653</v>
      </c>
      <c r="AC47" s="596" t="s">
        <v>3653</v>
      </c>
      <c r="AD47" s="596" t="s">
        <v>3653</v>
      </c>
      <c r="AE47" s="596" t="s">
        <v>3653</v>
      </c>
      <c r="AF47" s="596" t="s">
        <v>3653</v>
      </c>
      <c r="AG47" s="596" t="s">
        <v>3653</v>
      </c>
      <c r="AH47" s="596" t="s">
        <v>3799</v>
      </c>
      <c r="AI47" s="596" t="s">
        <v>3800</v>
      </c>
      <c r="AJ47" s="596" t="s">
        <v>3801</v>
      </c>
      <c r="AK47" s="596" t="s">
        <v>3802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3642</v>
      </c>
      <c r="B48" s="79" t="s">
        <v>3803</v>
      </c>
      <c r="C48" s="597" t="s">
        <v>3804</v>
      </c>
      <c r="D48" s="515">
        <v>4744962.0</v>
      </c>
      <c r="E48" s="505" t="s">
        <v>2379</v>
      </c>
      <c r="F48" s="505" t="s">
        <v>29</v>
      </c>
      <c r="G48" s="505" t="s">
        <v>2380</v>
      </c>
      <c r="H48" s="505" t="str">
        <f>IFERROR(VLOOKUP(G48,'Cadastro de assessores'!A:B,2,FALSE),"Não Cadastrado")</f>
        <v>17573</v>
      </c>
      <c r="I48" s="505"/>
      <c r="J48" s="614" t="s">
        <v>2429</v>
      </c>
      <c r="K48" s="515" t="s">
        <v>116</v>
      </c>
      <c r="L48" s="515" t="s">
        <v>3659</v>
      </c>
      <c r="M48" s="505" t="s">
        <v>2430</v>
      </c>
      <c r="N48" s="606"/>
      <c r="O48" s="515"/>
      <c r="P48" s="515" t="s">
        <v>3660</v>
      </c>
      <c r="Q48" s="594">
        <v>0.012</v>
      </c>
      <c r="R48" s="601"/>
      <c r="S48" s="595"/>
      <c r="T48" s="515" t="str">
        <f t="shared" si="7"/>
        <v>Não Qualificado</v>
      </c>
      <c r="U48" s="515" t="s">
        <v>89</v>
      </c>
      <c r="V48" s="515" t="s">
        <v>2449</v>
      </c>
      <c r="W48" s="515" t="s">
        <v>121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2396</v>
      </c>
      <c r="BF48" s="443" t="s">
        <v>2396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3642</v>
      </c>
      <c r="B49" s="79" t="s">
        <v>3805</v>
      </c>
      <c r="C49" s="564" t="s">
        <v>3806</v>
      </c>
      <c r="D49" s="515">
        <v>4448534.0</v>
      </c>
      <c r="E49" s="505" t="s">
        <v>18</v>
      </c>
      <c r="F49" s="505" t="s">
        <v>19</v>
      </c>
      <c r="G49" s="505" t="s">
        <v>230</v>
      </c>
      <c r="H49" s="505" t="str">
        <f>IFERROR(VLOOKUP(G49,'Cadastro de assessores'!A:B,2,FALSE),"Não Cadastrado")</f>
        <v>18009</v>
      </c>
      <c r="I49" s="505"/>
      <c r="J49" s="598" t="s">
        <v>2393</v>
      </c>
      <c r="K49" s="505" t="s">
        <v>88</v>
      </c>
      <c r="L49" s="515" t="s">
        <v>3659</v>
      </c>
      <c r="M49" s="592">
        <v>44090.0</v>
      </c>
      <c r="N49" s="592">
        <v>44090.0</v>
      </c>
      <c r="O49" s="600">
        <v>44942.0</v>
      </c>
      <c r="P49" s="515" t="s">
        <v>3664</v>
      </c>
      <c r="Q49" s="594">
        <v>0.025</v>
      </c>
      <c r="R49" s="601"/>
      <c r="S49" s="595"/>
      <c r="T49" s="515" t="str">
        <f t="shared" si="7"/>
        <v>Não Qualificado</v>
      </c>
      <c r="U49" s="515" t="s">
        <v>89</v>
      </c>
      <c r="V49" s="515" t="s">
        <v>2395</v>
      </c>
      <c r="W49" s="515" t="s">
        <v>29</v>
      </c>
      <c r="X49" s="596" t="s">
        <v>3653</v>
      </c>
      <c r="Y49" s="596" t="s">
        <v>3653</v>
      </c>
      <c r="Z49" s="596" t="s">
        <v>3653</v>
      </c>
      <c r="AA49" s="596" t="s">
        <v>3653</v>
      </c>
      <c r="AB49" s="596" t="s">
        <v>3653</v>
      </c>
      <c r="AC49" s="596" t="s">
        <v>3653</v>
      </c>
      <c r="AD49" s="596" t="s">
        <v>3653</v>
      </c>
      <c r="AE49" s="596" t="s">
        <v>3653</v>
      </c>
      <c r="AF49" s="596" t="s">
        <v>3653</v>
      </c>
      <c r="AG49" s="596" t="s">
        <v>3653</v>
      </c>
      <c r="AH49" s="596" t="s">
        <v>3653</v>
      </c>
      <c r="AI49" s="596" t="s">
        <v>3807</v>
      </c>
      <c r="AJ49" s="596" t="s">
        <v>3808</v>
      </c>
      <c r="AK49" s="596" t="s">
        <v>3809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3642</v>
      </c>
      <c r="B50" s="79" t="s">
        <v>3810</v>
      </c>
      <c r="C50" s="564" t="s">
        <v>3811</v>
      </c>
      <c r="D50" s="555">
        <v>3533638.0</v>
      </c>
      <c r="E50" s="515" t="s">
        <v>18</v>
      </c>
      <c r="F50" s="515" t="s">
        <v>29</v>
      </c>
      <c r="G50" s="515" t="s">
        <v>3533</v>
      </c>
      <c r="H50" s="515" t="str">
        <f>IFERROR(VLOOKUP(G50,'Cadastro de assessores'!A:B,2,FALSE),"Não Cadastrado")</f>
        <v>18266</v>
      </c>
      <c r="I50" s="515"/>
      <c r="J50" s="598" t="s">
        <v>2393</v>
      </c>
      <c r="K50" s="515" t="s">
        <v>2393</v>
      </c>
      <c r="L50" s="515" t="s">
        <v>3646</v>
      </c>
      <c r="M50" s="600">
        <v>44354.0</v>
      </c>
      <c r="N50" s="600">
        <v>44354.0</v>
      </c>
      <c r="O50" s="599">
        <v>44559.0</v>
      </c>
      <c r="P50" s="515" t="s">
        <v>3664</v>
      </c>
      <c r="Q50" s="594">
        <v>0.025</v>
      </c>
      <c r="R50" s="601" t="s">
        <v>3812</v>
      </c>
      <c r="S50" s="595"/>
      <c r="T50" s="515" t="str">
        <f t="shared" si="7"/>
        <v>Não Qualificado</v>
      </c>
      <c r="U50" s="515" t="s">
        <v>89</v>
      </c>
      <c r="V50" s="515" t="s">
        <v>2671</v>
      </c>
      <c r="W50" s="555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2396</v>
      </c>
      <c r="BF50" s="443" t="s">
        <v>2396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3642</v>
      </c>
      <c r="B51" s="79" t="s">
        <v>3813</v>
      </c>
      <c r="C51" s="597" t="s">
        <v>3814</v>
      </c>
      <c r="D51" s="515">
        <v>4859203.0</v>
      </c>
      <c r="E51" s="515" t="s">
        <v>18</v>
      </c>
      <c r="F51" s="504" t="s">
        <v>19</v>
      </c>
      <c r="G51" s="515" t="s">
        <v>230</v>
      </c>
      <c r="H51" s="515" t="str">
        <f>IFERROR(VLOOKUP(G51,'Cadastro de assessores'!A:B,2,FALSE),"Não Cadastrado")</f>
        <v>18009</v>
      </c>
      <c r="I51" s="515"/>
      <c r="J51" s="598" t="s">
        <v>2393</v>
      </c>
      <c r="K51" s="515" t="s">
        <v>2393</v>
      </c>
      <c r="L51" s="515" t="s">
        <v>3659</v>
      </c>
      <c r="M51" s="600">
        <v>44239.0</v>
      </c>
      <c r="N51" s="600">
        <v>44239.0</v>
      </c>
      <c r="O51" s="600">
        <v>44700.0</v>
      </c>
      <c r="P51" s="515" t="s">
        <v>3647</v>
      </c>
      <c r="Q51" s="594">
        <v>0.02</v>
      </c>
      <c r="R51" s="601" t="s">
        <v>3815</v>
      </c>
      <c r="S51" s="595"/>
      <c r="T51" s="515" t="str">
        <f t="shared" si="7"/>
        <v>Não Qualificado</v>
      </c>
      <c r="U51" s="515" t="s">
        <v>89</v>
      </c>
      <c r="V51" s="515" t="s">
        <v>2449</v>
      </c>
      <c r="W51" s="515" t="s">
        <v>121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2396</v>
      </c>
      <c r="BF51" s="443" t="s">
        <v>2396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3642</v>
      </c>
      <c r="B52" s="79" t="s">
        <v>3816</v>
      </c>
      <c r="C52" s="597" t="s">
        <v>3817</v>
      </c>
      <c r="D52" s="515">
        <v>4409995.0</v>
      </c>
      <c r="E52" s="515" t="s">
        <v>86</v>
      </c>
      <c r="F52" s="515" t="s">
        <v>29</v>
      </c>
      <c r="G52" s="515" t="s">
        <v>3818</v>
      </c>
      <c r="H52" s="515" t="str">
        <f>IFERROR(VLOOKUP(G52,'Cadastro de assessores'!A:B,2,FALSE),"Não Cadastrado")</f>
        <v>16459</v>
      </c>
      <c r="I52" s="515"/>
      <c r="J52" s="598" t="s">
        <v>2393</v>
      </c>
      <c r="K52" s="515" t="s">
        <v>2393</v>
      </c>
      <c r="L52" s="515" t="s">
        <v>3646</v>
      </c>
      <c r="M52" s="599">
        <v>44120.0</v>
      </c>
      <c r="N52" s="599">
        <v>44120.0</v>
      </c>
      <c r="O52" s="600">
        <v>44413.0</v>
      </c>
      <c r="P52" s="515" t="s">
        <v>3651</v>
      </c>
      <c r="Q52" s="594">
        <v>0.015</v>
      </c>
      <c r="R52" s="601" t="s">
        <v>3819</v>
      </c>
      <c r="S52" s="595"/>
      <c r="T52" s="515" t="str">
        <f t="shared" si="7"/>
        <v/>
      </c>
      <c r="U52" s="515" t="s">
        <v>89</v>
      </c>
      <c r="V52" s="515" t="s">
        <v>2421</v>
      </c>
      <c r="W52" s="515" t="s">
        <v>29</v>
      </c>
      <c r="X52" s="596" t="s">
        <v>3653</v>
      </c>
      <c r="Y52" s="596" t="s">
        <v>3653</v>
      </c>
      <c r="Z52" s="596" t="s">
        <v>3653</v>
      </c>
      <c r="AA52" s="596" t="s">
        <v>3653</v>
      </c>
      <c r="AB52" s="596" t="s">
        <v>3653</v>
      </c>
      <c r="AC52" s="596" t="s">
        <v>3653</v>
      </c>
      <c r="AD52" s="596" t="s">
        <v>3653</v>
      </c>
      <c r="AE52" s="596" t="s">
        <v>3653</v>
      </c>
      <c r="AF52" s="596" t="s">
        <v>3653</v>
      </c>
      <c r="AG52" s="596" t="s">
        <v>3653</v>
      </c>
      <c r="AH52" s="596" t="s">
        <v>3653</v>
      </c>
      <c r="AI52" s="596" t="s">
        <v>3653</v>
      </c>
      <c r="AJ52" s="596" t="s">
        <v>3820</v>
      </c>
      <c r="AK52" s="596" t="s">
        <v>3821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2396</v>
      </c>
      <c r="BF52" s="443" t="s">
        <v>2396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3642</v>
      </c>
      <c r="B53" s="79" t="s">
        <v>3822</v>
      </c>
      <c r="C53" s="597" t="s">
        <v>390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88</v>
      </c>
      <c r="K53" s="505" t="s">
        <v>88</v>
      </c>
      <c r="L53" s="515" t="s">
        <v>3659</v>
      </c>
      <c r="M53" s="592">
        <v>44795.0</v>
      </c>
      <c r="N53" s="592">
        <v>44795.0</v>
      </c>
      <c r="O53" s="515"/>
      <c r="P53" s="515" t="s">
        <v>3660</v>
      </c>
      <c r="Q53" s="610">
        <v>0.012</v>
      </c>
      <c r="R53" s="601"/>
      <c r="S53" s="595"/>
      <c r="T53" s="515"/>
      <c r="U53" s="515" t="s">
        <v>329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3642</v>
      </c>
      <c r="B54" s="79" t="s">
        <v>398</v>
      </c>
      <c r="C54" s="597" t="s">
        <v>396</v>
      </c>
      <c r="D54" s="515">
        <v>1000249.0</v>
      </c>
      <c r="E54" s="505" t="s">
        <v>86</v>
      </c>
      <c r="F54" s="505" t="s">
        <v>29</v>
      </c>
      <c r="G54" s="505" t="s">
        <v>3823</v>
      </c>
      <c r="H54" s="505" t="str">
        <f>IFERROR(VLOOKUP(G54,'Cadastro de assessores'!A:B,2,FALSE),"Não Cadastrado")</f>
        <v>17896</v>
      </c>
      <c r="I54" s="505"/>
      <c r="J54" s="505" t="s">
        <v>88</v>
      </c>
      <c r="K54" s="505" t="s">
        <v>88</v>
      </c>
      <c r="L54" s="515" t="s">
        <v>3659</v>
      </c>
      <c r="M54" s="592">
        <v>44110.0</v>
      </c>
      <c r="N54" s="592">
        <v>44112.0</v>
      </c>
      <c r="O54" s="515"/>
      <c r="P54" s="515" t="s">
        <v>3824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329</v>
      </c>
      <c r="V54" s="515" t="s">
        <v>3825</v>
      </c>
      <c r="W54" s="515" t="s">
        <v>29</v>
      </c>
      <c r="X54" s="596" t="s">
        <v>3653</v>
      </c>
      <c r="Y54" s="596" t="s">
        <v>3653</v>
      </c>
      <c r="Z54" s="596" t="s">
        <v>3653</v>
      </c>
      <c r="AA54" s="596" t="s">
        <v>3653</v>
      </c>
      <c r="AB54" s="596" t="s">
        <v>3653</v>
      </c>
      <c r="AC54" s="596" t="s">
        <v>3653</v>
      </c>
      <c r="AD54" s="596" t="s">
        <v>3653</v>
      </c>
      <c r="AE54" s="596" t="s">
        <v>3653</v>
      </c>
      <c r="AF54" s="596" t="s">
        <v>3653</v>
      </c>
      <c r="AG54" s="596" t="s">
        <v>3653</v>
      </c>
      <c r="AH54" s="596" t="s">
        <v>3653</v>
      </c>
      <c r="AI54" s="596" t="s">
        <v>3653</v>
      </c>
      <c r="AJ54" s="596" t="s">
        <v>3826</v>
      </c>
      <c r="AK54" s="596" t="s">
        <v>3827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3642</v>
      </c>
      <c r="B55" s="79" t="s">
        <v>408</v>
      </c>
      <c r="C55" s="597" t="s">
        <v>3828</v>
      </c>
      <c r="D55" s="515">
        <v>552896.0</v>
      </c>
      <c r="E55" s="505" t="s">
        <v>18</v>
      </c>
      <c r="F55" s="505" t="s">
        <v>19</v>
      </c>
      <c r="G55" s="505" t="s">
        <v>3829</v>
      </c>
      <c r="H55" s="505">
        <f>IFERROR(VLOOKUP(G55,'Cadastro de assessores'!A:B,2,FALSE),"Não Cadastrado")</f>
        <v>12351</v>
      </c>
      <c r="I55" s="505"/>
      <c r="J55" s="505" t="s">
        <v>88</v>
      </c>
      <c r="K55" s="505" t="s">
        <v>88</v>
      </c>
      <c r="L55" s="515" t="s">
        <v>3659</v>
      </c>
      <c r="M55" s="592">
        <v>44694.0</v>
      </c>
      <c r="N55" s="592">
        <v>44694.0</v>
      </c>
      <c r="O55" s="515"/>
      <c r="P55" s="515" t="s">
        <v>3651</v>
      </c>
      <c r="Q55" s="594">
        <v>0.015</v>
      </c>
      <c r="R55" s="601"/>
      <c r="S55" s="595"/>
      <c r="T55" s="515" t="str">
        <f t="shared" si="8"/>
        <v>Não Qualificado</v>
      </c>
      <c r="U55" s="515" t="s">
        <v>89</v>
      </c>
      <c r="V55" s="515" t="s">
        <v>2482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3642</v>
      </c>
      <c r="B56" s="79" t="s">
        <v>3830</v>
      </c>
      <c r="C56" s="597" t="s">
        <v>3831</v>
      </c>
      <c r="D56" s="515">
        <v>4743547.0</v>
      </c>
      <c r="E56" s="515" t="s">
        <v>18</v>
      </c>
      <c r="F56" s="504" t="s">
        <v>19</v>
      </c>
      <c r="G56" s="515" t="s">
        <v>230</v>
      </c>
      <c r="H56" s="515" t="str">
        <f>IFERROR(VLOOKUP(G56,'Cadastro de assessores'!A:B,2,FALSE),"Não Cadastrado")</f>
        <v>18009</v>
      </c>
      <c r="I56" s="515"/>
      <c r="J56" s="598" t="s">
        <v>2393</v>
      </c>
      <c r="K56" s="515" t="s">
        <v>2393</v>
      </c>
      <c r="L56" s="515" t="s">
        <v>3646</v>
      </c>
      <c r="M56" s="600">
        <v>44252.0</v>
      </c>
      <c r="N56" s="600">
        <v>44252.0</v>
      </c>
      <c r="O56" s="600">
        <v>44657.0</v>
      </c>
      <c r="P56" s="515" t="s">
        <v>3647</v>
      </c>
      <c r="Q56" s="594">
        <v>0.02</v>
      </c>
      <c r="R56" s="601" t="s">
        <v>3832</v>
      </c>
      <c r="S56" s="595"/>
      <c r="T56" s="515" t="str">
        <f t="shared" si="8"/>
        <v>Não Qualificado</v>
      </c>
      <c r="U56" s="515" t="s">
        <v>89</v>
      </c>
      <c r="V56" s="515" t="s">
        <v>2449</v>
      </c>
      <c r="W56" s="515" t="s">
        <v>121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2396</v>
      </c>
      <c r="BF56" s="443" t="s">
        <v>2396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3642</v>
      </c>
      <c r="B57" s="79" t="s">
        <v>2549</v>
      </c>
      <c r="C57" s="597" t="s">
        <v>2546</v>
      </c>
      <c r="D57" s="515">
        <v>4648767.0</v>
      </c>
      <c r="E57" s="505" t="s">
        <v>18</v>
      </c>
      <c r="F57" s="505" t="s">
        <v>29</v>
      </c>
      <c r="G57" s="505" t="s">
        <v>333</v>
      </c>
      <c r="H57" s="505" t="str">
        <f>IFERROR(VLOOKUP(G57,'Cadastro de assessores'!A:B,2,FALSE),"Não Cadastrado")</f>
        <v>18993</v>
      </c>
      <c r="I57" s="505"/>
      <c r="J57" s="505" t="s">
        <v>88</v>
      </c>
      <c r="K57" s="505" t="s">
        <v>88</v>
      </c>
      <c r="L57" s="515" t="s">
        <v>3659</v>
      </c>
      <c r="M57" s="592">
        <v>44312.0</v>
      </c>
      <c r="N57" s="592">
        <v>44312.0</v>
      </c>
      <c r="O57" s="515"/>
      <c r="P57" s="515" t="s">
        <v>3647</v>
      </c>
      <c r="Q57" s="594">
        <v>0.01</v>
      </c>
      <c r="R57" s="601"/>
      <c r="S57" s="595"/>
      <c r="T57" s="515" t="str">
        <f t="shared" si="8"/>
        <v>Não Qualificado</v>
      </c>
      <c r="U57" s="515" t="s">
        <v>89</v>
      </c>
      <c r="V57" s="515" t="s">
        <v>2486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2430</v>
      </c>
      <c r="AO57" s="443" t="s">
        <v>2430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3642</v>
      </c>
      <c r="B58" s="79" t="s">
        <v>3833</v>
      </c>
      <c r="C58" s="564" t="s">
        <v>3834</v>
      </c>
      <c r="D58" s="591">
        <v>6889397.0</v>
      </c>
      <c r="E58" s="505" t="s">
        <v>18</v>
      </c>
      <c r="F58" s="591" t="s">
        <v>19</v>
      </c>
      <c r="G58" s="505" t="s">
        <v>230</v>
      </c>
      <c r="H58" s="505" t="str">
        <f>IFERROR(VLOOKUP(G58,'Cadastro de assessores'!A:B,2,FALSE),"Não Cadastrado")</f>
        <v>18009</v>
      </c>
      <c r="I58" s="505"/>
      <c r="J58" s="505" t="s">
        <v>3745</v>
      </c>
      <c r="K58" s="505" t="s">
        <v>88</v>
      </c>
      <c r="L58" s="515" t="s">
        <v>3659</v>
      </c>
      <c r="M58" s="593">
        <v>44519.0</v>
      </c>
      <c r="N58" s="593">
        <v>44522.0</v>
      </c>
      <c r="O58" s="555"/>
      <c r="P58" s="555" t="s">
        <v>3660</v>
      </c>
      <c r="Q58" s="594">
        <v>0.012</v>
      </c>
      <c r="R58" s="615" t="s">
        <v>2387</v>
      </c>
      <c r="S58" s="595"/>
      <c r="T58" s="515" t="str">
        <f t="shared" si="8"/>
        <v>Não Qualificado</v>
      </c>
      <c r="U58" s="515" t="s">
        <v>89</v>
      </c>
      <c r="V58" s="515" t="s">
        <v>2505</v>
      </c>
      <c r="W58" s="555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3642</v>
      </c>
      <c r="B59" s="79" t="s">
        <v>3835</v>
      </c>
      <c r="C59" s="597" t="s">
        <v>3836</v>
      </c>
      <c r="D59" s="515">
        <v>3774100.0</v>
      </c>
      <c r="E59" s="505" t="s">
        <v>2379</v>
      </c>
      <c r="F59" s="505" t="s">
        <v>29</v>
      </c>
      <c r="G59" s="505" t="s">
        <v>2379</v>
      </c>
      <c r="H59" s="505" t="str">
        <f>IFERROR(VLOOKUP(G59,'Cadastro de assessores'!A:B,2,FALSE),"Não Cadastrado")</f>
        <v>18986</v>
      </c>
      <c r="I59" s="505"/>
      <c r="J59" s="505" t="s">
        <v>3745</v>
      </c>
      <c r="K59" s="515" t="s">
        <v>116</v>
      </c>
      <c r="L59" s="515" t="s">
        <v>3675</v>
      </c>
      <c r="M59" s="592">
        <v>43818.0</v>
      </c>
      <c r="N59" s="592">
        <v>43847.0</v>
      </c>
      <c r="O59" s="515"/>
      <c r="P59" s="515" t="s">
        <v>3651</v>
      </c>
      <c r="Q59" s="594">
        <v>0.015</v>
      </c>
      <c r="R59" s="601"/>
      <c r="S59" s="595"/>
      <c r="T59" s="515" t="str">
        <f t="shared" si="8"/>
        <v/>
      </c>
      <c r="U59" s="515" t="s">
        <v>89</v>
      </c>
      <c r="V59" s="515" t="s">
        <v>3313</v>
      </c>
      <c r="W59" s="515" t="s">
        <v>29</v>
      </c>
      <c r="X59" s="596" t="s">
        <v>3653</v>
      </c>
      <c r="Y59" s="596" t="s">
        <v>3653</v>
      </c>
      <c r="Z59" s="596" t="s">
        <v>3653</v>
      </c>
      <c r="AA59" s="596" t="s">
        <v>3837</v>
      </c>
      <c r="AB59" s="596" t="s">
        <v>3838</v>
      </c>
      <c r="AC59" s="596" t="s">
        <v>3839</v>
      </c>
      <c r="AD59" s="596" t="s">
        <v>3840</v>
      </c>
      <c r="AE59" s="596" t="s">
        <v>3841</v>
      </c>
      <c r="AF59" s="596" t="s">
        <v>3842</v>
      </c>
      <c r="AG59" s="596" t="s">
        <v>3843</v>
      </c>
      <c r="AH59" s="596" t="s">
        <v>3844</v>
      </c>
      <c r="AI59" s="596" t="s">
        <v>3845</v>
      </c>
      <c r="AJ59" s="596" t="s">
        <v>3846</v>
      </c>
      <c r="AK59" s="596" t="s">
        <v>3847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2396</v>
      </c>
      <c r="BF59" s="443" t="s">
        <v>2396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3642</v>
      </c>
      <c r="B60" s="79" t="s">
        <v>3848</v>
      </c>
      <c r="C60" s="564" t="s">
        <v>3849</v>
      </c>
      <c r="D60" s="555">
        <v>2588890.0</v>
      </c>
      <c r="E60" s="515" t="s">
        <v>2379</v>
      </c>
      <c r="F60" s="504" t="s">
        <v>29</v>
      </c>
      <c r="G60" s="504" t="s">
        <v>2379</v>
      </c>
      <c r="H60" s="504" t="str">
        <f>IFERROR(VLOOKUP(G60,'Cadastro de assessores'!A:B,2,FALSE),"Não Cadastrado")</f>
        <v>18986</v>
      </c>
      <c r="I60" s="504"/>
      <c r="J60" s="598" t="s">
        <v>2393</v>
      </c>
      <c r="K60" s="515" t="s">
        <v>2393</v>
      </c>
      <c r="L60" s="515" t="s">
        <v>3646</v>
      </c>
      <c r="M60" s="600">
        <v>44390.0</v>
      </c>
      <c r="N60" s="600">
        <v>44390.0</v>
      </c>
      <c r="O60" s="599">
        <v>44524.0</v>
      </c>
      <c r="P60" s="515" t="s">
        <v>3651</v>
      </c>
      <c r="Q60" s="594">
        <v>0.015</v>
      </c>
      <c r="R60" s="601" t="s">
        <v>3850</v>
      </c>
      <c r="S60" s="595"/>
      <c r="T60" s="515" t="str">
        <f t="shared" si="8"/>
        <v>Não Qualificado</v>
      </c>
      <c r="U60" s="515" t="s">
        <v>89</v>
      </c>
      <c r="V60" s="555" t="s">
        <v>3851</v>
      </c>
      <c r="W60" s="555" t="s">
        <v>3852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2396</v>
      </c>
      <c r="BF60" s="443" t="s">
        <v>2396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3642</v>
      </c>
      <c r="B61" s="79" t="s">
        <v>3853</v>
      </c>
      <c r="C61" s="564" t="s">
        <v>3854</v>
      </c>
      <c r="D61" s="555">
        <v>4742962.0</v>
      </c>
      <c r="E61" s="515" t="s">
        <v>18</v>
      </c>
      <c r="F61" s="504" t="s">
        <v>19</v>
      </c>
      <c r="G61" s="504" t="s">
        <v>230</v>
      </c>
      <c r="H61" s="504" t="str">
        <f>IFERROR(VLOOKUP(G61,'Cadastro de assessores'!A:B,2,FALSE),"Não Cadastrado")</f>
        <v>18009</v>
      </c>
      <c r="I61" s="504"/>
      <c r="J61" s="598" t="s">
        <v>2393</v>
      </c>
      <c r="K61" s="515" t="s">
        <v>2393</v>
      </c>
      <c r="L61" s="515" t="s">
        <v>3646</v>
      </c>
      <c r="M61" s="600">
        <v>44204.0</v>
      </c>
      <c r="N61" s="600">
        <v>44204.0</v>
      </c>
      <c r="O61" s="600">
        <v>44657.0</v>
      </c>
      <c r="P61" s="515" t="s">
        <v>3855</v>
      </c>
      <c r="Q61" s="594">
        <v>0.02</v>
      </c>
      <c r="R61" s="601" t="s">
        <v>3832</v>
      </c>
      <c r="S61" s="595"/>
      <c r="T61" s="515" t="str">
        <f t="shared" si="8"/>
        <v>Não Qualificado</v>
      </c>
      <c r="U61" s="515" t="s">
        <v>89</v>
      </c>
      <c r="V61" s="515" t="s">
        <v>2449</v>
      </c>
      <c r="W61" s="515" t="s">
        <v>121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2396</v>
      </c>
      <c r="BF61" s="443" t="s">
        <v>2396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3642</v>
      </c>
      <c r="B62" s="79" t="s">
        <v>3853</v>
      </c>
      <c r="C62" s="564" t="s">
        <v>3854</v>
      </c>
      <c r="D62" s="555">
        <v>3556718.0</v>
      </c>
      <c r="E62" s="515" t="s">
        <v>18</v>
      </c>
      <c r="F62" s="504" t="s">
        <v>19</v>
      </c>
      <c r="G62" s="504" t="s">
        <v>230</v>
      </c>
      <c r="H62" s="504" t="str">
        <f>IFERROR(VLOOKUP(G62,'Cadastro de assessores'!A:B,2,FALSE),"Não Cadastrado")</f>
        <v>18009</v>
      </c>
      <c r="I62" s="504"/>
      <c r="J62" s="598" t="s">
        <v>2393</v>
      </c>
      <c r="K62" s="515" t="s">
        <v>2393</v>
      </c>
      <c r="L62" s="515" t="s">
        <v>3646</v>
      </c>
      <c r="M62" s="600">
        <v>44426.0</v>
      </c>
      <c r="N62" s="600">
        <v>44426.0</v>
      </c>
      <c r="O62" s="600">
        <v>44657.0</v>
      </c>
      <c r="P62" s="515" t="s">
        <v>3856</v>
      </c>
      <c r="Q62" s="594">
        <v>0.008</v>
      </c>
      <c r="R62" s="601" t="s">
        <v>3832</v>
      </c>
      <c r="S62" s="595"/>
      <c r="T62" s="515" t="str">
        <f t="shared" si="8"/>
        <v>Não Qualificado</v>
      </c>
      <c r="U62" s="515" t="s">
        <v>89</v>
      </c>
      <c r="V62" s="515" t="s">
        <v>2449</v>
      </c>
      <c r="W62" s="515" t="s">
        <v>121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2396</v>
      </c>
      <c r="BF62" s="443" t="s">
        <v>2396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3642</v>
      </c>
      <c r="B63" s="79" t="s">
        <v>439</v>
      </c>
      <c r="C63" s="127" t="s">
        <v>436</v>
      </c>
      <c r="D63" s="555">
        <v>43315.0</v>
      </c>
      <c r="E63" s="591" t="s">
        <v>18</v>
      </c>
      <c r="F63" s="591" t="s">
        <v>145</v>
      </c>
      <c r="G63" s="591" t="s">
        <v>171</v>
      </c>
      <c r="H63" s="608" t="str">
        <f>IFERROR(VLOOKUP(G63,'Cadastro de assessores'!A:B,2,FALSE),"Não Cadastrado")</f>
        <v>28411</v>
      </c>
      <c r="I63" s="608"/>
      <c r="J63" s="505" t="s">
        <v>88</v>
      </c>
      <c r="K63" s="505" t="s">
        <v>88</v>
      </c>
      <c r="L63" s="515" t="s">
        <v>3659</v>
      </c>
      <c r="M63" s="592">
        <v>44564.0</v>
      </c>
      <c r="N63" s="592">
        <v>44586.0</v>
      </c>
      <c r="O63" s="555"/>
      <c r="P63" s="555" t="s">
        <v>3657</v>
      </c>
      <c r="Q63" s="594">
        <v>0.012</v>
      </c>
      <c r="R63" s="601" t="s">
        <v>3857</v>
      </c>
      <c r="S63" s="595"/>
      <c r="T63" s="515" t="str">
        <f t="shared" si="8"/>
        <v/>
      </c>
      <c r="U63" s="515" t="s">
        <v>89</v>
      </c>
      <c r="V63" s="515" t="s">
        <v>2439</v>
      </c>
      <c r="W63" s="515" t="s">
        <v>149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3642</v>
      </c>
      <c r="B64" s="79" t="s">
        <v>3858</v>
      </c>
      <c r="C64" s="564" t="s">
        <v>3859</v>
      </c>
      <c r="D64" s="555">
        <v>3500160.0</v>
      </c>
      <c r="E64" s="505" t="s">
        <v>86</v>
      </c>
      <c r="F64" s="505" t="s">
        <v>29</v>
      </c>
      <c r="G64" s="555" t="s">
        <v>3697</v>
      </c>
      <c r="H64" s="608" t="str">
        <f>IFERROR(VLOOKUP(G64,'Cadastro de assessores'!A:B,2,FALSE),"Não Cadastrado")</f>
        <v>12624</v>
      </c>
      <c r="I64" s="608"/>
      <c r="J64" s="598" t="s">
        <v>2393</v>
      </c>
      <c r="K64" s="505" t="s">
        <v>88</v>
      </c>
      <c r="L64" s="515" t="s">
        <v>3659</v>
      </c>
      <c r="M64" s="605">
        <v>44679.0</v>
      </c>
      <c r="N64" s="605">
        <v>44680.0</v>
      </c>
      <c r="O64" s="555"/>
      <c r="P64" s="555" t="s">
        <v>3860</v>
      </c>
      <c r="Q64" s="594">
        <v>0.01</v>
      </c>
      <c r="R64" s="601"/>
      <c r="S64" s="595"/>
      <c r="T64" s="515" t="str">
        <f t="shared" si="8"/>
        <v>Não Qualificado</v>
      </c>
      <c r="U64" s="515" t="s">
        <v>89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3642</v>
      </c>
      <c r="B65" s="79" t="s">
        <v>3861</v>
      </c>
      <c r="C65" s="564" t="s">
        <v>3862</v>
      </c>
      <c r="D65" s="555">
        <v>4452023.0</v>
      </c>
      <c r="E65" s="505" t="s">
        <v>18</v>
      </c>
      <c r="F65" s="591" t="s">
        <v>29</v>
      </c>
      <c r="G65" s="591" t="s">
        <v>2760</v>
      </c>
      <c r="H65" s="591" t="str">
        <f>IFERROR(VLOOKUP(G65,'Cadastro de assessores'!A:B,2,FALSE),"Não Cadastrado")</f>
        <v>13444</v>
      </c>
      <c r="I65" s="591"/>
      <c r="J65" s="505" t="s">
        <v>88</v>
      </c>
      <c r="K65" s="505" t="s">
        <v>88</v>
      </c>
      <c r="L65" s="515" t="s">
        <v>3659</v>
      </c>
      <c r="M65" s="592">
        <v>44372.0</v>
      </c>
      <c r="N65" s="592">
        <v>44372.0</v>
      </c>
      <c r="O65" s="555"/>
      <c r="P65" s="555" t="s">
        <v>3863</v>
      </c>
      <c r="Q65" s="594">
        <v>0.02</v>
      </c>
      <c r="R65" s="601"/>
      <c r="S65" s="595"/>
      <c r="T65" s="515" t="str">
        <f t="shared" si="8"/>
        <v/>
      </c>
      <c r="U65" s="555" t="s">
        <v>89</v>
      </c>
      <c r="V65" s="515" t="s">
        <v>3864</v>
      </c>
      <c r="W65" s="515" t="s">
        <v>180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3642</v>
      </c>
      <c r="B66" s="79" t="s">
        <v>3865</v>
      </c>
      <c r="C66" s="597" t="s">
        <v>3866</v>
      </c>
      <c r="D66" s="515">
        <v>4765516.0</v>
      </c>
      <c r="E66" s="515" t="s">
        <v>86</v>
      </c>
      <c r="F66" s="515" t="s">
        <v>29</v>
      </c>
      <c r="G66" s="515" t="s">
        <v>3486</v>
      </c>
      <c r="H66" s="515" t="str">
        <f>IFERROR(VLOOKUP(G66,'Cadastro de assessores'!A:B,2,FALSE),"Não Cadastrado")</f>
        <v>14574</v>
      </c>
      <c r="I66" s="515"/>
      <c r="J66" s="598" t="s">
        <v>2393</v>
      </c>
      <c r="K66" s="515" t="s">
        <v>2393</v>
      </c>
      <c r="L66" s="515" t="s">
        <v>3646</v>
      </c>
      <c r="M66" s="600">
        <v>44228.0</v>
      </c>
      <c r="N66" s="600">
        <v>44228.0</v>
      </c>
      <c r="O66" s="600">
        <v>44418.0</v>
      </c>
      <c r="P66" s="515" t="s">
        <v>3647</v>
      </c>
      <c r="Q66" s="594">
        <v>0.02</v>
      </c>
      <c r="R66" s="601" t="s">
        <v>3867</v>
      </c>
      <c r="S66" s="595"/>
      <c r="T66" s="515" t="str">
        <f t="shared" si="8"/>
        <v>Não Qualificado</v>
      </c>
      <c r="U66" s="515" t="s">
        <v>89</v>
      </c>
      <c r="V66" s="515" t="s">
        <v>2432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2396</v>
      </c>
      <c r="BF66" s="443" t="s">
        <v>2396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3642</v>
      </c>
      <c r="B67" s="79" t="s">
        <v>3868</v>
      </c>
      <c r="C67" s="564" t="s">
        <v>3869</v>
      </c>
      <c r="D67" s="617">
        <v>7119368.0</v>
      </c>
      <c r="E67" s="515" t="s">
        <v>18</v>
      </c>
      <c r="F67" s="504" t="s">
        <v>19</v>
      </c>
      <c r="G67" s="555" t="s">
        <v>201</v>
      </c>
      <c r="H67" s="515" t="str">
        <f>IFERROR(VLOOKUP(G67,'Cadastro de assessores'!A:B,2,FALSE),"Não Cadastrado")</f>
        <v>18890</v>
      </c>
      <c r="I67" s="515"/>
      <c r="J67" s="598" t="s">
        <v>2393</v>
      </c>
      <c r="K67" s="515" t="s">
        <v>2393</v>
      </c>
      <c r="L67" s="515" t="s">
        <v>3646</v>
      </c>
      <c r="M67" s="599">
        <v>44523.0</v>
      </c>
      <c r="N67" s="599">
        <v>44523.0</v>
      </c>
      <c r="O67" s="554">
        <v>44700.0</v>
      </c>
      <c r="P67" s="555" t="s">
        <v>3657</v>
      </c>
      <c r="Q67" s="594">
        <v>0.007</v>
      </c>
      <c r="R67" s="210" t="s">
        <v>3815</v>
      </c>
      <c r="S67" s="595"/>
      <c r="T67" s="515" t="str">
        <f t="shared" si="8"/>
        <v>Não Qualificado</v>
      </c>
      <c r="U67" s="515" t="s">
        <v>89</v>
      </c>
      <c r="V67" s="515" t="s">
        <v>2671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2396</v>
      </c>
      <c r="BF67" s="443" t="s">
        <v>2396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3642</v>
      </c>
      <c r="B68" s="79" t="s">
        <v>3868</v>
      </c>
      <c r="C68" s="564" t="s">
        <v>3869</v>
      </c>
      <c r="D68" s="555">
        <v>7207902.0</v>
      </c>
      <c r="E68" s="515" t="s">
        <v>18</v>
      </c>
      <c r="F68" s="504" t="s">
        <v>19</v>
      </c>
      <c r="G68" s="555" t="s">
        <v>201</v>
      </c>
      <c r="H68" s="515" t="str">
        <f>IFERROR(VLOOKUP(G68,'Cadastro de assessores'!A:B,2,FALSE),"Não Cadastrado")</f>
        <v>18890</v>
      </c>
      <c r="I68" s="515"/>
      <c r="J68" s="598" t="s">
        <v>2393</v>
      </c>
      <c r="K68" s="515" t="s">
        <v>2393</v>
      </c>
      <c r="L68" s="515" t="s">
        <v>3646</v>
      </c>
      <c r="M68" s="599">
        <v>44523.0</v>
      </c>
      <c r="N68" s="599">
        <v>44523.0</v>
      </c>
      <c r="O68" s="554">
        <v>44700.0</v>
      </c>
      <c r="P68" s="555" t="s">
        <v>3657</v>
      </c>
      <c r="Q68" s="594">
        <v>0.007</v>
      </c>
      <c r="R68" s="210" t="s">
        <v>3815</v>
      </c>
      <c r="S68" s="595"/>
      <c r="T68" s="515" t="str">
        <f t="shared" si="8"/>
        <v>Não Qualificado</v>
      </c>
      <c r="U68" s="515" t="s">
        <v>89</v>
      </c>
      <c r="V68" s="515" t="s">
        <v>2671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2396</v>
      </c>
      <c r="BF68" s="443" t="s">
        <v>2396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3642</v>
      </c>
      <c r="B69" s="79" t="s">
        <v>448</v>
      </c>
      <c r="C69" s="619" t="s">
        <v>3870</v>
      </c>
      <c r="D69" s="620">
        <v>3286506.0</v>
      </c>
      <c r="E69" s="515" t="s">
        <v>18</v>
      </c>
      <c r="F69" s="515" t="s">
        <v>29</v>
      </c>
      <c r="G69" s="515" t="s">
        <v>58</v>
      </c>
      <c r="H69" s="515"/>
      <c r="I69" s="515"/>
      <c r="J69" s="505" t="s">
        <v>88</v>
      </c>
      <c r="K69" s="515"/>
      <c r="L69" s="505"/>
      <c r="M69" s="599"/>
      <c r="N69" s="599">
        <v>44932.0</v>
      </c>
      <c r="O69" s="600"/>
      <c r="P69" s="515" t="s">
        <v>3651</v>
      </c>
      <c r="Q69" s="594">
        <v>0.01</v>
      </c>
      <c r="R69" s="621" t="s">
        <v>3871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3642</v>
      </c>
      <c r="B70" s="79" t="s">
        <v>3872</v>
      </c>
      <c r="C70" s="597" t="s">
        <v>3873</v>
      </c>
      <c r="D70" s="515">
        <v>4618682.0</v>
      </c>
      <c r="E70" s="515" t="s">
        <v>86</v>
      </c>
      <c r="F70" s="515" t="s">
        <v>29</v>
      </c>
      <c r="G70" s="515" t="s">
        <v>3486</v>
      </c>
      <c r="H70" s="515" t="str">
        <f>IFERROR(VLOOKUP(G70,'Cadastro de assessores'!A:B,2,FALSE),"Não Cadastrado")</f>
        <v>14574</v>
      </c>
      <c r="I70" s="515"/>
      <c r="J70" s="598" t="s">
        <v>2393</v>
      </c>
      <c r="K70" s="515" t="s">
        <v>2393</v>
      </c>
      <c r="L70" s="505" t="s">
        <v>3646</v>
      </c>
      <c r="M70" s="599">
        <v>44160.0</v>
      </c>
      <c r="N70" s="599">
        <v>44160.0</v>
      </c>
      <c r="O70" s="600">
        <v>44806.0</v>
      </c>
      <c r="P70" s="515" t="s">
        <v>3651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89</v>
      </c>
      <c r="V70" s="515" t="s">
        <v>2395</v>
      </c>
      <c r="W70" s="515" t="s">
        <v>29</v>
      </c>
      <c r="X70" s="596" t="s">
        <v>3653</v>
      </c>
      <c r="Y70" s="596" t="s">
        <v>3653</v>
      </c>
      <c r="Z70" s="596" t="s">
        <v>3653</v>
      </c>
      <c r="AA70" s="596" t="s">
        <v>3653</v>
      </c>
      <c r="AB70" s="596" t="s">
        <v>3653</v>
      </c>
      <c r="AC70" s="596" t="s">
        <v>3653</v>
      </c>
      <c r="AD70" s="596" t="s">
        <v>3653</v>
      </c>
      <c r="AE70" s="596" t="s">
        <v>3653</v>
      </c>
      <c r="AF70" s="596" t="s">
        <v>3653</v>
      </c>
      <c r="AG70" s="596" t="s">
        <v>3653</v>
      </c>
      <c r="AH70" s="596" t="s">
        <v>3653</v>
      </c>
      <c r="AI70" s="596" t="s">
        <v>3653</v>
      </c>
      <c r="AJ70" s="596" t="s">
        <v>3653</v>
      </c>
      <c r="AK70" s="596" t="s">
        <v>3874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3642</v>
      </c>
      <c r="B71" s="79" t="s">
        <v>451</v>
      </c>
      <c r="C71" s="597" t="s">
        <v>3875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88</v>
      </c>
      <c r="K71" s="505" t="s">
        <v>88</v>
      </c>
      <c r="L71" s="515" t="s">
        <v>3659</v>
      </c>
      <c r="M71" s="592">
        <v>44733.0</v>
      </c>
      <c r="N71" s="592">
        <v>44759.0</v>
      </c>
      <c r="O71" s="515"/>
      <c r="P71" s="515" t="s">
        <v>3657</v>
      </c>
      <c r="Q71" s="594">
        <v>0.007</v>
      </c>
      <c r="R71" s="601"/>
      <c r="S71" s="595"/>
      <c r="T71" s="515"/>
      <c r="U71" s="515" t="s">
        <v>89</v>
      </c>
      <c r="V71" s="515" t="s">
        <v>2482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3642</v>
      </c>
      <c r="B72" s="79" t="s">
        <v>3876</v>
      </c>
      <c r="C72" s="597" t="s">
        <v>3877</v>
      </c>
      <c r="D72" s="505">
        <v>4805165.0</v>
      </c>
      <c r="E72" s="505" t="s">
        <v>2379</v>
      </c>
      <c r="F72" s="505" t="s">
        <v>29</v>
      </c>
      <c r="G72" s="505" t="s">
        <v>2379</v>
      </c>
      <c r="H72" s="505" t="str">
        <f>IFERROR(VLOOKUP(G72,'Cadastro de assessores'!A:B,2,FALSE),"Não Cadastrado")</f>
        <v>18986</v>
      </c>
      <c r="I72" s="505"/>
      <c r="J72" s="505" t="s">
        <v>88</v>
      </c>
      <c r="K72" s="505" t="s">
        <v>88</v>
      </c>
      <c r="L72" s="515" t="s">
        <v>3659</v>
      </c>
      <c r="M72" s="592">
        <v>44235.0</v>
      </c>
      <c r="N72" s="592">
        <v>44235.0</v>
      </c>
      <c r="O72" s="515"/>
      <c r="P72" s="515" t="s">
        <v>3651</v>
      </c>
      <c r="Q72" s="594">
        <v>0.015</v>
      </c>
      <c r="R72" s="601" t="s">
        <v>2387</v>
      </c>
      <c r="S72" s="595" t="s">
        <v>3878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89</v>
      </c>
      <c r="V72" s="515" t="s">
        <v>2453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3642</v>
      </c>
      <c r="B73" s="79" t="s">
        <v>461</v>
      </c>
      <c r="C73" s="564" t="s">
        <v>3879</v>
      </c>
      <c r="D73" s="591">
        <v>6480340.0</v>
      </c>
      <c r="E73" s="505" t="s">
        <v>18</v>
      </c>
      <c r="F73" s="591" t="s">
        <v>19</v>
      </c>
      <c r="G73" s="608" t="s">
        <v>230</v>
      </c>
      <c r="H73" s="608" t="str">
        <f>IFERROR(VLOOKUP(G73,'Cadastro de assessores'!A:B,2,FALSE),"Não Cadastrado")</f>
        <v>18009</v>
      </c>
      <c r="I73" s="608"/>
      <c r="J73" s="505" t="s">
        <v>88</v>
      </c>
      <c r="K73" s="505" t="s">
        <v>88</v>
      </c>
      <c r="L73" s="515" t="s">
        <v>3659</v>
      </c>
      <c r="M73" s="592">
        <v>44439.0</v>
      </c>
      <c r="N73" s="592">
        <v>44447.0</v>
      </c>
      <c r="O73" s="608"/>
      <c r="P73" s="608" t="s">
        <v>3660</v>
      </c>
      <c r="Q73" s="594">
        <v>0.012</v>
      </c>
      <c r="R73" s="210"/>
      <c r="S73" s="595"/>
      <c r="T73" s="515" t="str">
        <f t="shared" si="9"/>
        <v>Não Qualificado</v>
      </c>
      <c r="U73" s="515" t="s">
        <v>89</v>
      </c>
      <c r="V73" s="515" t="s">
        <v>2671</v>
      </c>
      <c r="W73" s="555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3642</v>
      </c>
      <c r="B74" s="79" t="s">
        <v>2576</v>
      </c>
      <c r="C74" s="597" t="s">
        <v>2573</v>
      </c>
      <c r="D74" s="515">
        <v>260123.0</v>
      </c>
      <c r="E74" s="505" t="s">
        <v>2489</v>
      </c>
      <c r="F74" s="505" t="s">
        <v>29</v>
      </c>
      <c r="G74" s="505" t="s">
        <v>2489</v>
      </c>
      <c r="H74" s="505" t="str">
        <f>IFERROR(VLOOKUP(G74,'Cadastro de assessores'!A:B,2,FALSE),"Não Cadastrado")</f>
        <v>22400</v>
      </c>
      <c r="I74" s="505"/>
      <c r="J74" s="614" t="s">
        <v>2429</v>
      </c>
      <c r="K74" s="515" t="s">
        <v>116</v>
      </c>
      <c r="L74" s="515" t="s">
        <v>3659</v>
      </c>
      <c r="M74" s="515" t="s">
        <v>2430</v>
      </c>
      <c r="N74" s="614" t="s">
        <v>2429</v>
      </c>
      <c r="O74" s="515"/>
      <c r="P74" s="515" t="s">
        <v>3863</v>
      </c>
      <c r="Q74" s="594">
        <v>0.025</v>
      </c>
      <c r="R74" s="601"/>
      <c r="S74" s="595"/>
      <c r="T74" s="515" t="str">
        <f t="shared" si="9"/>
        <v>Não Qualificado</v>
      </c>
      <c r="U74" s="515" t="s">
        <v>89</v>
      </c>
      <c r="V74" s="515" t="s">
        <v>2453</v>
      </c>
      <c r="W74" s="515" t="s">
        <v>29</v>
      </c>
      <c r="X74" s="596" t="s">
        <v>3653</v>
      </c>
      <c r="Y74" s="596" t="s">
        <v>3653</v>
      </c>
      <c r="Z74" s="596" t="s">
        <v>3653</v>
      </c>
      <c r="AA74" s="596" t="s">
        <v>3653</v>
      </c>
      <c r="AB74" s="596" t="s">
        <v>3653</v>
      </c>
      <c r="AC74" s="596" t="s">
        <v>3653</v>
      </c>
      <c r="AD74" s="596" t="s">
        <v>3653</v>
      </c>
      <c r="AE74" s="596" t="s">
        <v>3653</v>
      </c>
      <c r="AF74" s="596" t="s">
        <v>3653</v>
      </c>
      <c r="AG74" s="596" t="s">
        <v>3653</v>
      </c>
      <c r="AH74" s="596" t="s">
        <v>3653</v>
      </c>
      <c r="AI74" s="596"/>
      <c r="AJ74" s="596" t="s">
        <v>3653</v>
      </c>
      <c r="AK74" s="596" t="s">
        <v>3653</v>
      </c>
      <c r="AL74" s="443" t="s">
        <v>2430</v>
      </c>
      <c r="AM74" s="443"/>
      <c r="AN74" s="443" t="s">
        <v>2430</v>
      </c>
      <c r="AO74" s="443" t="s">
        <v>2430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2396</v>
      </c>
      <c r="BF74" s="443" t="s">
        <v>2396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3642</v>
      </c>
      <c r="B75" s="79" t="s">
        <v>3880</v>
      </c>
      <c r="C75" s="597" t="s">
        <v>3881</v>
      </c>
      <c r="D75" s="515">
        <v>4522420.0</v>
      </c>
      <c r="E75" s="515" t="s">
        <v>18</v>
      </c>
      <c r="F75" s="515" t="s">
        <v>29</v>
      </c>
      <c r="G75" s="515" t="s">
        <v>3650</v>
      </c>
      <c r="H75" s="515" t="str">
        <f>IFERROR(VLOOKUP(G75,'Cadastro de assessores'!A:B,2,FALSE),"Não Cadastrado")</f>
        <v>17679</v>
      </c>
      <c r="I75" s="515"/>
      <c r="J75" s="598" t="s">
        <v>2393</v>
      </c>
      <c r="K75" s="515" t="s">
        <v>2393</v>
      </c>
      <c r="L75" s="515" t="s">
        <v>3646</v>
      </c>
      <c r="M75" s="600">
        <v>44141.0</v>
      </c>
      <c r="N75" s="600">
        <v>44141.0</v>
      </c>
      <c r="O75" s="600">
        <v>44412.0</v>
      </c>
      <c r="P75" s="515" t="s">
        <v>3651</v>
      </c>
      <c r="Q75" s="594">
        <v>0.015</v>
      </c>
      <c r="R75" s="601" t="s">
        <v>3882</v>
      </c>
      <c r="S75" s="595"/>
      <c r="T75" s="515" t="str">
        <f t="shared" si="9"/>
        <v>Não Qualificado</v>
      </c>
      <c r="U75" s="515" t="s">
        <v>89</v>
      </c>
      <c r="V75" s="515" t="s">
        <v>3883</v>
      </c>
      <c r="W75" s="515" t="s">
        <v>455</v>
      </c>
      <c r="X75" s="596" t="s">
        <v>3653</v>
      </c>
      <c r="Y75" s="596" t="s">
        <v>3653</v>
      </c>
      <c r="Z75" s="596" t="s">
        <v>3653</v>
      </c>
      <c r="AA75" s="596" t="s">
        <v>3653</v>
      </c>
      <c r="AB75" s="596" t="s">
        <v>3653</v>
      </c>
      <c r="AC75" s="596" t="s">
        <v>3653</v>
      </c>
      <c r="AD75" s="596" t="s">
        <v>3653</v>
      </c>
      <c r="AE75" s="596" t="s">
        <v>3653</v>
      </c>
      <c r="AF75" s="596" t="s">
        <v>3653</v>
      </c>
      <c r="AG75" s="596" t="s">
        <v>3653</v>
      </c>
      <c r="AH75" s="596" t="s">
        <v>3653</v>
      </c>
      <c r="AI75" s="596" t="s">
        <v>3653</v>
      </c>
      <c r="AJ75" s="596" t="s">
        <v>3653</v>
      </c>
      <c r="AK75" s="596" t="s">
        <v>3884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2396</v>
      </c>
      <c r="BF75" s="443" t="s">
        <v>2396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3642</v>
      </c>
      <c r="B76" s="79" t="s">
        <v>3885</v>
      </c>
      <c r="C76" s="564" t="s">
        <v>3886</v>
      </c>
      <c r="D76" s="555">
        <v>6592638.0</v>
      </c>
      <c r="E76" s="505" t="s">
        <v>18</v>
      </c>
      <c r="F76" s="591" t="s">
        <v>19</v>
      </c>
      <c r="G76" s="505" t="s">
        <v>230</v>
      </c>
      <c r="H76" s="505" t="str">
        <f>IFERROR(VLOOKUP(G76,'Cadastro de assessores'!A:B,2,FALSE),"Não Cadastrado")</f>
        <v>18009</v>
      </c>
      <c r="I76" s="505"/>
      <c r="J76" s="505" t="s">
        <v>88</v>
      </c>
      <c r="K76" s="505" t="s">
        <v>88</v>
      </c>
      <c r="L76" s="515" t="s">
        <v>3659</v>
      </c>
      <c r="M76" s="592">
        <v>44456.0</v>
      </c>
      <c r="N76" s="592">
        <v>44461.0</v>
      </c>
      <c r="O76" s="555"/>
      <c r="P76" s="555" t="s">
        <v>3651</v>
      </c>
      <c r="Q76" s="594">
        <v>0.015</v>
      </c>
      <c r="R76" s="210"/>
      <c r="S76" s="595"/>
      <c r="T76" s="515" t="str">
        <f t="shared" si="9"/>
        <v>Não Qualificado</v>
      </c>
      <c r="U76" s="515" t="s">
        <v>89</v>
      </c>
      <c r="V76" s="515" t="s">
        <v>2449</v>
      </c>
      <c r="W76" s="515" t="s">
        <v>121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3642</v>
      </c>
      <c r="B77" s="79" t="s">
        <v>3887</v>
      </c>
      <c r="C77" s="597" t="s">
        <v>3888</v>
      </c>
      <c r="D77" s="515">
        <v>4572882.0</v>
      </c>
      <c r="E77" s="515" t="s">
        <v>86</v>
      </c>
      <c r="F77" s="515" t="s">
        <v>29</v>
      </c>
      <c r="G77" s="515" t="s">
        <v>3486</v>
      </c>
      <c r="H77" s="515" t="str">
        <f>IFERROR(VLOOKUP(G77,'Cadastro de assessores'!A:B,2,FALSE),"Não Cadastrado")</f>
        <v>14574</v>
      </c>
      <c r="I77" s="515"/>
      <c r="J77" s="598" t="s">
        <v>2393</v>
      </c>
      <c r="K77" s="515" t="s">
        <v>2393</v>
      </c>
      <c r="L77" s="515" t="s">
        <v>3646</v>
      </c>
      <c r="M77" s="599">
        <v>44165.0</v>
      </c>
      <c r="N77" s="599">
        <v>44165.0</v>
      </c>
      <c r="O77" s="600">
        <v>44295.0</v>
      </c>
      <c r="P77" s="515" t="s">
        <v>3651</v>
      </c>
      <c r="Q77" s="594">
        <v>0.015</v>
      </c>
      <c r="R77" s="601" t="s">
        <v>3889</v>
      </c>
      <c r="S77" s="595"/>
      <c r="T77" s="515" t="str">
        <f t="shared" si="9"/>
        <v/>
      </c>
      <c r="U77" s="515" t="s">
        <v>89</v>
      </c>
      <c r="V77" s="515" t="s">
        <v>2410</v>
      </c>
      <c r="W77" s="515" t="s">
        <v>29</v>
      </c>
      <c r="X77" s="596" t="s">
        <v>3653</v>
      </c>
      <c r="Y77" s="596" t="s">
        <v>3653</v>
      </c>
      <c r="Z77" s="596" t="s">
        <v>3653</v>
      </c>
      <c r="AA77" s="596" t="s">
        <v>3653</v>
      </c>
      <c r="AB77" s="596" t="s">
        <v>3653</v>
      </c>
      <c r="AC77" s="596" t="s">
        <v>3653</v>
      </c>
      <c r="AD77" s="596" t="s">
        <v>3653</v>
      </c>
      <c r="AE77" s="596" t="s">
        <v>3653</v>
      </c>
      <c r="AF77" s="596" t="s">
        <v>3653</v>
      </c>
      <c r="AG77" s="596" t="s">
        <v>3653</v>
      </c>
      <c r="AH77" s="596" t="s">
        <v>3653</v>
      </c>
      <c r="AI77" s="596" t="s">
        <v>3653</v>
      </c>
      <c r="AJ77" s="596" t="s">
        <v>3653</v>
      </c>
      <c r="AK77" s="596" t="s">
        <v>3890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2396</v>
      </c>
      <c r="BF77" s="443" t="s">
        <v>2396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3642</v>
      </c>
      <c r="B78" s="79" t="s">
        <v>3891</v>
      </c>
      <c r="C78" s="622" t="s">
        <v>3892</v>
      </c>
      <c r="D78" s="623">
        <v>5956921.0</v>
      </c>
      <c r="E78" s="505" t="s">
        <v>18</v>
      </c>
      <c r="F78" s="591" t="s">
        <v>29</v>
      </c>
      <c r="G78" s="505" t="s">
        <v>2435</v>
      </c>
      <c r="H78" s="608" t="str">
        <f>IFERROR(VLOOKUP(G78,'Cadastro de assessores'!A:B,2,FALSE),"Não Cadastrado")</f>
        <v>18836</v>
      </c>
      <c r="I78" s="608"/>
      <c r="J78" s="505" t="s">
        <v>88</v>
      </c>
      <c r="K78" s="505" t="s">
        <v>88</v>
      </c>
      <c r="L78" s="624" t="s">
        <v>3659</v>
      </c>
      <c r="M78" s="593">
        <v>44469.0</v>
      </c>
      <c r="N78" s="593">
        <v>44482.0</v>
      </c>
      <c r="O78" s="555"/>
      <c r="P78" s="555" t="s">
        <v>3651</v>
      </c>
      <c r="Q78" s="594">
        <v>0.015</v>
      </c>
      <c r="R78" s="210"/>
      <c r="S78" s="595"/>
      <c r="T78" s="515" t="str">
        <f t="shared" si="9"/>
        <v>Não Qualificado</v>
      </c>
      <c r="U78" s="515" t="s">
        <v>89</v>
      </c>
      <c r="V78" s="515" t="s">
        <v>2494</v>
      </c>
      <c r="W78" s="515" t="s">
        <v>715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3642</v>
      </c>
      <c r="B79" s="79" t="s">
        <v>495</v>
      </c>
      <c r="C79" s="564" t="s">
        <v>492</v>
      </c>
      <c r="D79" s="623">
        <v>3241823.0</v>
      </c>
      <c r="E79" s="505" t="s">
        <v>18</v>
      </c>
      <c r="F79" s="591" t="s">
        <v>29</v>
      </c>
      <c r="G79" s="505" t="s">
        <v>110</v>
      </c>
      <c r="H79" s="608">
        <f>IFERROR(VLOOKUP(G79,'Cadastro de assessores'!A:B,2,FALSE),"Não Cadastrado")</f>
        <v>12332</v>
      </c>
      <c r="I79" s="608"/>
      <c r="J79" s="505" t="s">
        <v>88</v>
      </c>
      <c r="K79" s="624"/>
      <c r="L79" s="624" t="s">
        <v>3659</v>
      </c>
      <c r="M79" s="505" t="s">
        <v>116</v>
      </c>
      <c r="N79" s="593">
        <v>44819.0</v>
      </c>
      <c r="O79" s="555"/>
      <c r="P79" s="555" t="s">
        <v>3660</v>
      </c>
      <c r="Q79" s="594">
        <v>0.012</v>
      </c>
      <c r="R79" s="615"/>
      <c r="S79" s="595"/>
      <c r="T79" s="515"/>
      <c r="U79" s="515"/>
      <c r="V79" s="515"/>
      <c r="W79" s="555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3642</v>
      </c>
      <c r="B80" s="79" t="s">
        <v>491</v>
      </c>
      <c r="C80" s="564" t="s">
        <v>3893</v>
      </c>
      <c r="D80" s="604">
        <v>6866947.0</v>
      </c>
      <c r="E80" s="505" t="s">
        <v>18</v>
      </c>
      <c r="F80" s="591" t="s">
        <v>19</v>
      </c>
      <c r="G80" s="505" t="s">
        <v>230</v>
      </c>
      <c r="H80" s="608" t="str">
        <f>IFERROR(VLOOKUP(G80,'Cadastro de assessores'!A:B,2,FALSE),"Não Cadastrado")</f>
        <v>18009</v>
      </c>
      <c r="I80" s="608"/>
      <c r="J80" s="505" t="s">
        <v>88</v>
      </c>
      <c r="K80" s="505" t="s">
        <v>88</v>
      </c>
      <c r="L80" s="624" t="s">
        <v>3659</v>
      </c>
      <c r="M80" s="593">
        <v>44495.0</v>
      </c>
      <c r="N80" s="593">
        <v>44497.0</v>
      </c>
      <c r="O80" s="555"/>
      <c r="P80" s="555" t="s">
        <v>3660</v>
      </c>
      <c r="Q80" s="594">
        <v>0.012</v>
      </c>
      <c r="R80" s="615" t="s">
        <v>3894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89</v>
      </c>
      <c r="V80" s="515" t="s">
        <v>2505</v>
      </c>
      <c r="W80" s="555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3642</v>
      </c>
      <c r="B81" s="79" t="s">
        <v>513</v>
      </c>
      <c r="C81" s="597" t="s">
        <v>3895</v>
      </c>
      <c r="D81" s="515">
        <v>3960153.0</v>
      </c>
      <c r="E81" s="515" t="s">
        <v>18</v>
      </c>
      <c r="F81" s="515" t="s">
        <v>29</v>
      </c>
      <c r="G81" s="515" t="s">
        <v>512</v>
      </c>
      <c r="H81" s="515"/>
      <c r="I81" s="515"/>
      <c r="J81" s="515" t="s">
        <v>3001</v>
      </c>
      <c r="K81" s="515"/>
      <c r="L81" s="515"/>
      <c r="M81" s="599"/>
      <c r="N81" s="599"/>
      <c r="O81" s="600"/>
      <c r="P81" s="515" t="s">
        <v>3651</v>
      </c>
      <c r="Q81" s="594">
        <v>0.012</v>
      </c>
      <c r="R81" s="625" t="s">
        <v>3727</v>
      </c>
      <c r="S81" s="595"/>
      <c r="T81" s="515"/>
      <c r="U81" s="515"/>
      <c r="V81" s="515"/>
      <c r="W81" s="515" t="s">
        <v>1217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3642</v>
      </c>
      <c r="B82" s="79" t="s">
        <v>3896</v>
      </c>
      <c r="C82" s="597" t="s">
        <v>3897</v>
      </c>
      <c r="D82" s="515">
        <v>3432427.0</v>
      </c>
      <c r="E82" s="515" t="s">
        <v>18</v>
      </c>
      <c r="F82" s="515" t="s">
        <v>19</v>
      </c>
      <c r="G82" s="515" t="s">
        <v>230</v>
      </c>
      <c r="H82" s="515" t="str">
        <f>IFERROR(VLOOKUP(G82,'Cadastro de assessores'!A:B,2,FALSE),"Não Cadastrado")</f>
        <v>18009</v>
      </c>
      <c r="I82" s="515"/>
      <c r="J82" s="598" t="s">
        <v>2393</v>
      </c>
      <c r="K82" s="515" t="s">
        <v>2393</v>
      </c>
      <c r="L82" s="515" t="s">
        <v>3646</v>
      </c>
      <c r="M82" s="599">
        <v>44445.0</v>
      </c>
      <c r="N82" s="599">
        <v>44445.0</v>
      </c>
      <c r="O82" s="600">
        <v>44658.0</v>
      </c>
      <c r="P82" s="515" t="s">
        <v>3856</v>
      </c>
      <c r="Q82" s="594">
        <v>0.008</v>
      </c>
      <c r="R82" s="601" t="s">
        <v>3898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89</v>
      </c>
      <c r="V82" s="515" t="s">
        <v>2449</v>
      </c>
      <c r="W82" s="515" t="s">
        <v>121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2396</v>
      </c>
      <c r="BF82" s="443" t="s">
        <v>2396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3642</v>
      </c>
      <c r="B83" s="79" t="s">
        <v>3899</v>
      </c>
      <c r="C83" s="597" t="s">
        <v>3900</v>
      </c>
      <c r="D83" s="515">
        <v>4478774.0</v>
      </c>
      <c r="E83" s="505" t="s">
        <v>86</v>
      </c>
      <c r="F83" s="505" t="s">
        <v>29</v>
      </c>
      <c r="G83" s="505" t="s">
        <v>3901</v>
      </c>
      <c r="H83" s="505" t="str">
        <f>IFERROR(VLOOKUP(G83,'Cadastro de assessores'!A:B,2,FALSE),"Não Cadastrado")</f>
        <v>19634</v>
      </c>
      <c r="I83" s="505"/>
      <c r="J83" s="505" t="s">
        <v>88</v>
      </c>
      <c r="K83" s="505" t="s">
        <v>88</v>
      </c>
      <c r="L83" s="515" t="s">
        <v>3659</v>
      </c>
      <c r="M83" s="592">
        <v>44103.0</v>
      </c>
      <c r="N83" s="592">
        <v>44103.0</v>
      </c>
      <c r="O83" s="515"/>
      <c r="P83" s="515" t="s">
        <v>3660</v>
      </c>
      <c r="Q83" s="594">
        <v>0.012</v>
      </c>
      <c r="R83" s="601" t="s">
        <v>2387</v>
      </c>
      <c r="S83" s="595" t="s">
        <v>3878</v>
      </c>
      <c r="T83" s="515" t="str">
        <f t="shared" si="10"/>
        <v>Não Qualificado</v>
      </c>
      <c r="U83" s="515" t="s">
        <v>89</v>
      </c>
      <c r="V83" s="515" t="s">
        <v>2421</v>
      </c>
      <c r="W83" s="515" t="s">
        <v>29</v>
      </c>
      <c r="X83" s="596" t="s">
        <v>3653</v>
      </c>
      <c r="Y83" s="596" t="s">
        <v>3653</v>
      </c>
      <c r="Z83" s="596" t="s">
        <v>3653</v>
      </c>
      <c r="AA83" s="596" t="s">
        <v>3653</v>
      </c>
      <c r="AB83" s="596" t="s">
        <v>3653</v>
      </c>
      <c r="AC83" s="596" t="s">
        <v>3653</v>
      </c>
      <c r="AD83" s="596" t="s">
        <v>3653</v>
      </c>
      <c r="AE83" s="596" t="s">
        <v>3653</v>
      </c>
      <c r="AF83" s="596" t="s">
        <v>3653</v>
      </c>
      <c r="AG83" s="596" t="s">
        <v>3653</v>
      </c>
      <c r="AH83" s="596" t="s">
        <v>3653</v>
      </c>
      <c r="AI83" s="596" t="s">
        <v>3902</v>
      </c>
      <c r="AJ83" s="596" t="s">
        <v>3903</v>
      </c>
      <c r="AK83" s="596" t="s">
        <v>3904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3642</v>
      </c>
      <c r="B84" s="79" t="s">
        <v>3905</v>
      </c>
      <c r="C84" s="564" t="s">
        <v>3906</v>
      </c>
      <c r="D84" s="555">
        <v>5692353.0</v>
      </c>
      <c r="E84" s="515" t="s">
        <v>18</v>
      </c>
      <c r="F84" s="504" t="s">
        <v>19</v>
      </c>
      <c r="G84" s="515" t="s">
        <v>230</v>
      </c>
      <c r="H84" s="504" t="str">
        <f>IFERROR(VLOOKUP(G84,'Cadastro de assessores'!A:B,2,FALSE),"Não Cadastrado")</f>
        <v>18009</v>
      </c>
      <c r="I84" s="504"/>
      <c r="J84" s="598" t="s">
        <v>2393</v>
      </c>
      <c r="K84" s="515" t="s">
        <v>2393</v>
      </c>
      <c r="L84" s="515" t="s">
        <v>3646</v>
      </c>
      <c r="M84" s="600">
        <v>44466.0</v>
      </c>
      <c r="N84" s="600">
        <v>44466.0</v>
      </c>
      <c r="O84" s="554">
        <v>44740.0</v>
      </c>
      <c r="P84" s="555" t="s">
        <v>3664</v>
      </c>
      <c r="Q84" s="594">
        <v>0.025</v>
      </c>
      <c r="R84" s="210" t="s">
        <v>3907</v>
      </c>
      <c r="S84" s="595"/>
      <c r="T84" s="515" t="str">
        <f t="shared" si="10"/>
        <v>Não Qualificado</v>
      </c>
      <c r="U84" s="555" t="s">
        <v>89</v>
      </c>
      <c r="V84" s="555" t="s">
        <v>2449</v>
      </c>
      <c r="W84" s="555" t="s">
        <v>121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3642</v>
      </c>
      <c r="B85" s="79" t="s">
        <v>3908</v>
      </c>
      <c r="C85" s="602" t="s">
        <v>3909</v>
      </c>
      <c r="D85" s="505">
        <v>4848604.0</v>
      </c>
      <c r="E85" s="505" t="s">
        <v>86</v>
      </c>
      <c r="F85" s="505" t="s">
        <v>29</v>
      </c>
      <c r="G85" s="505" t="s">
        <v>3910</v>
      </c>
      <c r="H85" s="505" t="str">
        <f>IFERROR(VLOOKUP(G85,'Cadastro de assessores'!A:B,2,FALSE),"Não Cadastrado")</f>
        <v>15049</v>
      </c>
      <c r="I85" s="505"/>
      <c r="J85" s="505" t="s">
        <v>88</v>
      </c>
      <c r="K85" s="505" t="s">
        <v>88</v>
      </c>
      <c r="L85" s="515" t="s">
        <v>3659</v>
      </c>
      <c r="M85" s="592">
        <v>44236.0</v>
      </c>
      <c r="N85" s="592">
        <v>44236.0</v>
      </c>
      <c r="O85" s="515"/>
      <c r="P85" s="515" t="s">
        <v>3660</v>
      </c>
      <c r="Q85" s="594">
        <v>0.012</v>
      </c>
      <c r="R85" s="601"/>
      <c r="S85" s="595"/>
      <c r="T85" s="515" t="str">
        <f t="shared" si="10"/>
        <v/>
      </c>
      <c r="U85" s="515" t="s">
        <v>89</v>
      </c>
      <c r="V85" s="515" t="s">
        <v>2432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3642</v>
      </c>
      <c r="B86" s="79" t="s">
        <v>3911</v>
      </c>
      <c r="C86" s="597" t="s">
        <v>3912</v>
      </c>
      <c r="D86" s="515">
        <v>4537911.0</v>
      </c>
      <c r="E86" s="505" t="s">
        <v>86</v>
      </c>
      <c r="F86" s="505" t="s">
        <v>29</v>
      </c>
      <c r="G86" s="505" t="s">
        <v>3913</v>
      </c>
      <c r="H86" s="505" t="str">
        <f>IFERROR(VLOOKUP(G86,'Cadastro de assessores'!A:B,2,FALSE),"Não Cadastrado")</f>
        <v>17243</v>
      </c>
      <c r="I86" s="505"/>
      <c r="J86" s="598" t="s">
        <v>2393</v>
      </c>
      <c r="K86" s="505" t="s">
        <v>88</v>
      </c>
      <c r="L86" s="515" t="s">
        <v>3659</v>
      </c>
      <c r="M86" s="593">
        <v>44126.0</v>
      </c>
      <c r="N86" s="593">
        <v>44130.0</v>
      </c>
      <c r="O86" s="600">
        <v>44988.0</v>
      </c>
      <c r="P86" s="515" t="s">
        <v>3651</v>
      </c>
      <c r="Q86" s="594">
        <v>0.015</v>
      </c>
      <c r="R86" s="601" t="s">
        <v>3914</v>
      </c>
      <c r="S86" s="595"/>
      <c r="T86" s="515" t="str">
        <f t="shared" si="10"/>
        <v>Não Qualificado</v>
      </c>
      <c r="U86" s="515" t="s">
        <v>329</v>
      </c>
      <c r="V86" s="515" t="s">
        <v>3915</v>
      </c>
      <c r="W86" s="515" t="s">
        <v>29</v>
      </c>
      <c r="X86" s="596" t="s">
        <v>3653</v>
      </c>
      <c r="Y86" s="596" t="s">
        <v>3653</v>
      </c>
      <c r="Z86" s="596" t="s">
        <v>3653</v>
      </c>
      <c r="AA86" s="596" t="s">
        <v>3653</v>
      </c>
      <c r="AB86" s="596" t="s">
        <v>3653</v>
      </c>
      <c r="AC86" s="596" t="s">
        <v>3653</v>
      </c>
      <c r="AD86" s="596" t="s">
        <v>3653</v>
      </c>
      <c r="AE86" s="596" t="s">
        <v>3653</v>
      </c>
      <c r="AF86" s="596" t="s">
        <v>3653</v>
      </c>
      <c r="AG86" s="596" t="s">
        <v>3653</v>
      </c>
      <c r="AH86" s="596" t="s">
        <v>3653</v>
      </c>
      <c r="AI86" s="596" t="s">
        <v>3653</v>
      </c>
      <c r="AJ86" s="596" t="s">
        <v>3916</v>
      </c>
      <c r="AK86" s="596" t="s">
        <v>3917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3642</v>
      </c>
      <c r="B87" s="79" t="s">
        <v>3918</v>
      </c>
      <c r="C87" s="626" t="s">
        <v>3919</v>
      </c>
      <c r="D87" s="604">
        <v>4068685.0</v>
      </c>
      <c r="E87" s="505" t="s">
        <v>18</v>
      </c>
      <c r="F87" s="591" t="s">
        <v>19</v>
      </c>
      <c r="G87" s="505" t="s">
        <v>230</v>
      </c>
      <c r="H87" s="505" t="str">
        <f>IFERROR(VLOOKUP(G87,'Cadastro de assessores'!A:B,2,FALSE),"Não Cadastrado")</f>
        <v>18009</v>
      </c>
      <c r="I87" s="505"/>
      <c r="J87" s="505" t="s">
        <v>88</v>
      </c>
      <c r="K87" s="505" t="s">
        <v>88</v>
      </c>
      <c r="L87" s="515" t="s">
        <v>3659</v>
      </c>
      <c r="M87" s="592">
        <v>44427.0</v>
      </c>
      <c r="N87" s="592">
        <v>44454.0</v>
      </c>
      <c r="O87" s="555"/>
      <c r="P87" s="555" t="s">
        <v>3651</v>
      </c>
      <c r="Q87" s="594">
        <v>0.015</v>
      </c>
      <c r="R87" s="210" t="s">
        <v>3920</v>
      </c>
      <c r="S87" s="595"/>
      <c r="T87" s="515" t="str">
        <f t="shared" si="10"/>
        <v/>
      </c>
      <c r="U87" s="515" t="s">
        <v>89</v>
      </c>
      <c r="V87" s="515" t="s">
        <v>3921</v>
      </c>
      <c r="W87" s="555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3642</v>
      </c>
      <c r="B88" s="79" t="s">
        <v>3922</v>
      </c>
      <c r="C88" s="626" t="s">
        <v>528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88</v>
      </c>
      <c r="K88" s="505"/>
      <c r="L88" s="515" t="s">
        <v>3659</v>
      </c>
      <c r="M88" s="592"/>
      <c r="N88" s="592">
        <v>44851.0</v>
      </c>
      <c r="O88" s="555"/>
      <c r="P88" s="555" t="s">
        <v>3651</v>
      </c>
      <c r="Q88" s="594">
        <v>0.015</v>
      </c>
      <c r="R88" s="210" t="s">
        <v>3923</v>
      </c>
      <c r="S88" s="595"/>
      <c r="T88" s="515"/>
      <c r="U88" s="515"/>
      <c r="V88" s="515"/>
      <c r="W88" s="555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3642</v>
      </c>
      <c r="B89" s="79" t="s">
        <v>543</v>
      </c>
      <c r="C89" s="626" t="s">
        <v>3924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88</v>
      </c>
      <c r="K89" s="505" t="s">
        <v>88</v>
      </c>
      <c r="L89" s="515" t="s">
        <v>3659</v>
      </c>
      <c r="M89" s="592">
        <v>44760.0</v>
      </c>
      <c r="N89" s="592">
        <v>44762.0</v>
      </c>
      <c r="O89" s="555"/>
      <c r="P89" s="555" t="s">
        <v>3660</v>
      </c>
      <c r="Q89" s="594">
        <v>0.012</v>
      </c>
      <c r="R89" s="601" t="s">
        <v>3925</v>
      </c>
      <c r="S89" s="595"/>
      <c r="T89" s="515"/>
      <c r="U89" s="515" t="s">
        <v>89</v>
      </c>
      <c r="V89" s="515"/>
      <c r="W89" s="555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3642</v>
      </c>
      <c r="B90" s="79" t="s">
        <v>3926</v>
      </c>
      <c r="C90" s="564" t="s">
        <v>3927</v>
      </c>
      <c r="D90" s="617">
        <v>7911381.0</v>
      </c>
      <c r="E90" s="504" t="s">
        <v>18</v>
      </c>
      <c r="F90" s="504" t="s">
        <v>29</v>
      </c>
      <c r="G90" s="515" t="s">
        <v>110</v>
      </c>
      <c r="H90" s="555">
        <f>IFERROR(VLOOKUP(G90,'Cadastro de assessores'!A:B,2,FALSE),"Não Cadastrado")</f>
        <v>12332</v>
      </c>
      <c r="I90" s="555"/>
      <c r="J90" s="598" t="s">
        <v>2393</v>
      </c>
      <c r="K90" s="515" t="s">
        <v>2393</v>
      </c>
      <c r="L90" s="515" t="s">
        <v>3646</v>
      </c>
      <c r="M90" s="600">
        <v>44655.0</v>
      </c>
      <c r="N90" s="600">
        <v>44655.0</v>
      </c>
      <c r="O90" s="554">
        <v>44723.0</v>
      </c>
      <c r="P90" s="555" t="s">
        <v>3657</v>
      </c>
      <c r="Q90" s="594">
        <v>0.007</v>
      </c>
      <c r="R90" s="210" t="s">
        <v>3928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89</v>
      </c>
      <c r="V90" s="515" t="s">
        <v>2505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3642</v>
      </c>
      <c r="B91" s="79" t="s">
        <v>546</v>
      </c>
      <c r="C91" s="564" t="s">
        <v>544</v>
      </c>
      <c r="D91" s="555">
        <v>2218849.0</v>
      </c>
      <c r="E91" s="505" t="s">
        <v>18</v>
      </c>
      <c r="F91" s="591" t="s">
        <v>19</v>
      </c>
      <c r="G91" s="505" t="s">
        <v>230</v>
      </c>
      <c r="H91" s="555" t="str">
        <f>IFERROR(VLOOKUP(G91,'Cadastro de assessores'!A:B,2,FALSE),"Não Cadastrado")</f>
        <v>18009</v>
      </c>
      <c r="I91" s="555"/>
      <c r="J91" s="505" t="s">
        <v>88</v>
      </c>
      <c r="K91" s="505" t="s">
        <v>88</v>
      </c>
      <c r="L91" s="515" t="s">
        <v>3659</v>
      </c>
      <c r="M91" s="592">
        <v>44407.0</v>
      </c>
      <c r="N91" s="592">
        <v>44407.0</v>
      </c>
      <c r="O91" s="555"/>
      <c r="P91" s="555" t="s">
        <v>3855</v>
      </c>
      <c r="Q91" s="594">
        <v>0.02</v>
      </c>
      <c r="R91" s="210" t="s">
        <v>3929</v>
      </c>
      <c r="S91" s="595"/>
      <c r="T91" s="515" t="str">
        <f t="shared" si="11"/>
        <v>Não Qualificado</v>
      </c>
      <c r="U91" s="515" t="s">
        <v>89</v>
      </c>
      <c r="V91" s="515" t="s">
        <v>2449</v>
      </c>
      <c r="W91" s="515" t="s">
        <v>121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3642</v>
      </c>
      <c r="B92" s="79" t="s">
        <v>3930</v>
      </c>
      <c r="C92" s="564" t="s">
        <v>3931</v>
      </c>
      <c r="D92" s="555">
        <v>5900668.0</v>
      </c>
      <c r="E92" s="505" t="s">
        <v>18</v>
      </c>
      <c r="F92" s="591" t="s">
        <v>19</v>
      </c>
      <c r="G92" s="505" t="s">
        <v>230</v>
      </c>
      <c r="H92" s="555" t="str">
        <f>IFERROR(VLOOKUP(G92,'Cadastro de assessores'!A:B,2,FALSE),"Não Cadastrado")</f>
        <v>18009</v>
      </c>
      <c r="I92" s="555"/>
      <c r="J92" s="614" t="s">
        <v>2429</v>
      </c>
      <c r="K92" s="515" t="s">
        <v>116</v>
      </c>
      <c r="L92" s="515" t="s">
        <v>3659</v>
      </c>
      <c r="M92" s="515" t="s">
        <v>2430</v>
      </c>
      <c r="N92" s="614" t="s">
        <v>2429</v>
      </c>
      <c r="O92" s="555"/>
      <c r="P92" s="555" t="s">
        <v>3647</v>
      </c>
      <c r="Q92" s="594">
        <v>0.02</v>
      </c>
      <c r="R92" s="210"/>
      <c r="S92" s="595"/>
      <c r="T92" s="515" t="str">
        <f t="shared" si="11"/>
        <v/>
      </c>
      <c r="U92" s="515" t="s">
        <v>89</v>
      </c>
      <c r="V92" s="515" t="s">
        <v>2449</v>
      </c>
      <c r="W92" s="515" t="s">
        <v>121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2396</v>
      </c>
      <c r="BF92" s="443" t="s">
        <v>2396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3642</v>
      </c>
      <c r="B93" s="79" t="s">
        <v>3932</v>
      </c>
      <c r="C93" s="597" t="s">
        <v>3933</v>
      </c>
      <c r="D93" s="515">
        <v>4748841.0</v>
      </c>
      <c r="E93" s="515" t="s">
        <v>2379</v>
      </c>
      <c r="F93" s="515" t="s">
        <v>29</v>
      </c>
      <c r="G93" s="515" t="s">
        <v>2379</v>
      </c>
      <c r="H93" s="515" t="str">
        <f>IFERROR(VLOOKUP(G93,'Cadastro de assessores'!A:B,2,FALSE),"Não Cadastrado")</f>
        <v>18986</v>
      </c>
      <c r="I93" s="515"/>
      <c r="J93" s="598" t="s">
        <v>2393</v>
      </c>
      <c r="K93" s="515" t="s">
        <v>2393</v>
      </c>
      <c r="L93" s="515" t="s">
        <v>3646</v>
      </c>
      <c r="M93" s="600">
        <v>44215.0</v>
      </c>
      <c r="N93" s="600">
        <v>44215.0</v>
      </c>
      <c r="O93" s="600">
        <v>44719.0</v>
      </c>
      <c r="P93" s="515" t="s">
        <v>3664</v>
      </c>
      <c r="Q93" s="594">
        <v>0.025</v>
      </c>
      <c r="R93" s="601" t="s">
        <v>3934</v>
      </c>
      <c r="S93" s="595"/>
      <c r="T93" s="515" t="str">
        <f t="shared" si="11"/>
        <v/>
      </c>
      <c r="U93" s="515" t="s">
        <v>89</v>
      </c>
      <c r="V93" s="515" t="s">
        <v>2410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2396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3642</v>
      </c>
      <c r="B94" s="79" t="s">
        <v>3935</v>
      </c>
      <c r="C94" s="564" t="s">
        <v>3936</v>
      </c>
      <c r="D94" s="555">
        <v>5891248.0</v>
      </c>
      <c r="E94" s="515" t="s">
        <v>18</v>
      </c>
      <c r="F94" s="504" t="s">
        <v>19</v>
      </c>
      <c r="G94" s="515" t="s">
        <v>230</v>
      </c>
      <c r="H94" s="504" t="str">
        <f>IFERROR(VLOOKUP(G94,'Cadastro de assessores'!A:B,2,FALSE),"Não Cadastrado")</f>
        <v>18009</v>
      </c>
      <c r="I94" s="504"/>
      <c r="J94" s="598" t="s">
        <v>2393</v>
      </c>
      <c r="K94" s="515" t="s">
        <v>2393</v>
      </c>
      <c r="L94" s="555" t="s">
        <v>3646</v>
      </c>
      <c r="M94" s="554">
        <v>44385.0</v>
      </c>
      <c r="N94" s="554">
        <v>44385.0</v>
      </c>
      <c r="O94" s="554">
        <v>44650.0</v>
      </c>
      <c r="P94" s="555" t="s">
        <v>3647</v>
      </c>
      <c r="Q94" s="594">
        <v>0.02</v>
      </c>
      <c r="R94" s="601" t="s">
        <v>3937</v>
      </c>
      <c r="S94" s="595"/>
      <c r="T94" s="515" t="str">
        <f t="shared" si="11"/>
        <v>Qualificado</v>
      </c>
      <c r="U94" s="515" t="s">
        <v>89</v>
      </c>
      <c r="V94" s="515" t="s">
        <v>3938</v>
      </c>
      <c r="W94" s="515" t="s">
        <v>121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2396</v>
      </c>
      <c r="BF94" s="443" t="s">
        <v>2396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3642</v>
      </c>
      <c r="B95" s="79" t="s">
        <v>3939</v>
      </c>
      <c r="C95" s="597" t="s">
        <v>3940</v>
      </c>
      <c r="D95" s="515">
        <v>4947220.0</v>
      </c>
      <c r="E95" s="515" t="s">
        <v>18</v>
      </c>
      <c r="F95" s="515" t="s">
        <v>29</v>
      </c>
      <c r="G95" s="515" t="s">
        <v>3941</v>
      </c>
      <c r="H95" s="515">
        <f>IFERROR(VLOOKUP(G95,'Cadastro de assessores'!A:B,2,FALSE),"Não Cadastrado")</f>
        <v>12339</v>
      </c>
      <c r="I95" s="515"/>
      <c r="J95" s="598" t="s">
        <v>2393</v>
      </c>
      <c r="K95" s="515" t="s">
        <v>2393</v>
      </c>
      <c r="L95" s="515" t="s">
        <v>3646</v>
      </c>
      <c r="M95" s="600">
        <v>44277.0</v>
      </c>
      <c r="N95" s="600">
        <v>44277.0</v>
      </c>
      <c r="O95" s="600">
        <v>44781.0</v>
      </c>
      <c r="P95" s="515" t="s">
        <v>3660</v>
      </c>
      <c r="Q95" s="594">
        <v>0.012</v>
      </c>
      <c r="R95" s="601" t="s">
        <v>3942</v>
      </c>
      <c r="S95" s="595"/>
      <c r="T95" s="515" t="str">
        <f t="shared" si="11"/>
        <v>Não Qualificado</v>
      </c>
      <c r="U95" s="515" t="s">
        <v>89</v>
      </c>
      <c r="V95" s="515" t="s">
        <v>2449</v>
      </c>
      <c r="W95" s="515" t="s">
        <v>121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3642</v>
      </c>
      <c r="B96" s="79" t="s">
        <v>3943</v>
      </c>
      <c r="C96" s="626" t="s">
        <v>3944</v>
      </c>
      <c r="D96" s="591">
        <v>6478648.0</v>
      </c>
      <c r="E96" s="505" t="s">
        <v>18</v>
      </c>
      <c r="F96" s="591" t="s">
        <v>19</v>
      </c>
      <c r="G96" s="608" t="s">
        <v>230</v>
      </c>
      <c r="H96" s="608" t="str">
        <f>IFERROR(VLOOKUP(G96,'Cadastro de assessores'!A:B,2,FALSE),"Não Cadastrado")</f>
        <v>18009</v>
      </c>
      <c r="I96" s="608"/>
      <c r="J96" s="598" t="s">
        <v>2393</v>
      </c>
      <c r="K96" s="505" t="s">
        <v>88</v>
      </c>
      <c r="L96" s="515" t="s">
        <v>3659</v>
      </c>
      <c r="M96" s="592">
        <v>44442.0</v>
      </c>
      <c r="N96" s="592">
        <v>44445.0</v>
      </c>
      <c r="O96" s="599">
        <v>44914.0</v>
      </c>
      <c r="P96" s="515" t="s">
        <v>3657</v>
      </c>
      <c r="Q96" s="594">
        <v>0.007</v>
      </c>
      <c r="R96" s="210" t="s">
        <v>3945</v>
      </c>
      <c r="S96" s="595"/>
      <c r="T96" s="515" t="str">
        <f t="shared" si="11"/>
        <v>Não Qualificado</v>
      </c>
      <c r="U96" s="515" t="s">
        <v>89</v>
      </c>
      <c r="V96" s="515" t="s">
        <v>2671</v>
      </c>
      <c r="W96" s="555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3642</v>
      </c>
      <c r="B97" s="79" t="s">
        <v>3946</v>
      </c>
      <c r="C97" s="597" t="s">
        <v>3947</v>
      </c>
      <c r="D97" s="515">
        <v>4553905.0</v>
      </c>
      <c r="E97" s="505" t="s">
        <v>86</v>
      </c>
      <c r="F97" s="505" t="s">
        <v>29</v>
      </c>
      <c r="G97" s="505" t="s">
        <v>3948</v>
      </c>
      <c r="H97" s="505" t="str">
        <f>IFERROR(VLOOKUP(G97,'Cadastro de assessores'!A:B,2,FALSE),"Não Cadastrado")</f>
        <v>19157</v>
      </c>
      <c r="I97" s="505"/>
      <c r="J97" s="505" t="s">
        <v>3745</v>
      </c>
      <c r="K97" s="515" t="s">
        <v>116</v>
      </c>
      <c r="L97" s="515" t="s">
        <v>3646</v>
      </c>
      <c r="M97" s="593">
        <v>44130.0</v>
      </c>
      <c r="N97" s="593">
        <v>44132.0</v>
      </c>
      <c r="O97" s="555"/>
      <c r="P97" s="555" t="s">
        <v>3647</v>
      </c>
      <c r="Q97" s="594">
        <v>0.02</v>
      </c>
      <c r="R97" s="601"/>
      <c r="S97" s="595"/>
      <c r="T97" s="515" t="str">
        <f t="shared" si="11"/>
        <v/>
      </c>
      <c r="U97" s="515" t="s">
        <v>89</v>
      </c>
      <c r="V97" s="515" t="s">
        <v>2421</v>
      </c>
      <c r="W97" s="515" t="s">
        <v>29</v>
      </c>
      <c r="X97" s="596" t="s">
        <v>3653</v>
      </c>
      <c r="Y97" s="596" t="s">
        <v>3653</v>
      </c>
      <c r="Z97" s="596" t="s">
        <v>3653</v>
      </c>
      <c r="AA97" s="596" t="s">
        <v>3653</v>
      </c>
      <c r="AB97" s="596" t="s">
        <v>3653</v>
      </c>
      <c r="AC97" s="596" t="s">
        <v>3653</v>
      </c>
      <c r="AD97" s="596" t="s">
        <v>3653</v>
      </c>
      <c r="AE97" s="596" t="s">
        <v>3653</v>
      </c>
      <c r="AF97" s="596" t="s">
        <v>3653</v>
      </c>
      <c r="AG97" s="596" t="s">
        <v>3653</v>
      </c>
      <c r="AH97" s="596" t="s">
        <v>3653</v>
      </c>
      <c r="AI97" s="596" t="s">
        <v>3653</v>
      </c>
      <c r="AJ97" s="596" t="s">
        <v>3949</v>
      </c>
      <c r="AK97" s="596" t="s">
        <v>3950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2396</v>
      </c>
      <c r="BF97" s="443" t="s">
        <v>2396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3642</v>
      </c>
      <c r="B98" s="79" t="s">
        <v>3487</v>
      </c>
      <c r="C98" s="597" t="s">
        <v>3484</v>
      </c>
      <c r="D98" s="515">
        <v>4425922.0</v>
      </c>
      <c r="E98" s="515" t="s">
        <v>86</v>
      </c>
      <c r="F98" s="515" t="s">
        <v>29</v>
      </c>
      <c r="G98" s="515" t="s">
        <v>3486</v>
      </c>
      <c r="H98" s="515" t="str">
        <f>IFERROR(VLOOKUP(G98,'Cadastro de assessores'!A:B,2,FALSE),"Não Cadastrado")</f>
        <v>14574</v>
      </c>
      <c r="I98" s="515"/>
      <c r="J98" s="598" t="s">
        <v>2393</v>
      </c>
      <c r="K98" s="515" t="s">
        <v>2393</v>
      </c>
      <c r="L98" s="515" t="s">
        <v>3646</v>
      </c>
      <c r="M98" s="600">
        <v>44076.0</v>
      </c>
      <c r="N98" s="600">
        <v>44076.0</v>
      </c>
      <c r="O98" s="515"/>
      <c r="P98" s="515" t="s">
        <v>3651</v>
      </c>
      <c r="Q98" s="594">
        <v>0.015</v>
      </c>
      <c r="R98" s="601" t="s">
        <v>3951</v>
      </c>
      <c r="S98" s="595"/>
      <c r="T98" s="515" t="str">
        <f t="shared" si="11"/>
        <v/>
      </c>
      <c r="U98" s="515" t="s">
        <v>89</v>
      </c>
      <c r="V98" s="515" t="s">
        <v>2395</v>
      </c>
      <c r="W98" s="515" t="s">
        <v>29</v>
      </c>
      <c r="X98" s="596" t="s">
        <v>3653</v>
      </c>
      <c r="Y98" s="596" t="s">
        <v>3653</v>
      </c>
      <c r="Z98" s="596" t="s">
        <v>3653</v>
      </c>
      <c r="AA98" s="596" t="s">
        <v>3653</v>
      </c>
      <c r="AB98" s="596" t="s">
        <v>3653</v>
      </c>
      <c r="AC98" s="596" t="s">
        <v>3653</v>
      </c>
      <c r="AD98" s="596" t="s">
        <v>3653</v>
      </c>
      <c r="AE98" s="596" t="s">
        <v>3653</v>
      </c>
      <c r="AF98" s="596" t="s">
        <v>3653</v>
      </c>
      <c r="AG98" s="596" t="s">
        <v>3653</v>
      </c>
      <c r="AH98" s="596" t="s">
        <v>3653</v>
      </c>
      <c r="AI98" s="596" t="s">
        <v>3952</v>
      </c>
      <c r="AJ98" s="596" t="s">
        <v>3953</v>
      </c>
      <c r="AK98" s="596" t="s">
        <v>3954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3642</v>
      </c>
      <c r="B99" s="79" t="s">
        <v>3955</v>
      </c>
      <c r="C99" s="564" t="s">
        <v>3956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2393</v>
      </c>
      <c r="K99" s="515" t="s">
        <v>2393</v>
      </c>
      <c r="L99" s="515" t="s">
        <v>3646</v>
      </c>
      <c r="M99" s="600">
        <v>44648.0</v>
      </c>
      <c r="N99" s="600">
        <v>44648.0</v>
      </c>
      <c r="O99" s="600">
        <v>44796.0</v>
      </c>
      <c r="P99" s="515" t="s">
        <v>3651</v>
      </c>
      <c r="Q99" s="594">
        <v>0.0</v>
      </c>
      <c r="R99" s="627" t="s">
        <v>3957</v>
      </c>
      <c r="S99" s="595"/>
      <c r="T99" s="515" t="str">
        <f t="shared" si="11"/>
        <v>Não Qualificado</v>
      </c>
      <c r="U99" s="515" t="s">
        <v>89</v>
      </c>
      <c r="V99" s="515" t="s">
        <v>2482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2396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3642</v>
      </c>
      <c r="B100" s="79" t="s">
        <v>3955</v>
      </c>
      <c r="C100" s="564" t="s">
        <v>3956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2393</v>
      </c>
      <c r="K100" s="515" t="s">
        <v>2393</v>
      </c>
      <c r="L100" s="515" t="s">
        <v>3646</v>
      </c>
      <c r="M100" s="600">
        <v>44648.0</v>
      </c>
      <c r="N100" s="600">
        <v>44648.0</v>
      </c>
      <c r="O100" s="600">
        <v>44796.0</v>
      </c>
      <c r="P100" s="515" t="s">
        <v>3651</v>
      </c>
      <c r="Q100" s="594">
        <v>0.015</v>
      </c>
      <c r="R100" s="210" t="s">
        <v>3958</v>
      </c>
      <c r="S100" s="595"/>
      <c r="T100" s="515" t="str">
        <f t="shared" si="11"/>
        <v/>
      </c>
      <c r="U100" s="515" t="s">
        <v>89</v>
      </c>
      <c r="V100" s="515" t="s">
        <v>2482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3642</v>
      </c>
      <c r="B101" s="79" t="s">
        <v>3959</v>
      </c>
      <c r="C101" s="597" t="s">
        <v>3960</v>
      </c>
      <c r="D101" s="515">
        <v>4638237.0</v>
      </c>
      <c r="E101" s="515" t="s">
        <v>86</v>
      </c>
      <c r="F101" s="515" t="s">
        <v>29</v>
      </c>
      <c r="G101" s="515" t="s">
        <v>3910</v>
      </c>
      <c r="H101" s="515" t="str">
        <f>IFERROR(VLOOKUP(G101,'Cadastro de assessores'!A:B,2,FALSE),"Não Cadastrado")</f>
        <v>15049</v>
      </c>
      <c r="I101" s="515"/>
      <c r="J101" s="598" t="s">
        <v>2393</v>
      </c>
      <c r="K101" s="515" t="s">
        <v>2393</v>
      </c>
      <c r="L101" s="515" t="s">
        <v>3659</v>
      </c>
      <c r="M101" s="599"/>
      <c r="N101" s="599">
        <v>44186.0</v>
      </c>
      <c r="O101" s="600">
        <v>44803.0</v>
      </c>
      <c r="P101" s="515" t="s">
        <v>3660</v>
      </c>
      <c r="Q101" s="594">
        <v>0.012</v>
      </c>
      <c r="R101" s="601" t="s">
        <v>3961</v>
      </c>
      <c r="S101" s="595"/>
      <c r="T101" s="515" t="str">
        <f t="shared" si="11"/>
        <v>Não Qualificado</v>
      </c>
      <c r="U101" s="515" t="s">
        <v>89</v>
      </c>
      <c r="V101" s="515" t="s">
        <v>3962</v>
      </c>
      <c r="W101" s="515" t="s">
        <v>1371</v>
      </c>
      <c r="X101" s="596" t="s">
        <v>3653</v>
      </c>
      <c r="Y101" s="596" t="s">
        <v>3653</v>
      </c>
      <c r="Z101" s="596" t="s">
        <v>3653</v>
      </c>
      <c r="AA101" s="596" t="s">
        <v>3653</v>
      </c>
      <c r="AB101" s="596" t="s">
        <v>3653</v>
      </c>
      <c r="AC101" s="596" t="s">
        <v>3653</v>
      </c>
      <c r="AD101" s="596" t="s">
        <v>3653</v>
      </c>
      <c r="AE101" s="596" t="s">
        <v>3653</v>
      </c>
      <c r="AF101" s="596" t="s">
        <v>3653</v>
      </c>
      <c r="AG101" s="596" t="s">
        <v>3653</v>
      </c>
      <c r="AH101" s="596" t="s">
        <v>3653</v>
      </c>
      <c r="AI101" s="596" t="s">
        <v>3653</v>
      </c>
      <c r="AJ101" s="596" t="s">
        <v>3653</v>
      </c>
      <c r="AK101" s="596" t="s">
        <v>3653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3642</v>
      </c>
      <c r="B102" s="79" t="s">
        <v>3963</v>
      </c>
      <c r="C102" s="597" t="s">
        <v>3964</v>
      </c>
      <c r="D102" s="515">
        <v>9920.0</v>
      </c>
      <c r="E102" s="515" t="s">
        <v>86</v>
      </c>
      <c r="F102" s="515" t="s">
        <v>29</v>
      </c>
      <c r="G102" s="515" t="s">
        <v>86</v>
      </c>
      <c r="H102" s="515" t="str">
        <f>IFERROR(VLOOKUP(G102,'Cadastro de assessores'!A:B,2,FALSE),"Não Cadastrado")</f>
        <v>13489</v>
      </c>
      <c r="I102" s="515"/>
      <c r="J102" s="598" t="s">
        <v>2393</v>
      </c>
      <c r="K102" s="515"/>
      <c r="L102" s="515" t="s">
        <v>3675</v>
      </c>
      <c r="M102" s="600"/>
      <c r="N102" s="600">
        <v>44105.0</v>
      </c>
      <c r="O102" s="600">
        <v>44777.0</v>
      </c>
      <c r="P102" s="515" t="s">
        <v>3965</v>
      </c>
      <c r="Q102" s="594">
        <v>0.015</v>
      </c>
      <c r="R102" s="475" t="s">
        <v>3966</v>
      </c>
      <c r="S102" s="595"/>
      <c r="T102" s="515" t="str">
        <f t="shared" si="11"/>
        <v>Não Qualificado</v>
      </c>
      <c r="U102" s="515" t="s">
        <v>3967</v>
      </c>
      <c r="V102" s="515" t="s">
        <v>2494</v>
      </c>
      <c r="W102" s="515" t="s">
        <v>715</v>
      </c>
      <c r="X102" s="596" t="s">
        <v>3653</v>
      </c>
      <c r="Y102" s="596" t="s">
        <v>3653</v>
      </c>
      <c r="Z102" s="596" t="s">
        <v>3653</v>
      </c>
      <c r="AA102" s="596" t="s">
        <v>3653</v>
      </c>
      <c r="AB102" s="596" t="s">
        <v>3653</v>
      </c>
      <c r="AC102" s="596" t="s">
        <v>3653</v>
      </c>
      <c r="AD102" s="596" t="s">
        <v>3653</v>
      </c>
      <c r="AE102" s="596" t="s">
        <v>3653</v>
      </c>
      <c r="AF102" s="596" t="s">
        <v>3653</v>
      </c>
      <c r="AG102" s="596" t="s">
        <v>3653</v>
      </c>
      <c r="AH102" s="596" t="s">
        <v>3653</v>
      </c>
      <c r="AI102" s="596" t="s">
        <v>3653</v>
      </c>
      <c r="AJ102" s="596" t="s">
        <v>3653</v>
      </c>
      <c r="AK102" s="596" t="s">
        <v>3968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3969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3642</v>
      </c>
      <c r="B103" s="79" t="s">
        <v>3970</v>
      </c>
      <c r="C103" s="564" t="s">
        <v>3971</v>
      </c>
      <c r="D103" s="504">
        <v>4422283.0</v>
      </c>
      <c r="E103" s="515" t="s">
        <v>86</v>
      </c>
      <c r="F103" s="504" t="s">
        <v>29</v>
      </c>
      <c r="G103" s="515" t="s">
        <v>3972</v>
      </c>
      <c r="H103" s="515" t="str">
        <f>IFERROR(VLOOKUP(G103,'Cadastro de assessores'!A:B,2,FALSE),"Não Cadastrado")</f>
        <v>17489</v>
      </c>
      <c r="I103" s="515"/>
      <c r="J103" s="598" t="s">
        <v>2393</v>
      </c>
      <c r="K103" s="515" t="s">
        <v>2393</v>
      </c>
      <c r="L103" s="515" t="s">
        <v>3646</v>
      </c>
      <c r="M103" s="600">
        <v>44091.0</v>
      </c>
      <c r="N103" s="600">
        <v>44091.0</v>
      </c>
      <c r="O103" s="600">
        <v>44692.0</v>
      </c>
      <c r="P103" s="515" t="s">
        <v>3664</v>
      </c>
      <c r="Q103" s="594">
        <v>0.025</v>
      </c>
      <c r="R103" s="601" t="s">
        <v>3740</v>
      </c>
      <c r="S103" s="595"/>
      <c r="T103" s="515" t="str">
        <f t="shared" si="11"/>
        <v>Não Qualificado</v>
      </c>
      <c r="U103" s="515" t="s">
        <v>89</v>
      </c>
      <c r="V103" s="515" t="s">
        <v>2395</v>
      </c>
      <c r="W103" s="515" t="s">
        <v>29</v>
      </c>
      <c r="X103" s="596" t="s">
        <v>3653</v>
      </c>
      <c r="Y103" s="596" t="s">
        <v>3653</v>
      </c>
      <c r="Z103" s="596" t="s">
        <v>3653</v>
      </c>
      <c r="AA103" s="596" t="s">
        <v>3653</v>
      </c>
      <c r="AB103" s="596" t="s">
        <v>3653</v>
      </c>
      <c r="AC103" s="596" t="s">
        <v>3653</v>
      </c>
      <c r="AD103" s="596" t="s">
        <v>3653</v>
      </c>
      <c r="AE103" s="596" t="s">
        <v>3653</v>
      </c>
      <c r="AF103" s="596" t="s">
        <v>3653</v>
      </c>
      <c r="AG103" s="596" t="s">
        <v>3653</v>
      </c>
      <c r="AH103" s="596" t="s">
        <v>3653</v>
      </c>
      <c r="AI103" s="596" t="s">
        <v>3973</v>
      </c>
      <c r="AJ103" s="596" t="s">
        <v>3974</v>
      </c>
      <c r="AK103" s="596" t="s">
        <v>3975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2396</v>
      </c>
      <c r="BF103" s="443" t="s">
        <v>2396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3642</v>
      </c>
      <c r="B104" s="79" t="s">
        <v>3976</v>
      </c>
      <c r="C104" s="564" t="s">
        <v>3977</v>
      </c>
      <c r="D104" s="504">
        <v>5928177.0</v>
      </c>
      <c r="E104" s="515" t="s">
        <v>18</v>
      </c>
      <c r="F104" s="504" t="s">
        <v>19</v>
      </c>
      <c r="G104" s="515" t="s">
        <v>3978</v>
      </c>
      <c r="H104" s="515" t="str">
        <f>IFERROR(VLOOKUP(G104,'Cadastro de assessores'!A:B,2,FALSE),"Não Cadastrado")</f>
        <v>14294</v>
      </c>
      <c r="I104" s="515"/>
      <c r="J104" s="598" t="s">
        <v>2393</v>
      </c>
      <c r="K104" s="515" t="s">
        <v>2393</v>
      </c>
      <c r="L104" s="515" t="s">
        <v>3646</v>
      </c>
      <c r="M104" s="600">
        <v>44398.0</v>
      </c>
      <c r="N104" s="600">
        <v>44398.0</v>
      </c>
      <c r="O104" s="600">
        <v>44680.0</v>
      </c>
      <c r="P104" s="515" t="s">
        <v>3657</v>
      </c>
      <c r="Q104" s="594">
        <v>0.007</v>
      </c>
      <c r="R104" s="210" t="s">
        <v>3979</v>
      </c>
      <c r="S104" s="595"/>
      <c r="T104" s="515" t="str">
        <f t="shared" si="11"/>
        <v>Não Qualificado</v>
      </c>
      <c r="U104" s="555" t="s">
        <v>329</v>
      </c>
      <c r="V104" s="555" t="s">
        <v>3980</v>
      </c>
      <c r="W104" s="555" t="s">
        <v>180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2396</v>
      </c>
      <c r="BF104" s="443" t="s">
        <v>2396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3642</v>
      </c>
      <c r="B105" s="79" t="s">
        <v>3981</v>
      </c>
      <c r="C105" s="597" t="s">
        <v>3982</v>
      </c>
      <c r="D105" s="515">
        <v>4627802.0</v>
      </c>
      <c r="E105" s="515" t="s">
        <v>86</v>
      </c>
      <c r="F105" s="515" t="s">
        <v>29</v>
      </c>
      <c r="G105" s="515" t="s">
        <v>3983</v>
      </c>
      <c r="H105" s="515" t="str">
        <f>IFERROR(VLOOKUP(G105,'Cadastro de assessores'!A:B,2,FALSE),"Não Cadastrado")</f>
        <v>14699</v>
      </c>
      <c r="I105" s="515"/>
      <c r="J105" s="598" t="s">
        <v>2393</v>
      </c>
      <c r="K105" s="515" t="s">
        <v>2393</v>
      </c>
      <c r="L105" s="515" t="s">
        <v>3646</v>
      </c>
      <c r="M105" s="599">
        <v>44183.0</v>
      </c>
      <c r="N105" s="599">
        <v>44183.0</v>
      </c>
      <c r="O105" s="600">
        <v>44253.0</v>
      </c>
      <c r="P105" s="515" t="s">
        <v>3651</v>
      </c>
      <c r="Q105" s="594">
        <v>0.015</v>
      </c>
      <c r="R105" s="601" t="s">
        <v>3984</v>
      </c>
      <c r="S105" s="595"/>
      <c r="T105" s="515" t="str">
        <f t="shared" si="11"/>
        <v/>
      </c>
      <c r="U105" s="515" t="s">
        <v>89</v>
      </c>
      <c r="V105" s="515" t="s">
        <v>2421</v>
      </c>
      <c r="W105" s="515" t="s">
        <v>29</v>
      </c>
      <c r="X105" s="596" t="s">
        <v>3653</v>
      </c>
      <c r="Y105" s="596" t="s">
        <v>3653</v>
      </c>
      <c r="Z105" s="596" t="s">
        <v>3653</v>
      </c>
      <c r="AA105" s="596" t="s">
        <v>3653</v>
      </c>
      <c r="AB105" s="596" t="s">
        <v>3653</v>
      </c>
      <c r="AC105" s="596" t="s">
        <v>3653</v>
      </c>
      <c r="AD105" s="596" t="s">
        <v>3653</v>
      </c>
      <c r="AE105" s="596" t="s">
        <v>3653</v>
      </c>
      <c r="AF105" s="596" t="s">
        <v>3653</v>
      </c>
      <c r="AG105" s="596" t="s">
        <v>3653</v>
      </c>
      <c r="AH105" s="596" t="s">
        <v>3653</v>
      </c>
      <c r="AI105" s="596" t="s">
        <v>3653</v>
      </c>
      <c r="AJ105" s="596" t="s">
        <v>3653</v>
      </c>
      <c r="AK105" s="596" t="s">
        <v>3653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2396</v>
      </c>
      <c r="BF105" s="443" t="s">
        <v>2396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3642</v>
      </c>
      <c r="B106" s="79" t="s">
        <v>3985</v>
      </c>
      <c r="C106" s="597" t="s">
        <v>3986</v>
      </c>
      <c r="D106" s="515">
        <v>4401235.0</v>
      </c>
      <c r="E106" s="505" t="s">
        <v>18</v>
      </c>
      <c r="F106" s="505" t="s">
        <v>29</v>
      </c>
      <c r="G106" s="505" t="s">
        <v>3987</v>
      </c>
      <c r="H106" s="505">
        <f>IFERROR(VLOOKUP(G106,'Cadastro de assessores'!A:B,2,FALSE),"Não Cadastrado")</f>
        <v>12337</v>
      </c>
      <c r="I106" s="505"/>
      <c r="J106" s="598" t="s">
        <v>2393</v>
      </c>
      <c r="K106" s="505" t="s">
        <v>88</v>
      </c>
      <c r="L106" s="515" t="s">
        <v>3659</v>
      </c>
      <c r="M106" s="592">
        <v>44819.0</v>
      </c>
      <c r="N106" s="592">
        <v>44089.0</v>
      </c>
      <c r="O106" s="600">
        <v>44930.0</v>
      </c>
      <c r="P106" s="515" t="s">
        <v>3657</v>
      </c>
      <c r="Q106" s="594">
        <v>0.007</v>
      </c>
      <c r="R106" s="601" t="s">
        <v>3988</v>
      </c>
      <c r="S106" s="595"/>
      <c r="T106" s="515" t="str">
        <f t="shared" si="11"/>
        <v/>
      </c>
      <c r="U106" s="515" t="s">
        <v>89</v>
      </c>
      <c r="V106" s="515" t="s">
        <v>2453</v>
      </c>
      <c r="W106" s="555" t="s">
        <v>29</v>
      </c>
      <c r="X106" s="596" t="s">
        <v>3653</v>
      </c>
      <c r="Y106" s="596" t="s">
        <v>3653</v>
      </c>
      <c r="Z106" s="596" t="s">
        <v>3653</v>
      </c>
      <c r="AA106" s="596" t="s">
        <v>3653</v>
      </c>
      <c r="AB106" s="596" t="s">
        <v>3653</v>
      </c>
      <c r="AC106" s="596" t="s">
        <v>3653</v>
      </c>
      <c r="AD106" s="596" t="s">
        <v>3653</v>
      </c>
      <c r="AE106" s="596" t="s">
        <v>3653</v>
      </c>
      <c r="AF106" s="596" t="s">
        <v>3653</v>
      </c>
      <c r="AG106" s="596" t="s">
        <v>3653</v>
      </c>
      <c r="AH106" s="596" t="s">
        <v>3653</v>
      </c>
      <c r="AI106" s="596" t="s">
        <v>3989</v>
      </c>
      <c r="AJ106" s="596" t="s">
        <v>3990</v>
      </c>
      <c r="AK106" s="596" t="s">
        <v>3991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3642</v>
      </c>
      <c r="B107" s="79" t="s">
        <v>606</v>
      </c>
      <c r="C107" s="597" t="s">
        <v>604</v>
      </c>
      <c r="D107" s="515">
        <v>2720929.0</v>
      </c>
      <c r="E107" s="505" t="s">
        <v>18</v>
      </c>
      <c r="F107" s="505" t="s">
        <v>29</v>
      </c>
      <c r="G107" s="505" t="s">
        <v>3987</v>
      </c>
      <c r="H107" s="505">
        <f>IFERROR(VLOOKUP(G107,'Cadastro de assessores'!A:B,2,FALSE),"Não Cadastrado")</f>
        <v>12337</v>
      </c>
      <c r="I107" s="505"/>
      <c r="J107" s="505" t="s">
        <v>88</v>
      </c>
      <c r="K107" s="505" t="s">
        <v>88</v>
      </c>
      <c r="L107" s="515" t="s">
        <v>3659</v>
      </c>
      <c r="M107" s="592">
        <v>44109.0</v>
      </c>
      <c r="N107" s="592">
        <v>44111.0</v>
      </c>
      <c r="O107" s="515"/>
      <c r="P107" s="515" t="s">
        <v>3660</v>
      </c>
      <c r="Q107" s="594">
        <v>0.012</v>
      </c>
      <c r="R107" s="601" t="s">
        <v>3992</v>
      </c>
      <c r="S107" s="595"/>
      <c r="T107" s="515" t="str">
        <f t="shared" si="11"/>
        <v>Qualificado</v>
      </c>
      <c r="U107" s="515" t="s">
        <v>89</v>
      </c>
      <c r="V107" s="515" t="s">
        <v>2453</v>
      </c>
      <c r="W107" s="555" t="s">
        <v>29</v>
      </c>
      <c r="X107" s="596" t="s">
        <v>3653</v>
      </c>
      <c r="Y107" s="596" t="s">
        <v>3653</v>
      </c>
      <c r="Z107" s="596" t="s">
        <v>3653</v>
      </c>
      <c r="AA107" s="596" t="s">
        <v>3653</v>
      </c>
      <c r="AB107" s="596" t="s">
        <v>3653</v>
      </c>
      <c r="AC107" s="596" t="s">
        <v>3653</v>
      </c>
      <c r="AD107" s="596" t="s">
        <v>3653</v>
      </c>
      <c r="AE107" s="596" t="s">
        <v>3653</v>
      </c>
      <c r="AF107" s="596" t="s">
        <v>3653</v>
      </c>
      <c r="AG107" s="596" t="s">
        <v>3653</v>
      </c>
      <c r="AH107" s="596" t="s">
        <v>3653</v>
      </c>
      <c r="AI107" s="596" t="s">
        <v>3653</v>
      </c>
      <c r="AJ107" s="596" t="s">
        <v>3993</v>
      </c>
      <c r="AK107" s="596" t="s">
        <v>3994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3642</v>
      </c>
      <c r="B108" s="79" t="s">
        <v>606</v>
      </c>
      <c r="C108" s="564" t="s">
        <v>604</v>
      </c>
      <c r="D108" s="604">
        <v>8233833.0</v>
      </c>
      <c r="E108" s="505" t="s">
        <v>18</v>
      </c>
      <c r="F108" s="505" t="s">
        <v>29</v>
      </c>
      <c r="G108" s="505" t="s">
        <v>137</v>
      </c>
      <c r="H108" s="505">
        <f>IFERROR(VLOOKUP(G108,'Cadastro de assessores'!A:B,2,FALSE),"Não Cadastrado")</f>
        <v>12344</v>
      </c>
      <c r="I108" s="505"/>
      <c r="J108" s="614" t="s">
        <v>2429</v>
      </c>
      <c r="K108" s="515" t="s">
        <v>116</v>
      </c>
      <c r="L108" s="515" t="s">
        <v>3659</v>
      </c>
      <c r="M108" s="515" t="s">
        <v>2430</v>
      </c>
      <c r="N108" s="614" t="s">
        <v>2429</v>
      </c>
      <c r="O108" s="515"/>
      <c r="P108" s="515" t="s">
        <v>3995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89</v>
      </c>
      <c r="V108" s="515" t="s">
        <v>2453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2396</v>
      </c>
      <c r="BF108" s="443" t="s">
        <v>2396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3642</v>
      </c>
      <c r="B109" s="79" t="s">
        <v>614</v>
      </c>
      <c r="C109" s="597" t="s">
        <v>3996</v>
      </c>
      <c r="D109" s="604">
        <v>6096787.0</v>
      </c>
      <c r="E109" s="505" t="s">
        <v>86</v>
      </c>
      <c r="F109" s="505" t="s">
        <v>29</v>
      </c>
      <c r="G109" s="505" t="s">
        <v>3997</v>
      </c>
      <c r="H109" s="505">
        <f>IFERROR(VLOOKUP(G109,'Cadastro de assessores'!A:B,2,FALSE),"Não Cadastrado")</f>
        <v>12352</v>
      </c>
      <c r="I109" s="505"/>
      <c r="J109" s="505" t="s">
        <v>88</v>
      </c>
      <c r="K109" s="505"/>
      <c r="L109" s="515" t="s">
        <v>3659</v>
      </c>
      <c r="M109" s="592">
        <v>44834.0</v>
      </c>
      <c r="N109" s="592">
        <v>44840.0</v>
      </c>
      <c r="O109" s="555"/>
      <c r="P109" s="555" t="s">
        <v>3657</v>
      </c>
      <c r="Q109" s="594">
        <v>0.01</v>
      </c>
      <c r="R109" s="601"/>
      <c r="S109" s="595"/>
      <c r="T109" s="515"/>
      <c r="U109" s="515"/>
      <c r="V109" s="515"/>
      <c r="W109" s="515" t="s">
        <v>2430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3642</v>
      </c>
      <c r="B110" s="79" t="s">
        <v>3998</v>
      </c>
      <c r="C110" s="597" t="s">
        <v>3999</v>
      </c>
      <c r="D110" s="515">
        <v>4860809.0</v>
      </c>
      <c r="E110" s="505" t="s">
        <v>86</v>
      </c>
      <c r="F110" s="505" t="s">
        <v>29</v>
      </c>
      <c r="G110" s="505" t="s">
        <v>3983</v>
      </c>
      <c r="H110" s="505" t="str">
        <f>IFERROR(VLOOKUP(G110,'Cadastro de assessores'!A:B,2,FALSE),"Não Cadastrado")</f>
        <v>14699</v>
      </c>
      <c r="I110" s="505"/>
      <c r="J110" s="505" t="s">
        <v>88</v>
      </c>
      <c r="K110" s="505" t="s">
        <v>88</v>
      </c>
      <c r="L110" s="515" t="s">
        <v>3659</v>
      </c>
      <c r="M110" s="592">
        <v>44264.0</v>
      </c>
      <c r="N110" s="592">
        <v>44264.0</v>
      </c>
      <c r="O110" s="555"/>
      <c r="P110" s="555" t="s">
        <v>3693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89</v>
      </c>
      <c r="V110" s="515" t="s">
        <v>2421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3642</v>
      </c>
      <c r="B111" s="79" t="s">
        <v>3998</v>
      </c>
      <c r="C111" s="597" t="s">
        <v>3999</v>
      </c>
      <c r="D111" s="515">
        <v>4841420.0</v>
      </c>
      <c r="E111" s="505" t="s">
        <v>86</v>
      </c>
      <c r="F111" s="505" t="s">
        <v>29</v>
      </c>
      <c r="G111" s="505" t="s">
        <v>3983</v>
      </c>
      <c r="H111" s="505" t="str">
        <f>IFERROR(VLOOKUP(G111,'Cadastro de assessores'!A:B,2,FALSE),"Não Cadastrado")</f>
        <v>14699</v>
      </c>
      <c r="I111" s="505"/>
      <c r="J111" s="505" t="s">
        <v>88</v>
      </c>
      <c r="K111" s="505" t="s">
        <v>88</v>
      </c>
      <c r="L111" s="515" t="s">
        <v>3659</v>
      </c>
      <c r="M111" s="592">
        <v>44264.0</v>
      </c>
      <c r="N111" s="592">
        <v>44264.0</v>
      </c>
      <c r="O111" s="515"/>
      <c r="P111" s="515" t="s">
        <v>3651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89</v>
      </c>
      <c r="V111" s="515" t="s">
        <v>2421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3642</v>
      </c>
      <c r="B112" s="79" t="s">
        <v>4000</v>
      </c>
      <c r="C112" s="564" t="s">
        <v>4001</v>
      </c>
      <c r="D112" s="555">
        <v>6404430.0</v>
      </c>
      <c r="E112" s="629" t="s">
        <v>4002</v>
      </c>
      <c r="F112" s="555" t="s">
        <v>715</v>
      </c>
      <c r="G112" s="555" t="s">
        <v>4003</v>
      </c>
      <c r="H112" s="555" t="str">
        <f>IFERROR(VLOOKUP(G112,'Cadastro de assessores'!A:B,2,FALSE),"Não Cadastrado")</f>
        <v>14434</v>
      </c>
      <c r="I112" s="555"/>
      <c r="J112" s="598" t="s">
        <v>2393</v>
      </c>
      <c r="K112" s="515" t="s">
        <v>2393</v>
      </c>
      <c r="L112" s="629" t="s">
        <v>3646</v>
      </c>
      <c r="M112" s="630">
        <v>44461.0</v>
      </c>
      <c r="N112" s="630">
        <v>44461.0</v>
      </c>
      <c r="O112" s="555"/>
      <c r="P112" s="555" t="s">
        <v>3657</v>
      </c>
      <c r="Q112" s="631">
        <v>0.007</v>
      </c>
      <c r="R112" s="517" t="s">
        <v>4004</v>
      </c>
      <c r="S112" s="595"/>
      <c r="T112" s="515" t="str">
        <f t="shared" si="12"/>
        <v>Qualificado</v>
      </c>
      <c r="U112" s="515" t="s">
        <v>89</v>
      </c>
      <c r="V112" s="515" t="s">
        <v>2494</v>
      </c>
      <c r="W112" s="515" t="s">
        <v>715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2396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3642</v>
      </c>
      <c r="B113" s="79" t="s">
        <v>4000</v>
      </c>
      <c r="C113" s="564" t="s">
        <v>4001</v>
      </c>
      <c r="D113" s="632">
        <v>2126289.0</v>
      </c>
      <c r="E113" s="515" t="s">
        <v>4002</v>
      </c>
      <c r="F113" s="504" t="s">
        <v>715</v>
      </c>
      <c r="G113" s="555" t="s">
        <v>4003</v>
      </c>
      <c r="H113" s="555" t="str">
        <f>IFERROR(VLOOKUP(G113,'Cadastro de assessores'!A:B,2,FALSE),"Não Cadastrado")</f>
        <v>14434</v>
      </c>
      <c r="I113" s="555"/>
      <c r="J113" s="598" t="s">
        <v>2393</v>
      </c>
      <c r="K113" s="515" t="s">
        <v>2393</v>
      </c>
      <c r="L113" s="515" t="s">
        <v>3646</v>
      </c>
      <c r="M113" s="600">
        <v>44432.0</v>
      </c>
      <c r="N113" s="600">
        <v>44432.0</v>
      </c>
      <c r="O113" s="555"/>
      <c r="P113" s="555" t="s">
        <v>3651</v>
      </c>
      <c r="Q113" s="594">
        <v>0.015</v>
      </c>
      <c r="R113" s="517" t="s">
        <v>4005</v>
      </c>
      <c r="S113" s="595"/>
      <c r="T113" s="515" t="str">
        <f t="shared" si="12"/>
        <v>Não Qualificado</v>
      </c>
      <c r="U113" s="515" t="s">
        <v>89</v>
      </c>
      <c r="V113" s="515" t="s">
        <v>2494</v>
      </c>
      <c r="W113" s="515" t="s">
        <v>715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3642</v>
      </c>
      <c r="B114" s="79" t="s">
        <v>617</v>
      </c>
      <c r="C114" s="597" t="s">
        <v>615</v>
      </c>
      <c r="D114" s="515">
        <v>4413613.0</v>
      </c>
      <c r="E114" s="505" t="s">
        <v>86</v>
      </c>
      <c r="F114" s="505" t="s">
        <v>29</v>
      </c>
      <c r="G114" s="505" t="s">
        <v>3818</v>
      </c>
      <c r="H114" s="505" t="str">
        <f>IFERROR(VLOOKUP(G114,'Cadastro de assessores'!A:B,2,FALSE),"Não Cadastrado")</f>
        <v>16459</v>
      </c>
      <c r="I114" s="505"/>
      <c r="J114" s="505" t="s">
        <v>88</v>
      </c>
      <c r="K114" s="505" t="s">
        <v>88</v>
      </c>
      <c r="L114" s="515" t="s">
        <v>3659</v>
      </c>
      <c r="M114" s="592">
        <v>44071.0</v>
      </c>
      <c r="N114" s="592">
        <v>44071.0</v>
      </c>
      <c r="O114" s="555"/>
      <c r="P114" s="555" t="s">
        <v>3647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89</v>
      </c>
      <c r="V114" s="515" t="s">
        <v>2453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4006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3642</v>
      </c>
      <c r="B115" s="79" t="s">
        <v>4007</v>
      </c>
      <c r="C115" s="564" t="s">
        <v>4008</v>
      </c>
      <c r="D115" s="617">
        <v>7991210.0</v>
      </c>
      <c r="E115" s="504" t="s">
        <v>18</v>
      </c>
      <c r="F115" s="504" t="s">
        <v>29</v>
      </c>
      <c r="G115" s="515" t="s">
        <v>110</v>
      </c>
      <c r="H115" s="515">
        <f>IFERROR(VLOOKUP(G115,'Cadastro de assessores'!A:B,2,FALSE),"Não Cadastrado")</f>
        <v>12332</v>
      </c>
      <c r="I115" s="515"/>
      <c r="J115" s="598" t="s">
        <v>2393</v>
      </c>
      <c r="K115" s="515" t="s">
        <v>2393</v>
      </c>
      <c r="L115" s="515" t="s">
        <v>3659</v>
      </c>
      <c r="M115" s="600">
        <v>44613.0</v>
      </c>
      <c r="N115" s="600">
        <v>44613.0</v>
      </c>
      <c r="O115" s="600">
        <v>44711.0</v>
      </c>
      <c r="P115" s="515" t="s">
        <v>3657</v>
      </c>
      <c r="Q115" s="556">
        <v>0.007</v>
      </c>
      <c r="R115" s="210" t="s">
        <v>4009</v>
      </c>
      <c r="S115" s="595"/>
      <c r="T115" s="515" t="str">
        <f t="shared" si="12"/>
        <v>Não Qualificado</v>
      </c>
      <c r="U115" s="504" t="s">
        <v>89</v>
      </c>
      <c r="V115" s="504"/>
      <c r="W115" s="504" t="s">
        <v>2430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2396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3642</v>
      </c>
      <c r="B116" s="79" t="s">
        <v>4010</v>
      </c>
      <c r="C116" s="564" t="s">
        <v>4011</v>
      </c>
      <c r="D116" s="555">
        <v>5182986.0</v>
      </c>
      <c r="E116" s="505" t="s">
        <v>18</v>
      </c>
      <c r="F116" s="505" t="s">
        <v>29</v>
      </c>
      <c r="G116" s="505" t="s">
        <v>4012</v>
      </c>
      <c r="H116" s="505" t="str">
        <f>IFERROR(VLOOKUP(G116,'Cadastro de assessores'!A:B,2,FALSE),"Não Cadastrado")</f>
        <v>13363</v>
      </c>
      <c r="I116" s="505"/>
      <c r="J116" s="505" t="s">
        <v>3645</v>
      </c>
      <c r="K116" s="515" t="s">
        <v>116</v>
      </c>
      <c r="L116" s="515" t="s">
        <v>3646</v>
      </c>
      <c r="M116" s="592">
        <v>44298.0</v>
      </c>
      <c r="N116" s="592">
        <v>44305.0</v>
      </c>
      <c r="O116" s="515"/>
      <c r="P116" s="515" t="s">
        <v>3664</v>
      </c>
      <c r="Q116" s="556">
        <v>0.025</v>
      </c>
      <c r="R116" s="210"/>
      <c r="S116" s="595"/>
      <c r="T116" s="515" t="str">
        <f t="shared" si="12"/>
        <v>Não Qualificado</v>
      </c>
      <c r="U116" s="504" t="s">
        <v>89</v>
      </c>
      <c r="V116" s="504" t="s">
        <v>2421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3642</v>
      </c>
      <c r="B117" s="79" t="s">
        <v>4013</v>
      </c>
      <c r="C117" s="564" t="s">
        <v>4014</v>
      </c>
      <c r="D117" s="555">
        <v>2735065.0</v>
      </c>
      <c r="E117" s="515" t="s">
        <v>18</v>
      </c>
      <c r="F117" s="504" t="s">
        <v>29</v>
      </c>
      <c r="G117" s="504" t="s">
        <v>3533</v>
      </c>
      <c r="H117" s="504" t="str">
        <f>IFERROR(VLOOKUP(G117,'Cadastro de assessores'!A:B,2,FALSE),"Não Cadastrado")</f>
        <v>18266</v>
      </c>
      <c r="I117" s="504"/>
      <c r="J117" s="598" t="s">
        <v>2393</v>
      </c>
      <c r="K117" s="515" t="s">
        <v>2393</v>
      </c>
      <c r="L117" s="515" t="s">
        <v>3646</v>
      </c>
      <c r="M117" s="600">
        <v>44365.0</v>
      </c>
      <c r="N117" s="600">
        <v>44365.0</v>
      </c>
      <c r="O117" s="554">
        <v>44641.0</v>
      </c>
      <c r="P117" s="555" t="s">
        <v>3693</v>
      </c>
      <c r="Q117" s="556">
        <v>0.008</v>
      </c>
      <c r="R117" s="210" t="s">
        <v>4015</v>
      </c>
      <c r="S117" s="595"/>
      <c r="T117" s="515" t="str">
        <f t="shared" si="12"/>
        <v/>
      </c>
      <c r="U117" s="515" t="s">
        <v>89</v>
      </c>
      <c r="V117" s="515" t="s">
        <v>2494</v>
      </c>
      <c r="W117" s="504" t="s">
        <v>715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2396</v>
      </c>
      <c r="BF117" s="443" t="s">
        <v>2396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3642</v>
      </c>
      <c r="B118" s="79" t="s">
        <v>623</v>
      </c>
      <c r="C118" s="564" t="s">
        <v>621</v>
      </c>
      <c r="D118" s="555">
        <v>2889018.0</v>
      </c>
      <c r="E118" s="505" t="s">
        <v>18</v>
      </c>
      <c r="F118" s="505" t="s">
        <v>29</v>
      </c>
      <c r="G118" s="505" t="s">
        <v>110</v>
      </c>
      <c r="H118" s="505">
        <f>IFERROR(VLOOKUP(G118,'Cadastro de assessores'!A:B,2,FALSE),"Não Cadastrado")</f>
        <v>12332</v>
      </c>
      <c r="I118" s="505"/>
      <c r="J118" s="505" t="s">
        <v>88</v>
      </c>
      <c r="K118" s="505" t="s">
        <v>88</v>
      </c>
      <c r="L118" s="515" t="s">
        <v>3659</v>
      </c>
      <c r="M118" s="592">
        <v>44421.0</v>
      </c>
      <c r="N118" s="592">
        <v>44421.0</v>
      </c>
      <c r="O118" s="515"/>
      <c r="P118" s="515" t="s">
        <v>3651</v>
      </c>
      <c r="Q118" s="610">
        <v>0.015</v>
      </c>
      <c r="R118" s="634" t="s">
        <v>4016</v>
      </c>
      <c r="S118" s="595"/>
      <c r="T118" s="515" t="str">
        <f t="shared" si="12"/>
        <v>Não Qualificado</v>
      </c>
      <c r="U118" s="515" t="s">
        <v>89</v>
      </c>
      <c r="V118" s="515" t="s">
        <v>2432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3642</v>
      </c>
      <c r="B119" s="79" t="s">
        <v>4017</v>
      </c>
      <c r="C119" s="564" t="s">
        <v>4018</v>
      </c>
      <c r="D119" s="591">
        <v>4089984.0</v>
      </c>
      <c r="E119" s="505" t="s">
        <v>18</v>
      </c>
      <c r="F119" s="591" t="s">
        <v>19</v>
      </c>
      <c r="G119" s="505" t="s">
        <v>230</v>
      </c>
      <c r="H119" s="591" t="str">
        <f>IFERROR(VLOOKUP(G119,'Cadastro de assessores'!A:B,2,FALSE),"Não Cadastrado")</f>
        <v>18009</v>
      </c>
      <c r="I119" s="591"/>
      <c r="J119" s="505" t="s">
        <v>88</v>
      </c>
      <c r="K119" s="505" t="s">
        <v>88</v>
      </c>
      <c r="L119" s="515" t="s">
        <v>3659</v>
      </c>
      <c r="M119" s="592">
        <v>44341.0</v>
      </c>
      <c r="N119" s="592">
        <v>44357.0</v>
      </c>
      <c r="O119" s="515"/>
      <c r="P119" s="515" t="s">
        <v>3664</v>
      </c>
      <c r="Q119" s="556">
        <v>0.025</v>
      </c>
      <c r="R119" s="210" t="s">
        <v>4019</v>
      </c>
      <c r="S119" s="595"/>
      <c r="T119" s="515" t="str">
        <f t="shared" si="12"/>
        <v/>
      </c>
      <c r="U119" s="515" t="s">
        <v>89</v>
      </c>
      <c r="V119" s="515" t="s">
        <v>3938</v>
      </c>
      <c r="W119" s="555" t="s">
        <v>121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3642</v>
      </c>
      <c r="B120" s="79" t="s">
        <v>4020</v>
      </c>
      <c r="C120" s="564" t="s">
        <v>4021</v>
      </c>
      <c r="D120" s="555">
        <v>5635853.0</v>
      </c>
      <c r="E120" s="505" t="s">
        <v>2379</v>
      </c>
      <c r="F120" s="591" t="s">
        <v>29</v>
      </c>
      <c r="G120" s="591" t="s">
        <v>2379</v>
      </c>
      <c r="H120" s="591" t="str">
        <f>IFERROR(VLOOKUP(G120,'Cadastro de assessores'!A:B,2,FALSE),"Não Cadastrado")</f>
        <v>18986</v>
      </c>
      <c r="I120" s="591"/>
      <c r="J120" s="505" t="s">
        <v>3645</v>
      </c>
      <c r="K120" s="515" t="s">
        <v>116</v>
      </c>
      <c r="L120" s="515" t="s">
        <v>3675</v>
      </c>
      <c r="M120" s="592">
        <v>44368.0</v>
      </c>
      <c r="N120" s="592">
        <v>44368.0</v>
      </c>
      <c r="O120" s="515"/>
      <c r="P120" s="515" t="s">
        <v>3651</v>
      </c>
      <c r="Q120" s="610">
        <v>0.015</v>
      </c>
      <c r="R120" s="210"/>
      <c r="S120" s="595"/>
      <c r="T120" s="515" t="str">
        <f t="shared" si="12"/>
        <v/>
      </c>
      <c r="U120" s="515" t="s">
        <v>89</v>
      </c>
      <c r="V120" s="515" t="s">
        <v>3921</v>
      </c>
      <c r="W120" s="555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3642</v>
      </c>
      <c r="B121" s="79" t="s">
        <v>628</v>
      </c>
      <c r="C121" s="597" t="s">
        <v>624</v>
      </c>
      <c r="D121" s="515">
        <v>4556454.0</v>
      </c>
      <c r="E121" s="505" t="s">
        <v>86</v>
      </c>
      <c r="F121" s="505" t="s">
        <v>29</v>
      </c>
      <c r="G121" s="505" t="s">
        <v>3711</v>
      </c>
      <c r="H121" s="505" t="str">
        <f>IFERROR(VLOOKUP(G121,'Cadastro de assessores'!A:B,2,FALSE),"Não Cadastrado")</f>
        <v>1298</v>
      </c>
      <c r="I121" s="505"/>
      <c r="J121" s="505" t="s">
        <v>88</v>
      </c>
      <c r="K121" s="505" t="s">
        <v>88</v>
      </c>
      <c r="L121" s="515" t="s">
        <v>3659</v>
      </c>
      <c r="M121" s="593">
        <v>44151.0</v>
      </c>
      <c r="N121" s="593">
        <v>44151.0</v>
      </c>
      <c r="O121" s="555"/>
      <c r="P121" s="555" t="s">
        <v>3647</v>
      </c>
      <c r="Q121" s="594">
        <v>0.02</v>
      </c>
      <c r="R121" s="601" t="s">
        <v>4022</v>
      </c>
      <c r="S121" s="595"/>
      <c r="T121" s="515" t="str">
        <f t="shared" si="12"/>
        <v>Não Qualificado</v>
      </c>
      <c r="U121" s="515" t="s">
        <v>89</v>
      </c>
      <c r="V121" s="515" t="s">
        <v>2771</v>
      </c>
      <c r="W121" s="515" t="s">
        <v>29</v>
      </c>
      <c r="X121" s="596" t="s">
        <v>3653</v>
      </c>
      <c r="Y121" s="596" t="s">
        <v>3653</v>
      </c>
      <c r="Z121" s="596" t="s">
        <v>3653</v>
      </c>
      <c r="AA121" s="596" t="s">
        <v>3653</v>
      </c>
      <c r="AB121" s="596" t="s">
        <v>3653</v>
      </c>
      <c r="AC121" s="596" t="s">
        <v>3653</v>
      </c>
      <c r="AD121" s="596" t="s">
        <v>3653</v>
      </c>
      <c r="AE121" s="596" t="s">
        <v>3653</v>
      </c>
      <c r="AF121" s="596" t="s">
        <v>3653</v>
      </c>
      <c r="AG121" s="596" t="s">
        <v>3653</v>
      </c>
      <c r="AH121" s="596" t="s">
        <v>3653</v>
      </c>
      <c r="AI121" s="596" t="s">
        <v>3653</v>
      </c>
      <c r="AJ121" s="596" t="s">
        <v>3653</v>
      </c>
      <c r="AK121" s="596" t="s">
        <v>4023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3642</v>
      </c>
      <c r="B122" s="79" t="s">
        <v>628</v>
      </c>
      <c r="C122" s="564" t="s">
        <v>624</v>
      </c>
      <c r="D122" s="604">
        <v>5891073.0</v>
      </c>
      <c r="E122" s="505" t="s">
        <v>86</v>
      </c>
      <c r="F122" s="505" t="s">
        <v>29</v>
      </c>
      <c r="G122" s="505" t="s">
        <v>3711</v>
      </c>
      <c r="H122" s="505" t="str">
        <f>IFERROR(VLOOKUP(G122,'Cadastro de assessores'!A:B,2,FALSE),"Não Cadastrado")</f>
        <v>1298</v>
      </c>
      <c r="I122" s="505"/>
      <c r="J122" s="505" t="s">
        <v>3745</v>
      </c>
      <c r="K122" s="515" t="s">
        <v>116</v>
      </c>
      <c r="L122" s="515" t="s">
        <v>3646</v>
      </c>
      <c r="M122" s="505" t="s">
        <v>2430</v>
      </c>
      <c r="N122" s="505" t="s">
        <v>2429</v>
      </c>
      <c r="O122" s="555"/>
      <c r="P122" s="555" t="s">
        <v>3657</v>
      </c>
      <c r="Q122" s="594">
        <v>0.007</v>
      </c>
      <c r="R122" s="210" t="s">
        <v>4024</v>
      </c>
      <c r="S122" s="595"/>
      <c r="T122" s="515" t="str">
        <f t="shared" si="12"/>
        <v/>
      </c>
      <c r="U122" s="515" t="s">
        <v>89</v>
      </c>
      <c r="V122" s="515" t="s">
        <v>2771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2396</v>
      </c>
      <c r="BF122" s="443" t="s">
        <v>2396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3642</v>
      </c>
      <c r="B123" s="79" t="s">
        <v>634</v>
      </c>
      <c r="C123" s="564" t="s">
        <v>631</v>
      </c>
      <c r="D123" s="604">
        <v>7772052.0</v>
      </c>
      <c r="E123" s="591" t="s">
        <v>18</v>
      </c>
      <c r="F123" s="591" t="s">
        <v>29</v>
      </c>
      <c r="G123" s="505" t="s">
        <v>633</v>
      </c>
      <c r="H123" s="505" t="str">
        <f>IFERROR(VLOOKUP(G123,'Cadastro de assessores'!A:B,2,FALSE),"Não Cadastrado")</f>
        <v>18467</v>
      </c>
      <c r="I123" s="505"/>
      <c r="J123" s="505" t="s">
        <v>88</v>
      </c>
      <c r="K123" s="505" t="s">
        <v>88</v>
      </c>
      <c r="L123" s="515" t="s">
        <v>3659</v>
      </c>
      <c r="M123" s="605">
        <v>44630.0</v>
      </c>
      <c r="N123" s="605">
        <v>44635.0</v>
      </c>
      <c r="O123" s="555"/>
      <c r="P123" s="555" t="s">
        <v>3657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89</v>
      </c>
      <c r="V123" s="515" t="s">
        <v>4025</v>
      </c>
      <c r="W123" s="515" t="s">
        <v>635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3642</v>
      </c>
      <c r="B124" s="79" t="s">
        <v>4026</v>
      </c>
      <c r="C124" s="564" t="s">
        <v>4027</v>
      </c>
      <c r="D124" s="604">
        <v>4113513.0</v>
      </c>
      <c r="E124" s="591" t="s">
        <v>86</v>
      </c>
      <c r="F124" s="591" t="s">
        <v>29</v>
      </c>
      <c r="G124" s="505" t="s">
        <v>4028</v>
      </c>
      <c r="H124" s="505">
        <f>IFERROR(VLOOKUP(G124,'Cadastro de assessores'!A:B,2,FALSE),"Não Cadastrado")</f>
        <v>12347</v>
      </c>
      <c r="I124" s="505"/>
      <c r="J124" s="505" t="s">
        <v>88</v>
      </c>
      <c r="K124" s="505" t="s">
        <v>88</v>
      </c>
      <c r="L124" s="515" t="s">
        <v>3659</v>
      </c>
      <c r="M124" s="605">
        <v>44694.0</v>
      </c>
      <c r="N124" s="605">
        <v>44694.0</v>
      </c>
      <c r="O124" s="555"/>
      <c r="P124" s="555" t="s">
        <v>3660</v>
      </c>
      <c r="Q124" s="594">
        <v>0.012</v>
      </c>
      <c r="R124" s="210"/>
      <c r="S124" s="595"/>
      <c r="T124" s="515" t="str">
        <f t="shared" si="12"/>
        <v/>
      </c>
      <c r="U124" s="515" t="s">
        <v>89</v>
      </c>
      <c r="V124" s="515" t="s">
        <v>2505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3642</v>
      </c>
      <c r="B125" s="79" t="s">
        <v>646</v>
      </c>
      <c r="C125" s="564" t="s">
        <v>4029</v>
      </c>
      <c r="D125" s="555">
        <v>6456590.0</v>
      </c>
      <c r="E125" s="505" t="s">
        <v>18</v>
      </c>
      <c r="F125" s="591" t="s">
        <v>29</v>
      </c>
      <c r="G125" s="505" t="s">
        <v>633</v>
      </c>
      <c r="H125" s="505" t="str">
        <f>IFERROR(VLOOKUP(G125,'Cadastro de assessores'!A:B,2,FALSE),"Não Cadastrado")</f>
        <v>18467</v>
      </c>
      <c r="I125" s="505"/>
      <c r="J125" s="505" t="s">
        <v>88</v>
      </c>
      <c r="K125" s="505" t="s">
        <v>88</v>
      </c>
      <c r="L125" s="515" t="s">
        <v>3659</v>
      </c>
      <c r="M125" s="592">
        <v>44456.0</v>
      </c>
      <c r="N125" s="592">
        <v>44462.0</v>
      </c>
      <c r="O125" s="555"/>
      <c r="P125" s="555" t="s">
        <v>3647</v>
      </c>
      <c r="Q125" s="594">
        <v>0.02</v>
      </c>
      <c r="R125" s="210" t="s">
        <v>4030</v>
      </c>
      <c r="S125" s="595"/>
      <c r="T125" s="515" t="str">
        <f t="shared" si="12"/>
        <v/>
      </c>
      <c r="U125" s="515" t="s">
        <v>89</v>
      </c>
      <c r="V125" s="515" t="s">
        <v>2410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3642</v>
      </c>
      <c r="B126" s="79" t="s">
        <v>4031</v>
      </c>
      <c r="C126" s="597" t="s">
        <v>4032</v>
      </c>
      <c r="D126" s="515">
        <v>3553004.0</v>
      </c>
      <c r="E126" s="505" t="s">
        <v>2379</v>
      </c>
      <c r="F126" s="505" t="s">
        <v>29</v>
      </c>
      <c r="G126" s="505" t="s">
        <v>2379</v>
      </c>
      <c r="H126" s="505" t="str">
        <f>IFERROR(VLOOKUP(G126,'Cadastro de assessores'!A:B,2,FALSE),"Não Cadastrado")</f>
        <v>18986</v>
      </c>
      <c r="I126" s="505"/>
      <c r="J126" s="598" t="s">
        <v>2393</v>
      </c>
      <c r="K126" s="515" t="s">
        <v>88</v>
      </c>
      <c r="L126" s="515" t="s">
        <v>3646</v>
      </c>
      <c r="M126" s="592">
        <v>43742.0</v>
      </c>
      <c r="N126" s="592">
        <v>43742.0</v>
      </c>
      <c r="O126" s="599">
        <v>44888.0</v>
      </c>
      <c r="P126" s="515" t="s">
        <v>4033</v>
      </c>
      <c r="Q126" s="610">
        <v>0.01</v>
      </c>
      <c r="R126" s="601" t="s">
        <v>4034</v>
      </c>
      <c r="S126" s="595"/>
      <c r="T126" s="515" t="str">
        <f t="shared" si="12"/>
        <v>Não Qualificado</v>
      </c>
      <c r="U126" s="515" t="s">
        <v>89</v>
      </c>
      <c r="V126" s="515" t="s">
        <v>2671</v>
      </c>
      <c r="W126" s="515" t="s">
        <v>19</v>
      </c>
      <c r="X126" s="596" t="s">
        <v>4035</v>
      </c>
      <c r="Y126" s="596"/>
      <c r="Z126" s="596" t="s">
        <v>4036</v>
      </c>
      <c r="AA126" s="596" t="s">
        <v>4037</v>
      </c>
      <c r="AB126" s="596" t="s">
        <v>4038</v>
      </c>
      <c r="AC126" s="596" t="s">
        <v>4039</v>
      </c>
      <c r="AD126" s="596" t="s">
        <v>4040</v>
      </c>
      <c r="AE126" s="596" t="s">
        <v>4041</v>
      </c>
      <c r="AF126" s="596" t="s">
        <v>4042</v>
      </c>
      <c r="AG126" s="596" t="s">
        <v>4043</v>
      </c>
      <c r="AH126" s="596" t="s">
        <v>4044</v>
      </c>
      <c r="AI126" s="596" t="s">
        <v>4045</v>
      </c>
      <c r="AJ126" s="596" t="s">
        <v>4046</v>
      </c>
      <c r="AK126" s="596" t="s">
        <v>4047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3642</v>
      </c>
      <c r="B127" s="79" t="s">
        <v>661</v>
      </c>
      <c r="C127" s="597" t="s">
        <v>659</v>
      </c>
      <c r="D127" s="515">
        <v>4550421.0</v>
      </c>
      <c r="E127" s="505" t="s">
        <v>86</v>
      </c>
      <c r="F127" s="505" t="s">
        <v>29</v>
      </c>
      <c r="G127" s="505" t="s">
        <v>3913</v>
      </c>
      <c r="H127" s="505" t="str">
        <f>IFERROR(VLOOKUP(G127,'Cadastro de assessores'!A:B,2,FALSE),"Não Cadastrado")</f>
        <v>17243</v>
      </c>
      <c r="I127" s="505"/>
      <c r="J127" s="505" t="s">
        <v>88</v>
      </c>
      <c r="K127" s="505" t="s">
        <v>88</v>
      </c>
      <c r="L127" s="515" t="s">
        <v>3659</v>
      </c>
      <c r="M127" s="593">
        <v>44126.0</v>
      </c>
      <c r="N127" s="593">
        <v>44130.0</v>
      </c>
      <c r="O127" s="515"/>
      <c r="P127" s="515" t="s">
        <v>3660</v>
      </c>
      <c r="Q127" s="594">
        <v>0.012</v>
      </c>
      <c r="R127" s="601"/>
      <c r="S127" s="595"/>
      <c r="T127" s="515" t="str">
        <f t="shared" si="12"/>
        <v/>
      </c>
      <c r="U127" s="515" t="s">
        <v>89</v>
      </c>
      <c r="V127" s="515" t="s">
        <v>2421</v>
      </c>
      <c r="W127" s="515" t="s">
        <v>29</v>
      </c>
      <c r="X127" s="596" t="s">
        <v>3653</v>
      </c>
      <c r="Y127" s="596" t="s">
        <v>3653</v>
      </c>
      <c r="Z127" s="596" t="s">
        <v>3653</v>
      </c>
      <c r="AA127" s="596" t="s">
        <v>3653</v>
      </c>
      <c r="AB127" s="596" t="s">
        <v>3653</v>
      </c>
      <c r="AC127" s="596" t="s">
        <v>3653</v>
      </c>
      <c r="AD127" s="596" t="s">
        <v>3653</v>
      </c>
      <c r="AE127" s="596" t="s">
        <v>3653</v>
      </c>
      <c r="AF127" s="596" t="s">
        <v>3653</v>
      </c>
      <c r="AG127" s="596" t="s">
        <v>3653</v>
      </c>
      <c r="AH127" s="596" t="s">
        <v>3653</v>
      </c>
      <c r="AI127" s="596" t="s">
        <v>3653</v>
      </c>
      <c r="AJ127" s="596" t="s">
        <v>4048</v>
      </c>
      <c r="AK127" s="596" t="s">
        <v>4049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3642</v>
      </c>
      <c r="B128" s="79" t="s">
        <v>4050</v>
      </c>
      <c r="C128" s="597" t="s">
        <v>4051</v>
      </c>
      <c r="D128" s="515">
        <v>2699859.0</v>
      </c>
      <c r="E128" s="505" t="s">
        <v>2379</v>
      </c>
      <c r="F128" s="505" t="s">
        <v>29</v>
      </c>
      <c r="G128" s="505" t="s">
        <v>2379</v>
      </c>
      <c r="H128" s="505" t="str">
        <f>IFERROR(VLOOKUP(G128,'Cadastro de assessores'!A:B,2,FALSE),"Não Cadastrado")</f>
        <v>18986</v>
      </c>
      <c r="I128" s="505"/>
      <c r="J128" s="505" t="s">
        <v>3645</v>
      </c>
      <c r="K128" s="515" t="s">
        <v>116</v>
      </c>
      <c r="L128" s="515" t="s">
        <v>3646</v>
      </c>
      <c r="M128" s="592">
        <v>43865.0</v>
      </c>
      <c r="N128" s="592">
        <v>43869.0</v>
      </c>
      <c r="O128" s="515"/>
      <c r="P128" s="515" t="s">
        <v>3651</v>
      </c>
      <c r="Q128" s="610">
        <v>0.015</v>
      </c>
      <c r="R128" s="601"/>
      <c r="S128" s="595"/>
      <c r="T128" s="515" t="str">
        <f t="shared" si="12"/>
        <v/>
      </c>
      <c r="U128" s="515" t="s">
        <v>89</v>
      </c>
      <c r="V128" s="515" t="s">
        <v>2432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3642</v>
      </c>
      <c r="B129" s="79" t="s">
        <v>4052</v>
      </c>
      <c r="C129" s="564" t="s">
        <v>4053</v>
      </c>
      <c r="D129" s="591">
        <v>5947460.0</v>
      </c>
      <c r="E129" s="505" t="s">
        <v>18</v>
      </c>
      <c r="F129" s="591" t="s">
        <v>29</v>
      </c>
      <c r="G129" s="555" t="s">
        <v>2633</v>
      </c>
      <c r="H129" s="555" t="str">
        <f>IFERROR(VLOOKUP(G129,'Cadastro de assessores'!A:B,2,FALSE),"Não Cadastrado")</f>
        <v>18236</v>
      </c>
      <c r="I129" s="555"/>
      <c r="J129" s="505" t="s">
        <v>88</v>
      </c>
      <c r="K129" s="505" t="s">
        <v>88</v>
      </c>
      <c r="L129" s="515" t="s">
        <v>3659</v>
      </c>
      <c r="M129" s="592">
        <v>44398.0</v>
      </c>
      <c r="N129" s="592">
        <v>44399.0</v>
      </c>
      <c r="O129" s="515"/>
      <c r="P129" s="515" t="s">
        <v>3651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89</v>
      </c>
      <c r="V129" s="515" t="s">
        <v>2950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3642</v>
      </c>
      <c r="B130" s="79" t="s">
        <v>4054</v>
      </c>
      <c r="C130" s="597" t="s">
        <v>4055</v>
      </c>
      <c r="D130" s="515">
        <v>2216296.0</v>
      </c>
      <c r="E130" s="505" t="s">
        <v>86</v>
      </c>
      <c r="F130" s="505" t="s">
        <v>29</v>
      </c>
      <c r="G130" s="505" t="s">
        <v>3818</v>
      </c>
      <c r="H130" s="505" t="str">
        <f>IFERROR(VLOOKUP(G130,'Cadastro de assessores'!A:B,2,FALSE),"Não Cadastrado")</f>
        <v>16459</v>
      </c>
      <c r="I130" s="505"/>
      <c r="J130" s="598" t="s">
        <v>2393</v>
      </c>
      <c r="K130" s="505" t="s">
        <v>88</v>
      </c>
      <c r="L130" s="515" t="s">
        <v>3659</v>
      </c>
      <c r="M130" s="592">
        <v>44088.0</v>
      </c>
      <c r="N130" s="592">
        <v>44088.0</v>
      </c>
      <c r="O130" s="635">
        <v>44886.0</v>
      </c>
      <c r="P130" s="555" t="s">
        <v>3647</v>
      </c>
      <c r="Q130" s="610">
        <v>0.01</v>
      </c>
      <c r="R130" s="615" t="s">
        <v>4056</v>
      </c>
      <c r="S130" s="595"/>
      <c r="T130" s="515" t="str">
        <f t="shared" si="12"/>
        <v>Não Qualificado</v>
      </c>
      <c r="U130" s="515" t="s">
        <v>89</v>
      </c>
      <c r="V130" s="515" t="s">
        <v>2771</v>
      </c>
      <c r="W130" s="515" t="s">
        <v>29</v>
      </c>
      <c r="X130" s="596" t="s">
        <v>3653</v>
      </c>
      <c r="Y130" s="596" t="s">
        <v>3653</v>
      </c>
      <c r="Z130" s="596" t="s">
        <v>3653</v>
      </c>
      <c r="AA130" s="596" t="s">
        <v>3653</v>
      </c>
      <c r="AB130" s="596" t="s">
        <v>3653</v>
      </c>
      <c r="AC130" s="596" t="s">
        <v>3653</v>
      </c>
      <c r="AD130" s="596" t="s">
        <v>3653</v>
      </c>
      <c r="AE130" s="596" t="s">
        <v>3653</v>
      </c>
      <c r="AF130" s="596" t="s">
        <v>3653</v>
      </c>
      <c r="AG130" s="596" t="s">
        <v>3653</v>
      </c>
      <c r="AH130" s="596" t="s">
        <v>3653</v>
      </c>
      <c r="AI130" s="596" t="s">
        <v>4057</v>
      </c>
      <c r="AJ130" s="596" t="s">
        <v>4058</v>
      </c>
      <c r="AK130" s="596" t="s">
        <v>4059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3642</v>
      </c>
      <c r="B131" s="79" t="s">
        <v>4060</v>
      </c>
      <c r="C131" s="564" t="s">
        <v>4061</v>
      </c>
      <c r="D131" s="555">
        <v>5537937.0</v>
      </c>
      <c r="E131" s="515" t="s">
        <v>18</v>
      </c>
      <c r="F131" s="515" t="s">
        <v>29</v>
      </c>
      <c r="G131" s="515" t="s">
        <v>4062</v>
      </c>
      <c r="H131" s="515">
        <f>IFERROR(VLOOKUP(G131,'Cadastro de assessores'!A:B,2,FALSE),"Não Cadastrado")</f>
        <v>12335</v>
      </c>
      <c r="I131" s="515"/>
      <c r="J131" s="598" t="s">
        <v>2393</v>
      </c>
      <c r="K131" s="515" t="s">
        <v>2393</v>
      </c>
      <c r="L131" s="515" t="s">
        <v>3659</v>
      </c>
      <c r="M131" s="600">
        <v>44323.0</v>
      </c>
      <c r="N131" s="600">
        <v>44323.0</v>
      </c>
      <c r="O131" s="600">
        <v>44725.0</v>
      </c>
      <c r="P131" s="515" t="s">
        <v>3657</v>
      </c>
      <c r="Q131" s="594">
        <v>0.007</v>
      </c>
      <c r="R131" s="210" t="s">
        <v>4063</v>
      </c>
      <c r="S131" s="595"/>
      <c r="T131" s="515" t="str">
        <f t="shared" si="12"/>
        <v>Não Qualificado</v>
      </c>
      <c r="U131" s="515" t="s">
        <v>89</v>
      </c>
      <c r="V131" s="555" t="s">
        <v>3883</v>
      </c>
      <c r="W131" s="555" t="s">
        <v>455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3642</v>
      </c>
      <c r="B132" s="79" t="s">
        <v>4064</v>
      </c>
      <c r="C132" s="597" t="s">
        <v>4065</v>
      </c>
      <c r="D132" s="515">
        <v>4440692.0</v>
      </c>
      <c r="E132" s="515" t="s">
        <v>18</v>
      </c>
      <c r="F132" s="515" t="s">
        <v>29</v>
      </c>
      <c r="G132" s="515" t="s">
        <v>3650</v>
      </c>
      <c r="H132" s="515" t="str">
        <f>IFERROR(VLOOKUP(G132,'Cadastro de assessores'!A:B,2,FALSE),"Não Cadastrado")</f>
        <v>17679</v>
      </c>
      <c r="I132" s="515"/>
      <c r="J132" s="598" t="s">
        <v>2393</v>
      </c>
      <c r="K132" s="515" t="s">
        <v>2393</v>
      </c>
      <c r="L132" s="515" t="s">
        <v>3646</v>
      </c>
      <c r="M132" s="600">
        <v>44085.0</v>
      </c>
      <c r="N132" s="600">
        <v>44085.0</v>
      </c>
      <c r="O132" s="600">
        <v>44447.0</v>
      </c>
      <c r="P132" s="515" t="s">
        <v>3657</v>
      </c>
      <c r="Q132" s="594">
        <v>0.007</v>
      </c>
      <c r="R132" s="601" t="s">
        <v>4066</v>
      </c>
      <c r="S132" s="595"/>
      <c r="T132" s="515" t="str">
        <f t="shared" si="12"/>
        <v>Qualificado</v>
      </c>
      <c r="U132" s="515" t="s">
        <v>89</v>
      </c>
      <c r="V132" s="515" t="s">
        <v>4067</v>
      </c>
      <c r="W132" s="515" t="s">
        <v>3497</v>
      </c>
      <c r="X132" s="596" t="s">
        <v>3653</v>
      </c>
      <c r="Y132" s="596" t="s">
        <v>3653</v>
      </c>
      <c r="Z132" s="596" t="s">
        <v>3653</v>
      </c>
      <c r="AA132" s="596" t="s">
        <v>3653</v>
      </c>
      <c r="AB132" s="596" t="s">
        <v>3653</v>
      </c>
      <c r="AC132" s="596" t="s">
        <v>3653</v>
      </c>
      <c r="AD132" s="596" t="s">
        <v>3653</v>
      </c>
      <c r="AE132" s="596" t="s">
        <v>3653</v>
      </c>
      <c r="AF132" s="596" t="s">
        <v>3653</v>
      </c>
      <c r="AG132" s="596" t="s">
        <v>3653</v>
      </c>
      <c r="AH132" s="596" t="s">
        <v>3653</v>
      </c>
      <c r="AI132" s="596" t="s">
        <v>4068</v>
      </c>
      <c r="AJ132" s="596" t="s">
        <v>4069</v>
      </c>
      <c r="AK132" s="596" t="s">
        <v>4070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2396</v>
      </c>
      <c r="BF132" s="443" t="s">
        <v>2396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3642</v>
      </c>
      <c r="B133" s="79" t="s">
        <v>4071</v>
      </c>
      <c r="C133" s="597" t="s">
        <v>4072</v>
      </c>
      <c r="D133" s="515">
        <v>4571776.0</v>
      </c>
      <c r="E133" s="505" t="s">
        <v>86</v>
      </c>
      <c r="F133" s="505" t="s">
        <v>29</v>
      </c>
      <c r="G133" s="505" t="s">
        <v>3486</v>
      </c>
      <c r="H133" s="505" t="str">
        <f>IFERROR(VLOOKUP(G133,'Cadastro de assessores'!A:B,2,FALSE),"Não Cadastrado")</f>
        <v>14574</v>
      </c>
      <c r="I133" s="505"/>
      <c r="J133" s="614" t="s">
        <v>2429</v>
      </c>
      <c r="K133" s="515" t="s">
        <v>116</v>
      </c>
      <c r="L133" s="515" t="s">
        <v>3659</v>
      </c>
      <c r="M133" s="515" t="s">
        <v>2430</v>
      </c>
      <c r="N133" s="614" t="s">
        <v>2429</v>
      </c>
      <c r="O133" s="515"/>
      <c r="P133" s="515" t="s">
        <v>3660</v>
      </c>
      <c r="Q133" s="594">
        <v>0.012</v>
      </c>
      <c r="R133" s="601"/>
      <c r="S133" s="595"/>
      <c r="T133" s="515" t="str">
        <f t="shared" si="12"/>
        <v/>
      </c>
      <c r="U133" s="515" t="s">
        <v>89</v>
      </c>
      <c r="V133" s="515" t="s">
        <v>2410</v>
      </c>
      <c r="W133" s="515" t="s">
        <v>29</v>
      </c>
      <c r="X133" s="596" t="s">
        <v>3653</v>
      </c>
      <c r="Y133" s="596" t="s">
        <v>3653</v>
      </c>
      <c r="Z133" s="596" t="s">
        <v>3653</v>
      </c>
      <c r="AA133" s="596" t="s">
        <v>3653</v>
      </c>
      <c r="AB133" s="596" t="s">
        <v>3653</v>
      </c>
      <c r="AC133" s="596" t="s">
        <v>3653</v>
      </c>
      <c r="AD133" s="596" t="s">
        <v>3653</v>
      </c>
      <c r="AE133" s="596" t="s">
        <v>3653</v>
      </c>
      <c r="AF133" s="596" t="s">
        <v>3653</v>
      </c>
      <c r="AG133" s="596" t="s">
        <v>3653</v>
      </c>
      <c r="AH133" s="596" t="s">
        <v>3653</v>
      </c>
      <c r="AI133" s="596" t="s">
        <v>3653</v>
      </c>
      <c r="AJ133" s="596" t="s">
        <v>3653</v>
      </c>
      <c r="AK133" s="596" t="s">
        <v>3653</v>
      </c>
      <c r="AL133" s="443" t="s">
        <v>2430</v>
      </c>
      <c r="AM133" s="443"/>
      <c r="AN133" s="443" t="s">
        <v>2430</v>
      </c>
      <c r="AO133" s="443" t="s">
        <v>2430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2396</v>
      </c>
      <c r="BF133" s="443" t="s">
        <v>2396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3642</v>
      </c>
      <c r="B134" s="79" t="s">
        <v>2670</v>
      </c>
      <c r="C134" s="597" t="s">
        <v>2668</v>
      </c>
      <c r="D134" s="515">
        <v>4327504.0</v>
      </c>
      <c r="E134" s="515" t="s">
        <v>2379</v>
      </c>
      <c r="F134" s="515" t="s">
        <v>29</v>
      </c>
      <c r="G134" s="515" t="s">
        <v>2379</v>
      </c>
      <c r="H134" s="515" t="str">
        <f>IFERROR(VLOOKUP(G134,'Cadastro de assessores'!A:B,2,FALSE),"Não Cadastrado")</f>
        <v>18986</v>
      </c>
      <c r="I134" s="515"/>
      <c r="J134" s="598" t="s">
        <v>2393</v>
      </c>
      <c r="K134" s="515" t="s">
        <v>2393</v>
      </c>
      <c r="L134" s="515" t="s">
        <v>3646</v>
      </c>
      <c r="M134" s="600">
        <v>44043.0</v>
      </c>
      <c r="N134" s="600">
        <v>44043.0</v>
      </c>
      <c r="O134" s="600">
        <v>44085.0</v>
      </c>
      <c r="P134" s="515" t="s">
        <v>3651</v>
      </c>
      <c r="Q134" s="594">
        <v>0.015</v>
      </c>
      <c r="R134" s="601" t="s">
        <v>4073</v>
      </c>
      <c r="S134" s="595"/>
      <c r="T134" s="515" t="str">
        <f t="shared" si="12"/>
        <v>Não Qualificado</v>
      </c>
      <c r="U134" s="515" t="s">
        <v>89</v>
      </c>
      <c r="V134" s="515" t="s">
        <v>2671</v>
      </c>
      <c r="W134" s="515" t="s">
        <v>19</v>
      </c>
      <c r="X134" s="596" t="s">
        <v>3653</v>
      </c>
      <c r="Y134" s="596" t="s">
        <v>3653</v>
      </c>
      <c r="Z134" s="596" t="s">
        <v>3653</v>
      </c>
      <c r="AA134" s="596" t="s">
        <v>3653</v>
      </c>
      <c r="AB134" s="596" t="s">
        <v>3653</v>
      </c>
      <c r="AC134" s="596" t="s">
        <v>3653</v>
      </c>
      <c r="AD134" s="596" t="s">
        <v>3653</v>
      </c>
      <c r="AE134" s="596" t="s">
        <v>3653</v>
      </c>
      <c r="AF134" s="596" t="s">
        <v>3653</v>
      </c>
      <c r="AG134" s="596" t="s">
        <v>4074</v>
      </c>
      <c r="AH134" s="596" t="s">
        <v>4075</v>
      </c>
      <c r="AI134" s="596"/>
      <c r="AJ134" s="596"/>
      <c r="AK134" s="596"/>
      <c r="AL134" s="443" t="s">
        <v>2430</v>
      </c>
      <c r="AM134" s="443">
        <v>492751.44</v>
      </c>
      <c r="AN134" s="443" t="s">
        <v>2430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2396</v>
      </c>
      <c r="BF134" s="443" t="s">
        <v>2396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3642</v>
      </c>
      <c r="B135" s="79" t="s">
        <v>4076</v>
      </c>
      <c r="C135" s="564" t="s">
        <v>4077</v>
      </c>
      <c r="D135" s="504">
        <v>6489178.0</v>
      </c>
      <c r="E135" s="515" t="s">
        <v>18</v>
      </c>
      <c r="F135" s="504" t="s">
        <v>19</v>
      </c>
      <c r="G135" s="515" t="s">
        <v>3978</v>
      </c>
      <c r="H135" s="515" t="str">
        <f>IFERROR(VLOOKUP(G135,'Cadastro de assessores'!A:B,2,FALSE),"Não Cadastrado")</f>
        <v>14294</v>
      </c>
      <c r="I135" s="515"/>
      <c r="J135" s="598" t="s">
        <v>2393</v>
      </c>
      <c r="K135" s="515" t="s">
        <v>2393</v>
      </c>
      <c r="L135" s="515" t="s">
        <v>3659</v>
      </c>
      <c r="M135" s="600">
        <v>44462.0</v>
      </c>
      <c r="N135" s="600">
        <v>44462.0</v>
      </c>
      <c r="O135" s="600">
        <v>44762.0</v>
      </c>
      <c r="P135" s="515" t="s">
        <v>3651</v>
      </c>
      <c r="Q135" s="594">
        <v>0.015</v>
      </c>
      <c r="R135" s="210" t="s">
        <v>4078</v>
      </c>
      <c r="S135" s="595"/>
      <c r="T135" s="515" t="str">
        <f t="shared" si="12"/>
        <v>Não Qualificado</v>
      </c>
      <c r="U135" s="515" t="s">
        <v>89</v>
      </c>
      <c r="V135" s="515" t="s">
        <v>2671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3642</v>
      </c>
      <c r="B136" s="79" t="s">
        <v>4079</v>
      </c>
      <c r="C136" s="597" t="s">
        <v>4080</v>
      </c>
      <c r="D136" s="515">
        <v>4696943.0</v>
      </c>
      <c r="E136" s="505" t="s">
        <v>86</v>
      </c>
      <c r="F136" s="505" t="s">
        <v>29</v>
      </c>
      <c r="G136" s="505" t="s">
        <v>3913</v>
      </c>
      <c r="H136" s="505" t="str">
        <f>IFERROR(VLOOKUP(G136,'Cadastro de assessores'!A:B,2,FALSE),"Não Cadastrado")</f>
        <v>17243</v>
      </c>
      <c r="I136" s="505"/>
      <c r="J136" s="505" t="s">
        <v>3645</v>
      </c>
      <c r="K136" s="515" t="s">
        <v>116</v>
      </c>
      <c r="L136" s="515" t="s">
        <v>3646</v>
      </c>
      <c r="M136" s="593">
        <v>44194.0</v>
      </c>
      <c r="N136" s="593">
        <v>44194.0</v>
      </c>
      <c r="O136" s="515"/>
      <c r="P136" s="515" t="s">
        <v>3651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89</v>
      </c>
      <c r="V136" s="515" t="s">
        <v>2421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3653</v>
      </c>
      <c r="AK136" s="596"/>
      <c r="AL136" s="443" t="s">
        <v>2430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3642</v>
      </c>
      <c r="B137" s="79" t="s">
        <v>4081</v>
      </c>
      <c r="C137" s="597" t="s">
        <v>4082</v>
      </c>
      <c r="D137" s="515">
        <v>4422652.0</v>
      </c>
      <c r="E137" s="505" t="s">
        <v>18</v>
      </c>
      <c r="F137" s="505" t="s">
        <v>29</v>
      </c>
      <c r="G137" s="505" t="s">
        <v>3650</v>
      </c>
      <c r="H137" s="505" t="str">
        <f>IFERROR(VLOOKUP(G137,'Cadastro de assessores'!A:B,2,FALSE),"Não Cadastrado")</f>
        <v>17679</v>
      </c>
      <c r="I137" s="505"/>
      <c r="J137" s="505" t="s">
        <v>3645</v>
      </c>
      <c r="K137" s="515" t="s">
        <v>116</v>
      </c>
      <c r="L137" s="515" t="s">
        <v>3646</v>
      </c>
      <c r="M137" s="592">
        <v>44071.0</v>
      </c>
      <c r="N137" s="592">
        <v>44075.0</v>
      </c>
      <c r="O137" s="515"/>
      <c r="P137" s="515" t="s">
        <v>3651</v>
      </c>
      <c r="Q137" s="610">
        <v>0.014</v>
      </c>
      <c r="R137" s="601" t="s">
        <v>4083</v>
      </c>
      <c r="S137" s="595"/>
      <c r="T137" s="515" t="str">
        <f t="shared" si="12"/>
        <v>Não Qualificado</v>
      </c>
      <c r="U137" s="515" t="s">
        <v>89</v>
      </c>
      <c r="V137" s="515" t="s">
        <v>3883</v>
      </c>
      <c r="W137" s="515" t="s">
        <v>455</v>
      </c>
      <c r="X137" s="596" t="s">
        <v>3653</v>
      </c>
      <c r="Y137" s="596" t="s">
        <v>3653</v>
      </c>
      <c r="Z137" s="596" t="s">
        <v>3653</v>
      </c>
      <c r="AA137" s="596" t="s">
        <v>3653</v>
      </c>
      <c r="AB137" s="596" t="s">
        <v>3653</v>
      </c>
      <c r="AC137" s="596" t="s">
        <v>3653</v>
      </c>
      <c r="AD137" s="596" t="s">
        <v>3653</v>
      </c>
      <c r="AE137" s="596" t="s">
        <v>3653</v>
      </c>
      <c r="AF137" s="596" t="s">
        <v>3653</v>
      </c>
      <c r="AG137" s="596" t="s">
        <v>3653</v>
      </c>
      <c r="AH137" s="596" t="s">
        <v>4084</v>
      </c>
      <c r="AI137" s="596" t="s">
        <v>4085</v>
      </c>
      <c r="AJ137" s="596" t="s">
        <v>4086</v>
      </c>
      <c r="AK137" s="596" t="s">
        <v>4087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3642</v>
      </c>
      <c r="B138" s="79" t="s">
        <v>728</v>
      </c>
      <c r="C138" s="564" t="s">
        <v>726</v>
      </c>
      <c r="D138" s="604">
        <v>8118585.0</v>
      </c>
      <c r="E138" s="505" t="s">
        <v>18</v>
      </c>
      <c r="F138" s="505" t="s">
        <v>29</v>
      </c>
      <c r="G138" s="505" t="s">
        <v>137</v>
      </c>
      <c r="H138" s="505">
        <f>IFERROR(VLOOKUP(G138,'Cadastro de assessores'!A:B,2,FALSE),"Não Cadastrado")</f>
        <v>12344</v>
      </c>
      <c r="I138" s="505"/>
      <c r="J138" s="505" t="s">
        <v>88</v>
      </c>
      <c r="K138" s="505" t="s">
        <v>88</v>
      </c>
      <c r="L138" s="624" t="s">
        <v>3659</v>
      </c>
      <c r="M138" s="605">
        <v>44638.0</v>
      </c>
      <c r="N138" s="605">
        <v>44657.0</v>
      </c>
      <c r="O138" s="636"/>
      <c r="P138" s="636" t="s">
        <v>733</v>
      </c>
      <c r="Q138" s="594">
        <v>0.01</v>
      </c>
      <c r="R138" s="601" t="s">
        <v>4088</v>
      </c>
      <c r="S138" s="595"/>
      <c r="T138" s="515" t="str">
        <f t="shared" si="12"/>
        <v>Não Qualificado</v>
      </c>
      <c r="U138" s="515" t="s">
        <v>89</v>
      </c>
      <c r="V138" s="515" t="s">
        <v>2410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2396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3642</v>
      </c>
      <c r="B139" s="79" t="s">
        <v>728</v>
      </c>
      <c r="C139" s="597" t="s">
        <v>726</v>
      </c>
      <c r="D139" s="555">
        <v>7032894.0</v>
      </c>
      <c r="E139" s="505" t="s">
        <v>18</v>
      </c>
      <c r="F139" s="505" t="s">
        <v>29</v>
      </c>
      <c r="G139" s="555" t="s">
        <v>137</v>
      </c>
      <c r="H139" s="505">
        <f>IFERROR(VLOOKUP(G139,'Cadastro de assessores'!A:B,2,FALSE),"Não Cadastrado")</f>
        <v>12344</v>
      </c>
      <c r="I139" s="505"/>
      <c r="J139" s="505" t="s">
        <v>88</v>
      </c>
      <c r="K139" s="505" t="s">
        <v>88</v>
      </c>
      <c r="L139" s="515" t="s">
        <v>3659</v>
      </c>
      <c r="M139" s="605">
        <v>44504.0</v>
      </c>
      <c r="N139" s="605">
        <v>44508.0</v>
      </c>
      <c r="O139" s="555"/>
      <c r="P139" s="555" t="s">
        <v>3664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89</v>
      </c>
      <c r="V139" s="515" t="s">
        <v>2410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3642</v>
      </c>
      <c r="B140" s="79" t="s">
        <v>728</v>
      </c>
      <c r="C140" s="597" t="s">
        <v>726</v>
      </c>
      <c r="D140" s="555">
        <v>96891.0</v>
      </c>
      <c r="E140" s="505" t="s">
        <v>18</v>
      </c>
      <c r="F140" s="505" t="s">
        <v>29</v>
      </c>
      <c r="G140" s="555" t="s">
        <v>137</v>
      </c>
      <c r="H140" s="505">
        <f>IFERROR(VLOOKUP(G140,'Cadastro de assessores'!A:B,2,FALSE),"Não Cadastrado")</f>
        <v>12344</v>
      </c>
      <c r="I140" s="505"/>
      <c r="J140" s="505" t="s">
        <v>88</v>
      </c>
      <c r="K140" s="505" t="s">
        <v>88</v>
      </c>
      <c r="L140" s="624" t="s">
        <v>3659</v>
      </c>
      <c r="M140" s="592">
        <v>44614.0</v>
      </c>
      <c r="N140" s="592">
        <v>44614.0</v>
      </c>
      <c r="O140" s="608"/>
      <c r="P140" s="608" t="s">
        <v>3657</v>
      </c>
      <c r="Q140" s="594">
        <v>0.007</v>
      </c>
      <c r="R140" s="210" t="s">
        <v>4089</v>
      </c>
      <c r="S140" s="595"/>
      <c r="T140" s="515" t="str">
        <f t="shared" si="12"/>
        <v>Não Qualificado</v>
      </c>
      <c r="U140" s="515" t="s">
        <v>89</v>
      </c>
      <c r="V140" s="515" t="s">
        <v>2410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3642</v>
      </c>
      <c r="B141" s="79" t="s">
        <v>728</v>
      </c>
      <c r="C141" s="597" t="s">
        <v>726</v>
      </c>
      <c r="D141" s="515">
        <v>4468606.0</v>
      </c>
      <c r="E141" s="505" t="s">
        <v>18</v>
      </c>
      <c r="F141" s="505" t="s">
        <v>29</v>
      </c>
      <c r="G141" s="505" t="s">
        <v>137</v>
      </c>
      <c r="H141" s="505">
        <f>IFERROR(VLOOKUP(G141,'Cadastro de assessores'!A:B,2,FALSE),"Não Cadastrado")</f>
        <v>12344</v>
      </c>
      <c r="I141" s="505"/>
      <c r="J141" s="505" t="s">
        <v>88</v>
      </c>
      <c r="K141" s="505" t="s">
        <v>88</v>
      </c>
      <c r="L141" s="515" t="s">
        <v>3659</v>
      </c>
      <c r="M141" s="592">
        <v>44106.0</v>
      </c>
      <c r="N141" s="592">
        <v>44106.0</v>
      </c>
      <c r="O141" s="555"/>
      <c r="P141" s="555" t="s">
        <v>3657</v>
      </c>
      <c r="Q141" s="594">
        <v>0.007</v>
      </c>
      <c r="R141" s="601" t="s">
        <v>4090</v>
      </c>
      <c r="S141" s="595"/>
      <c r="T141" s="515" t="str">
        <f t="shared" si="12"/>
        <v>Não Qualificado</v>
      </c>
      <c r="U141" s="515" t="s">
        <v>89</v>
      </c>
      <c r="V141" s="515" t="s">
        <v>2410</v>
      </c>
      <c r="W141" s="515" t="s">
        <v>29</v>
      </c>
      <c r="X141" s="596" t="s">
        <v>3653</v>
      </c>
      <c r="Y141" s="596" t="s">
        <v>3653</v>
      </c>
      <c r="Z141" s="596" t="s">
        <v>3653</v>
      </c>
      <c r="AA141" s="596" t="s">
        <v>3653</v>
      </c>
      <c r="AB141" s="596" t="s">
        <v>3653</v>
      </c>
      <c r="AC141" s="596" t="s">
        <v>3653</v>
      </c>
      <c r="AD141" s="596" t="s">
        <v>3653</v>
      </c>
      <c r="AE141" s="596" t="s">
        <v>3653</v>
      </c>
      <c r="AF141" s="596" t="s">
        <v>3653</v>
      </c>
      <c r="AG141" s="596" t="s">
        <v>3653</v>
      </c>
      <c r="AH141" s="596" t="s">
        <v>3653</v>
      </c>
      <c r="AI141" s="596" t="s">
        <v>3653</v>
      </c>
      <c r="AJ141" s="596" t="s">
        <v>4091</v>
      </c>
      <c r="AK141" s="596" t="s">
        <v>4092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3642</v>
      </c>
      <c r="B142" s="79" t="s">
        <v>728</v>
      </c>
      <c r="C142" s="597" t="s">
        <v>726</v>
      </c>
      <c r="D142" s="555">
        <v>7519150.0</v>
      </c>
      <c r="E142" s="505" t="s">
        <v>18</v>
      </c>
      <c r="F142" s="505" t="s">
        <v>29</v>
      </c>
      <c r="G142" s="555" t="s">
        <v>137</v>
      </c>
      <c r="H142" s="505">
        <f>IFERROR(VLOOKUP(G142,'Cadastro de assessores'!A:B,2,FALSE),"Não Cadastrado")</f>
        <v>12344</v>
      </c>
      <c r="I142" s="505"/>
      <c r="J142" s="505" t="s">
        <v>88</v>
      </c>
      <c r="K142" s="505" t="s">
        <v>88</v>
      </c>
      <c r="L142" s="515" t="s">
        <v>3659</v>
      </c>
      <c r="M142" s="592">
        <v>44578.0</v>
      </c>
      <c r="N142" s="592">
        <v>44578.0</v>
      </c>
      <c r="O142" s="555"/>
      <c r="P142" s="555" t="s">
        <v>3657</v>
      </c>
      <c r="Q142" s="594">
        <v>0.01</v>
      </c>
      <c r="R142" s="601" t="s">
        <v>4093</v>
      </c>
      <c r="S142" s="595"/>
      <c r="T142" s="515" t="str">
        <f t="shared" si="12"/>
        <v/>
      </c>
      <c r="U142" s="515" t="s">
        <v>89</v>
      </c>
      <c r="V142" s="515" t="s">
        <v>2410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3642</v>
      </c>
      <c r="B143" s="79" t="s">
        <v>748</v>
      </c>
      <c r="C143" s="597" t="s">
        <v>746</v>
      </c>
      <c r="D143" s="515">
        <v>8853992.0</v>
      </c>
      <c r="E143" s="515" t="s">
        <v>18</v>
      </c>
      <c r="F143" s="515" t="s">
        <v>19</v>
      </c>
      <c r="G143" s="515" t="s">
        <v>201</v>
      </c>
      <c r="H143" s="505" t="str">
        <f>IFERROR(VLOOKUP(G143,'Cadastro de assessores'!A:B,2,FALSE),"Não Cadastrado")</f>
        <v>18890</v>
      </c>
      <c r="I143" s="515"/>
      <c r="J143" s="515" t="s">
        <v>88</v>
      </c>
      <c r="K143" s="515"/>
      <c r="L143" s="515"/>
      <c r="M143" s="600"/>
      <c r="N143" s="600">
        <v>44847.0</v>
      </c>
      <c r="O143" s="554"/>
      <c r="P143" s="555" t="s">
        <v>3657</v>
      </c>
      <c r="Q143" s="594">
        <v>0.01</v>
      </c>
      <c r="R143" s="601" t="s">
        <v>3757</v>
      </c>
      <c r="S143" s="595"/>
      <c r="T143" s="515"/>
      <c r="U143" s="515"/>
      <c r="V143" s="515"/>
      <c r="W143" s="515" t="s">
        <v>412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3642</v>
      </c>
      <c r="B144" s="79" t="s">
        <v>4094</v>
      </c>
      <c r="C144" s="597" t="s">
        <v>4095</v>
      </c>
      <c r="D144" s="515">
        <v>4706119.0</v>
      </c>
      <c r="E144" s="515" t="s">
        <v>18</v>
      </c>
      <c r="F144" s="515" t="s">
        <v>29</v>
      </c>
      <c r="G144" s="515" t="s">
        <v>3650</v>
      </c>
      <c r="H144" s="515" t="str">
        <f>IFERROR(VLOOKUP(G144,'Cadastro de assessores'!A:B,2,FALSE),"Não Cadastrado")</f>
        <v>17679</v>
      </c>
      <c r="I144" s="515"/>
      <c r="J144" s="598" t="s">
        <v>2393</v>
      </c>
      <c r="K144" s="515" t="s">
        <v>2393</v>
      </c>
      <c r="L144" s="515" t="s">
        <v>3646</v>
      </c>
      <c r="M144" s="600">
        <v>44203.0</v>
      </c>
      <c r="N144" s="600">
        <v>44203.0</v>
      </c>
      <c r="O144" s="554">
        <v>44450.0</v>
      </c>
      <c r="P144" s="555" t="s">
        <v>3693</v>
      </c>
      <c r="Q144" s="594">
        <v>0.008</v>
      </c>
      <c r="R144" s="601" t="s">
        <v>4096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89</v>
      </c>
      <c r="V144" s="515" t="s">
        <v>2494</v>
      </c>
      <c r="W144" s="515" t="s">
        <v>715</v>
      </c>
      <c r="X144" s="596" t="s">
        <v>3653</v>
      </c>
      <c r="Y144" s="596" t="s">
        <v>3653</v>
      </c>
      <c r="Z144" s="596" t="s">
        <v>3653</v>
      </c>
      <c r="AA144" s="596" t="s">
        <v>3653</v>
      </c>
      <c r="AB144" s="596" t="s">
        <v>3653</v>
      </c>
      <c r="AC144" s="596" t="s">
        <v>3653</v>
      </c>
      <c r="AD144" s="596" t="s">
        <v>3653</v>
      </c>
      <c r="AE144" s="596" t="s">
        <v>3653</v>
      </c>
      <c r="AF144" s="596" t="s">
        <v>3653</v>
      </c>
      <c r="AG144" s="596" t="s">
        <v>3653</v>
      </c>
      <c r="AH144" s="596" t="s">
        <v>3653</v>
      </c>
      <c r="AI144" s="596" t="s">
        <v>3653</v>
      </c>
      <c r="AJ144" s="596" t="s">
        <v>3653</v>
      </c>
      <c r="AK144" s="596" t="s">
        <v>3653</v>
      </c>
      <c r="AL144" s="443" t="s">
        <v>2430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2396</v>
      </c>
      <c r="BF144" s="443" t="s">
        <v>2396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3642</v>
      </c>
      <c r="B145" s="79" t="s">
        <v>4094</v>
      </c>
      <c r="C145" s="597" t="s">
        <v>4095</v>
      </c>
      <c r="D145" s="515">
        <v>4728915.0</v>
      </c>
      <c r="E145" s="515" t="s">
        <v>18</v>
      </c>
      <c r="F145" s="515" t="s">
        <v>29</v>
      </c>
      <c r="G145" s="515" t="s">
        <v>3650</v>
      </c>
      <c r="H145" s="515" t="str">
        <f>IFERROR(VLOOKUP(G145,'Cadastro de assessores'!A:B,2,FALSE),"Não Cadastrado")</f>
        <v>17679</v>
      </c>
      <c r="I145" s="515"/>
      <c r="J145" s="598" t="s">
        <v>2393</v>
      </c>
      <c r="K145" s="515" t="s">
        <v>2393</v>
      </c>
      <c r="L145" s="515" t="s">
        <v>3646</v>
      </c>
      <c r="M145" s="600">
        <v>44203.0</v>
      </c>
      <c r="N145" s="600">
        <v>44203.0</v>
      </c>
      <c r="O145" s="554">
        <v>44450.0</v>
      </c>
      <c r="P145" s="515" t="s">
        <v>3651</v>
      </c>
      <c r="Q145" s="594">
        <v>0.015</v>
      </c>
      <c r="R145" s="601" t="s">
        <v>4096</v>
      </c>
      <c r="S145" s="595"/>
      <c r="T145" s="515" t="str">
        <f t="shared" si="13"/>
        <v>Não Qualificado</v>
      </c>
      <c r="U145" s="515" t="s">
        <v>89</v>
      </c>
      <c r="V145" s="515" t="s">
        <v>2494</v>
      </c>
      <c r="W145" s="515" t="s">
        <v>715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2396</v>
      </c>
      <c r="BF145" s="443" t="s">
        <v>2396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3642</v>
      </c>
      <c r="B146" s="79" t="s">
        <v>4097</v>
      </c>
      <c r="C146" s="597" t="s">
        <v>4098</v>
      </c>
      <c r="D146" s="515">
        <v>3221916.0</v>
      </c>
      <c r="E146" s="505" t="s">
        <v>18</v>
      </c>
      <c r="F146" s="505" t="s">
        <v>29</v>
      </c>
      <c r="G146" s="505" t="s">
        <v>3650</v>
      </c>
      <c r="H146" s="505" t="str">
        <f>IFERROR(VLOOKUP(G146,'Cadastro de assessores'!A:B,2,FALSE),"Não Cadastrado")</f>
        <v>17679</v>
      </c>
      <c r="I146" s="505"/>
      <c r="J146" s="614" t="s">
        <v>2429</v>
      </c>
      <c r="K146" s="515" t="s">
        <v>116</v>
      </c>
      <c r="L146" s="515" t="s">
        <v>3659</v>
      </c>
      <c r="M146" s="515" t="s">
        <v>2430</v>
      </c>
      <c r="N146" s="614" t="s">
        <v>2429</v>
      </c>
      <c r="O146" s="515"/>
      <c r="P146" s="515" t="s">
        <v>3651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89</v>
      </c>
      <c r="V146" s="515" t="s">
        <v>4067</v>
      </c>
      <c r="W146" s="515" t="s">
        <v>3497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2430</v>
      </c>
      <c r="AO146" s="443" t="s">
        <v>2430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2396</v>
      </c>
      <c r="BF146" s="443" t="s">
        <v>2396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3642</v>
      </c>
      <c r="B147" s="79" t="s">
        <v>4099</v>
      </c>
      <c r="C147" s="597" t="s">
        <v>4100</v>
      </c>
      <c r="D147" s="515">
        <v>4668132.0</v>
      </c>
      <c r="E147" s="515" t="s">
        <v>18</v>
      </c>
      <c r="F147" s="515" t="s">
        <v>29</v>
      </c>
      <c r="G147" s="515" t="s">
        <v>3650</v>
      </c>
      <c r="H147" s="515" t="str">
        <f>IFERROR(VLOOKUP(G147,'Cadastro de assessores'!A:B,2,FALSE),"Não Cadastrado")</f>
        <v>17679</v>
      </c>
      <c r="I147" s="515"/>
      <c r="J147" s="598" t="s">
        <v>2393</v>
      </c>
      <c r="K147" s="515" t="s">
        <v>2393</v>
      </c>
      <c r="L147" s="515" t="s">
        <v>3646</v>
      </c>
      <c r="M147" s="600">
        <v>44202.0</v>
      </c>
      <c r="N147" s="600">
        <v>44202.0</v>
      </c>
      <c r="O147" s="600">
        <v>44453.0</v>
      </c>
      <c r="P147" s="515" t="s">
        <v>3651</v>
      </c>
      <c r="Q147" s="594">
        <v>0.015</v>
      </c>
      <c r="R147" s="601" t="s">
        <v>4101</v>
      </c>
      <c r="S147" s="595"/>
      <c r="T147" s="515" t="str">
        <f t="shared" si="13"/>
        <v>Não Qualificado</v>
      </c>
      <c r="U147" s="515" t="s">
        <v>89</v>
      </c>
      <c r="V147" s="515" t="s">
        <v>4067</v>
      </c>
      <c r="W147" s="515" t="s">
        <v>3497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2396</v>
      </c>
      <c r="BF147" s="443" t="s">
        <v>2396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3642</v>
      </c>
      <c r="B148" s="79" t="s">
        <v>4102</v>
      </c>
      <c r="C148" s="597" t="s">
        <v>4103</v>
      </c>
      <c r="D148" s="515">
        <v>4403283.0</v>
      </c>
      <c r="E148" s="515" t="s">
        <v>86</v>
      </c>
      <c r="F148" s="515" t="s">
        <v>29</v>
      </c>
      <c r="G148" s="515" t="s">
        <v>3702</v>
      </c>
      <c r="H148" s="515" t="str">
        <f>IFERROR(VLOOKUP(G148,'Cadastro de assessores'!A:B,2,FALSE),"Não Cadastrado")</f>
        <v>1441</v>
      </c>
      <c r="I148" s="515"/>
      <c r="J148" s="598" t="s">
        <v>2393</v>
      </c>
      <c r="K148" s="515" t="s">
        <v>2393</v>
      </c>
      <c r="L148" s="515" t="s">
        <v>3646</v>
      </c>
      <c r="M148" s="600">
        <v>44075.0</v>
      </c>
      <c r="N148" s="600">
        <v>44075.0</v>
      </c>
      <c r="O148" s="554">
        <v>44537.0</v>
      </c>
      <c r="P148" s="555" t="s">
        <v>3647</v>
      </c>
      <c r="Q148" s="594">
        <v>0.02</v>
      </c>
      <c r="R148" s="601" t="s">
        <v>4104</v>
      </c>
      <c r="S148" s="595"/>
      <c r="T148" s="515" t="str">
        <f t="shared" si="13"/>
        <v/>
      </c>
      <c r="U148" s="515" t="s">
        <v>89</v>
      </c>
      <c r="V148" s="515" t="s">
        <v>3938</v>
      </c>
      <c r="W148" s="515" t="s">
        <v>121</v>
      </c>
      <c r="X148" s="596" t="s">
        <v>3653</v>
      </c>
      <c r="Y148" s="596" t="s">
        <v>3653</v>
      </c>
      <c r="Z148" s="596" t="s">
        <v>3653</v>
      </c>
      <c r="AA148" s="596" t="s">
        <v>3653</v>
      </c>
      <c r="AB148" s="596" t="s">
        <v>3653</v>
      </c>
      <c r="AC148" s="596" t="s">
        <v>3653</v>
      </c>
      <c r="AD148" s="596" t="s">
        <v>3653</v>
      </c>
      <c r="AE148" s="596" t="s">
        <v>3653</v>
      </c>
      <c r="AF148" s="596" t="s">
        <v>3653</v>
      </c>
      <c r="AG148" s="596" t="s">
        <v>3653</v>
      </c>
      <c r="AH148" s="596" t="s">
        <v>4105</v>
      </c>
      <c r="AI148" s="596" t="s">
        <v>4106</v>
      </c>
      <c r="AJ148" s="596" t="s">
        <v>4107</v>
      </c>
      <c r="AK148" s="596" t="s">
        <v>4108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2396</v>
      </c>
      <c r="BF148" s="443" t="s">
        <v>2396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3642</v>
      </c>
      <c r="B149" s="79" t="s">
        <v>774</v>
      </c>
      <c r="C149" s="564" t="s">
        <v>4109</v>
      </c>
      <c r="D149" s="555">
        <v>5183783.0</v>
      </c>
      <c r="E149" s="591" t="s">
        <v>86</v>
      </c>
      <c r="F149" s="591" t="s">
        <v>29</v>
      </c>
      <c r="G149" s="505" t="s">
        <v>4110</v>
      </c>
      <c r="H149" s="505">
        <f>IFERROR(VLOOKUP(G149,'Cadastro de assessores'!A:B,2,FALSE),"Não Cadastrado")</f>
        <v>12330</v>
      </c>
      <c r="I149" s="505"/>
      <c r="J149" s="505" t="s">
        <v>88</v>
      </c>
      <c r="K149" s="505" t="s">
        <v>88</v>
      </c>
      <c r="L149" s="515" t="s">
        <v>3659</v>
      </c>
      <c r="M149" s="605">
        <v>44701.0</v>
      </c>
      <c r="N149" s="605">
        <v>44701.0</v>
      </c>
      <c r="O149" s="555"/>
      <c r="P149" s="555" t="s">
        <v>3657</v>
      </c>
      <c r="Q149" s="594">
        <v>0.007</v>
      </c>
      <c r="R149" s="601"/>
      <c r="S149" s="595"/>
      <c r="T149" s="515" t="str">
        <f t="shared" si="13"/>
        <v/>
      </c>
      <c r="U149" s="515" t="s">
        <v>89</v>
      </c>
      <c r="V149" s="515" t="s">
        <v>2432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3642</v>
      </c>
      <c r="B150" s="79" t="s">
        <v>795</v>
      </c>
      <c r="C150" s="626" t="s">
        <v>793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88</v>
      </c>
      <c r="K150" s="505" t="s">
        <v>88</v>
      </c>
      <c r="L150" s="515" t="s">
        <v>3659</v>
      </c>
      <c r="M150" s="605">
        <v>44614.0</v>
      </c>
      <c r="N150" s="605">
        <v>44614.0</v>
      </c>
      <c r="O150" s="555"/>
      <c r="P150" s="555" t="s">
        <v>3657</v>
      </c>
      <c r="Q150" s="594">
        <v>0.007</v>
      </c>
      <c r="R150" s="499" t="s">
        <v>4111</v>
      </c>
      <c r="S150" s="595"/>
      <c r="T150" s="515" t="str">
        <f t="shared" si="13"/>
        <v>Não Qualificado</v>
      </c>
      <c r="U150" s="515" t="s">
        <v>89</v>
      </c>
      <c r="V150" s="515" t="s">
        <v>3270</v>
      </c>
      <c r="W150" s="515" t="s">
        <v>796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3642</v>
      </c>
      <c r="B151" s="79" t="s">
        <v>4112</v>
      </c>
      <c r="C151" s="564" t="s">
        <v>4113</v>
      </c>
      <c r="D151" s="555">
        <v>6121090.0</v>
      </c>
      <c r="E151" s="515" t="s">
        <v>18</v>
      </c>
      <c r="F151" s="504" t="s">
        <v>19</v>
      </c>
      <c r="G151" s="515" t="s">
        <v>230</v>
      </c>
      <c r="H151" s="504" t="str">
        <f>IFERROR(VLOOKUP(G151,'Cadastro de assessores'!A:B,2,FALSE),"Não Cadastrado")</f>
        <v>18009</v>
      </c>
      <c r="I151" s="504"/>
      <c r="J151" s="598" t="s">
        <v>2393</v>
      </c>
      <c r="K151" s="515" t="s">
        <v>2393</v>
      </c>
      <c r="L151" s="555" t="s">
        <v>3646</v>
      </c>
      <c r="M151" s="600"/>
      <c r="N151" s="600">
        <v>44421.0</v>
      </c>
      <c r="O151" s="600">
        <v>44685.0</v>
      </c>
      <c r="P151" s="515" t="s">
        <v>3647</v>
      </c>
      <c r="Q151" s="594">
        <v>0.02</v>
      </c>
      <c r="R151" s="210" t="s">
        <v>4114</v>
      </c>
      <c r="S151" s="595"/>
      <c r="T151" s="515" t="str">
        <f t="shared" si="13"/>
        <v>Não Qualificado</v>
      </c>
      <c r="U151" s="515" t="s">
        <v>89</v>
      </c>
      <c r="V151" s="555" t="s">
        <v>4115</v>
      </c>
      <c r="W151" s="515" t="s">
        <v>121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2396</v>
      </c>
      <c r="BF151" s="443" t="s">
        <v>2396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3642</v>
      </c>
      <c r="B152" s="79" t="s">
        <v>805</v>
      </c>
      <c r="C152" s="564" t="s">
        <v>803</v>
      </c>
      <c r="D152" s="604">
        <v>8203715.0</v>
      </c>
      <c r="E152" s="505" t="s">
        <v>18</v>
      </c>
      <c r="F152" s="505" t="s">
        <v>29</v>
      </c>
      <c r="G152" s="505" t="s">
        <v>137</v>
      </c>
      <c r="H152" s="505">
        <f>IFERROR(VLOOKUP(G152,'Cadastro de assessores'!A:B,2,FALSE),"Não Cadastrado")</f>
        <v>12344</v>
      </c>
      <c r="I152" s="505"/>
      <c r="J152" s="505" t="s">
        <v>88</v>
      </c>
      <c r="K152" s="505" t="s">
        <v>88</v>
      </c>
      <c r="L152" s="515" t="s">
        <v>3659</v>
      </c>
      <c r="M152" s="605">
        <v>44649.0</v>
      </c>
      <c r="N152" s="605">
        <v>44655.0</v>
      </c>
      <c r="O152" s="555"/>
      <c r="P152" s="555" t="s">
        <v>3657</v>
      </c>
      <c r="Q152" s="594">
        <v>0.007</v>
      </c>
      <c r="R152" s="601"/>
      <c r="S152" s="595"/>
      <c r="T152" s="515" t="str">
        <f t="shared" si="13"/>
        <v/>
      </c>
      <c r="U152" s="515" t="s">
        <v>89</v>
      </c>
      <c r="V152" s="515" t="s">
        <v>2421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3642</v>
      </c>
      <c r="B153" s="79" t="s">
        <v>4116</v>
      </c>
      <c r="C153" s="564" t="s">
        <v>4117</v>
      </c>
      <c r="D153" s="555">
        <v>0.0</v>
      </c>
      <c r="E153" s="515" t="s">
        <v>18</v>
      </c>
      <c r="F153" s="504" t="s">
        <v>19</v>
      </c>
      <c r="G153" s="515" t="s">
        <v>230</v>
      </c>
      <c r="H153" s="504" t="str">
        <f>IFERROR(VLOOKUP(G153,'Cadastro de assessores'!A:B,2,FALSE),"Não Cadastrado")</f>
        <v>18009</v>
      </c>
      <c r="I153" s="504"/>
      <c r="J153" s="598" t="s">
        <v>2393</v>
      </c>
      <c r="K153" s="515" t="s">
        <v>2393</v>
      </c>
      <c r="L153" s="555" t="s">
        <v>3646</v>
      </c>
      <c r="M153" s="600">
        <v>44300.0</v>
      </c>
      <c r="N153" s="600">
        <v>44300.0</v>
      </c>
      <c r="O153" s="600">
        <v>44651.0</v>
      </c>
      <c r="P153" s="515" t="s">
        <v>3651</v>
      </c>
      <c r="Q153" s="594">
        <v>0.012</v>
      </c>
      <c r="R153" s="601" t="s">
        <v>4118</v>
      </c>
      <c r="S153" s="595"/>
      <c r="T153" s="515" t="str">
        <f t="shared" si="13"/>
        <v>Não Qualificado</v>
      </c>
      <c r="U153" s="515" t="s">
        <v>89</v>
      </c>
      <c r="V153" s="515" t="s">
        <v>2449</v>
      </c>
      <c r="W153" s="515" t="s">
        <v>121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2396</v>
      </c>
      <c r="BF153" s="443" t="s">
        <v>2396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3642</v>
      </c>
      <c r="B154" s="79" t="s">
        <v>809</v>
      </c>
      <c r="C154" s="564" t="s">
        <v>4119</v>
      </c>
      <c r="D154" s="555">
        <v>3561110.0</v>
      </c>
      <c r="E154" s="505" t="s">
        <v>18</v>
      </c>
      <c r="F154" s="505" t="s">
        <v>29</v>
      </c>
      <c r="G154" s="555" t="s">
        <v>761</v>
      </c>
      <c r="H154" s="555">
        <f>IFERROR(VLOOKUP(G154,'Cadastro de assessores'!A:B,2,FALSE),"Não Cadastrado")</f>
        <v>12342</v>
      </c>
      <c r="I154" s="555"/>
      <c r="J154" s="505" t="s">
        <v>88</v>
      </c>
      <c r="K154" s="505" t="s">
        <v>88</v>
      </c>
      <c r="L154" s="515" t="s">
        <v>3659</v>
      </c>
      <c r="M154" s="605">
        <v>44656.0</v>
      </c>
      <c r="N154" s="605">
        <v>44658.0</v>
      </c>
      <c r="O154" s="555"/>
      <c r="P154" s="555" t="s">
        <v>3657</v>
      </c>
      <c r="Q154" s="594">
        <v>0.007</v>
      </c>
      <c r="R154" s="210" t="s">
        <v>4120</v>
      </c>
      <c r="S154" s="595"/>
      <c r="T154" s="515" t="str">
        <f t="shared" si="13"/>
        <v>Não Qualificado</v>
      </c>
      <c r="U154" s="515" t="s">
        <v>89</v>
      </c>
      <c r="V154" s="555" t="s">
        <v>2421</v>
      </c>
      <c r="W154" s="555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3642</v>
      </c>
      <c r="B155" s="79" t="s">
        <v>4121</v>
      </c>
      <c r="C155" s="597" t="s">
        <v>4122</v>
      </c>
      <c r="D155" s="515">
        <v>4403399.0</v>
      </c>
      <c r="E155" s="515" t="s">
        <v>86</v>
      </c>
      <c r="F155" s="515" t="s">
        <v>29</v>
      </c>
      <c r="G155" s="515" t="s">
        <v>3910</v>
      </c>
      <c r="H155" s="515" t="str">
        <f>IFERROR(VLOOKUP(G155,'Cadastro de assessores'!A:B,2,FALSE),"Não Cadastrado")</f>
        <v>15049</v>
      </c>
      <c r="I155" s="515"/>
      <c r="J155" s="598" t="s">
        <v>2393</v>
      </c>
      <c r="K155" s="515" t="s">
        <v>2393</v>
      </c>
      <c r="L155" s="515" t="s">
        <v>3646</v>
      </c>
      <c r="M155" s="600">
        <v>44074.0</v>
      </c>
      <c r="N155" s="600">
        <v>44074.0</v>
      </c>
      <c r="O155" s="600">
        <v>44627.0</v>
      </c>
      <c r="P155" s="515" t="s">
        <v>3660</v>
      </c>
      <c r="Q155" s="594">
        <v>0.012</v>
      </c>
      <c r="R155" s="601" t="s">
        <v>4123</v>
      </c>
      <c r="S155" s="595"/>
      <c r="T155" s="515" t="str">
        <f t="shared" si="13"/>
        <v>Não Qualificado</v>
      </c>
      <c r="U155" s="515" t="s">
        <v>89</v>
      </c>
      <c r="V155" s="515" t="s">
        <v>2950</v>
      </c>
      <c r="W155" s="515" t="s">
        <v>29</v>
      </c>
      <c r="X155" s="596" t="s">
        <v>3653</v>
      </c>
      <c r="Y155" s="596" t="s">
        <v>3653</v>
      </c>
      <c r="Z155" s="596" t="s">
        <v>3653</v>
      </c>
      <c r="AA155" s="596" t="s">
        <v>3653</v>
      </c>
      <c r="AB155" s="596" t="s">
        <v>3653</v>
      </c>
      <c r="AC155" s="596" t="s">
        <v>3653</v>
      </c>
      <c r="AD155" s="596" t="s">
        <v>3653</v>
      </c>
      <c r="AE155" s="596" t="s">
        <v>3653</v>
      </c>
      <c r="AF155" s="596" t="s">
        <v>3653</v>
      </c>
      <c r="AG155" s="596" t="s">
        <v>3653</v>
      </c>
      <c r="AH155" s="596" t="s">
        <v>4124</v>
      </c>
      <c r="AI155" s="596" t="s">
        <v>4125</v>
      </c>
      <c r="AJ155" s="596" t="s">
        <v>4126</v>
      </c>
      <c r="AK155" s="596" t="s">
        <v>4127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2396</v>
      </c>
      <c r="BF155" s="443" t="s">
        <v>2396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3642</v>
      </c>
      <c r="B156" s="79" t="s">
        <v>4128</v>
      </c>
      <c r="C156" s="564" t="s">
        <v>4129</v>
      </c>
      <c r="D156" s="555">
        <v>5599659.0</v>
      </c>
      <c r="E156" s="505" t="s">
        <v>86</v>
      </c>
      <c r="F156" s="591" t="s">
        <v>29</v>
      </c>
      <c r="G156" s="555" t="s">
        <v>4028</v>
      </c>
      <c r="H156" s="555">
        <f>IFERROR(VLOOKUP(G156,'Cadastro de assessores'!A:B,2,FALSE),"Não Cadastrado")</f>
        <v>12347</v>
      </c>
      <c r="I156" s="555"/>
      <c r="J156" s="505" t="s">
        <v>88</v>
      </c>
      <c r="K156" s="505" t="s">
        <v>88</v>
      </c>
      <c r="L156" s="515" t="s">
        <v>3659</v>
      </c>
      <c r="M156" s="592">
        <v>44341.0</v>
      </c>
      <c r="N156" s="592">
        <v>44344.0</v>
      </c>
      <c r="O156" s="555"/>
      <c r="P156" s="555" t="s">
        <v>3657</v>
      </c>
      <c r="Q156" s="594">
        <v>0.007</v>
      </c>
      <c r="R156" s="210"/>
      <c r="S156" s="595"/>
      <c r="T156" s="515" t="str">
        <f t="shared" si="13"/>
        <v/>
      </c>
      <c r="U156" s="515" t="s">
        <v>89</v>
      </c>
      <c r="V156" s="555" t="s">
        <v>2432</v>
      </c>
      <c r="W156" s="555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3642</v>
      </c>
      <c r="B157" s="79" t="s">
        <v>4130</v>
      </c>
      <c r="C157" s="597" t="s">
        <v>4131</v>
      </c>
      <c r="D157" s="515">
        <v>4743699.0</v>
      </c>
      <c r="E157" s="515" t="s">
        <v>86</v>
      </c>
      <c r="F157" s="515" t="s">
        <v>29</v>
      </c>
      <c r="G157" s="515" t="s">
        <v>3486</v>
      </c>
      <c r="H157" s="515" t="str">
        <f>IFERROR(VLOOKUP(G157,'Cadastro de assessores'!A:B,2,FALSE),"Não Cadastrado")</f>
        <v>14574</v>
      </c>
      <c r="I157" s="515"/>
      <c r="J157" s="598" t="s">
        <v>2393</v>
      </c>
      <c r="K157" s="515" t="s">
        <v>2393</v>
      </c>
      <c r="L157" s="515" t="s">
        <v>3659</v>
      </c>
      <c r="M157" s="600">
        <v>44211.0</v>
      </c>
      <c r="N157" s="600">
        <v>44211.0</v>
      </c>
      <c r="O157" s="600">
        <v>44803.0</v>
      </c>
      <c r="P157" s="515" t="s">
        <v>3651</v>
      </c>
      <c r="Q157" s="594">
        <v>0.015</v>
      </c>
      <c r="R157" s="601" t="s">
        <v>4132</v>
      </c>
      <c r="S157" s="595"/>
      <c r="T157" s="515" t="str">
        <f t="shared" si="13"/>
        <v/>
      </c>
      <c r="U157" s="515" t="s">
        <v>89</v>
      </c>
      <c r="V157" s="515" t="s">
        <v>2453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3642</v>
      </c>
      <c r="B158" s="79" t="s">
        <v>4133</v>
      </c>
      <c r="C158" s="597" t="s">
        <v>4134</v>
      </c>
      <c r="D158" s="515">
        <v>4695581.0</v>
      </c>
      <c r="E158" s="505" t="s">
        <v>86</v>
      </c>
      <c r="F158" s="505" t="s">
        <v>29</v>
      </c>
      <c r="G158" s="505" t="s">
        <v>3948</v>
      </c>
      <c r="H158" s="505" t="str">
        <f>IFERROR(VLOOKUP(G158,'Cadastro de assessores'!A:B,2,FALSE),"Não Cadastrado")</f>
        <v>19157</v>
      </c>
      <c r="I158" s="505"/>
      <c r="J158" s="505" t="s">
        <v>88</v>
      </c>
      <c r="K158" s="505" t="s">
        <v>88</v>
      </c>
      <c r="L158" s="515" t="s">
        <v>3659</v>
      </c>
      <c r="M158" s="593">
        <v>44186.0</v>
      </c>
      <c r="N158" s="593">
        <v>44193.0</v>
      </c>
      <c r="O158" s="555"/>
      <c r="P158" s="555" t="s">
        <v>3647</v>
      </c>
      <c r="Q158" s="594">
        <v>0.02</v>
      </c>
      <c r="R158" s="601"/>
      <c r="S158" s="595"/>
      <c r="T158" s="515" t="str">
        <f t="shared" si="13"/>
        <v/>
      </c>
      <c r="U158" s="515" t="s">
        <v>89</v>
      </c>
      <c r="V158" s="515" t="s">
        <v>4135</v>
      </c>
      <c r="W158" s="515" t="s">
        <v>29</v>
      </c>
      <c r="X158" s="596" t="s">
        <v>3653</v>
      </c>
      <c r="Y158" s="596" t="s">
        <v>3653</v>
      </c>
      <c r="Z158" s="596" t="s">
        <v>3653</v>
      </c>
      <c r="AA158" s="596" t="s">
        <v>3653</v>
      </c>
      <c r="AB158" s="596" t="s">
        <v>3653</v>
      </c>
      <c r="AC158" s="596" t="s">
        <v>3653</v>
      </c>
      <c r="AD158" s="596" t="s">
        <v>3653</v>
      </c>
      <c r="AE158" s="596" t="s">
        <v>3653</v>
      </c>
      <c r="AF158" s="596" t="s">
        <v>3653</v>
      </c>
      <c r="AG158" s="596" t="s">
        <v>3653</v>
      </c>
      <c r="AH158" s="596" t="s">
        <v>3653</v>
      </c>
      <c r="AI158" s="596" t="s">
        <v>3653</v>
      </c>
      <c r="AJ158" s="596" t="s">
        <v>3653</v>
      </c>
      <c r="AK158" s="596" t="s">
        <v>3653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3642</v>
      </c>
      <c r="B159" s="79" t="s">
        <v>4136</v>
      </c>
      <c r="C159" s="626" t="s">
        <v>4137</v>
      </c>
      <c r="D159" s="608">
        <v>3274958.0</v>
      </c>
      <c r="E159" s="505" t="s">
        <v>86</v>
      </c>
      <c r="F159" s="591" t="s">
        <v>29</v>
      </c>
      <c r="G159" s="505" t="s">
        <v>3901</v>
      </c>
      <c r="H159" s="505" t="str">
        <f>IFERROR(VLOOKUP(G159,'Cadastro de assessores'!A:B,2,FALSE),"Não Cadastrado")</f>
        <v>19634</v>
      </c>
      <c r="I159" s="505"/>
      <c r="J159" s="505" t="s">
        <v>88</v>
      </c>
      <c r="K159" s="505" t="s">
        <v>88</v>
      </c>
      <c r="L159" s="515" t="s">
        <v>3659</v>
      </c>
      <c r="M159" s="605">
        <v>44714.0</v>
      </c>
      <c r="N159" s="605">
        <v>44714.0</v>
      </c>
      <c r="O159" s="555"/>
      <c r="P159" s="555" t="s">
        <v>3657</v>
      </c>
      <c r="Q159" s="594">
        <v>0.007</v>
      </c>
      <c r="R159" s="210" t="s">
        <v>4138</v>
      </c>
      <c r="S159" s="595"/>
      <c r="T159" s="515"/>
      <c r="U159" s="515" t="s">
        <v>89</v>
      </c>
      <c r="V159" s="515" t="s">
        <v>2505</v>
      </c>
      <c r="W159" s="555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2396</v>
      </c>
      <c r="BF159" s="443" t="s">
        <v>2396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3642</v>
      </c>
      <c r="B160" s="79" t="s">
        <v>831</v>
      </c>
      <c r="C160" s="626" t="s">
        <v>4139</v>
      </c>
      <c r="D160" s="608">
        <v>6986262.0</v>
      </c>
      <c r="E160" s="505" t="s">
        <v>18</v>
      </c>
      <c r="F160" s="591" t="s">
        <v>19</v>
      </c>
      <c r="G160" s="505" t="s">
        <v>230</v>
      </c>
      <c r="H160" s="505" t="str">
        <f>IFERROR(VLOOKUP(G160,'Cadastro de assessores'!A:B,2,FALSE),"Não Cadastrado")</f>
        <v>18009</v>
      </c>
      <c r="I160" s="505"/>
      <c r="J160" s="505" t="s">
        <v>88</v>
      </c>
      <c r="K160" s="505" t="s">
        <v>88</v>
      </c>
      <c r="L160" s="515" t="s">
        <v>3659</v>
      </c>
      <c r="M160" s="592">
        <v>44508.0</v>
      </c>
      <c r="N160" s="592">
        <v>44503.0</v>
      </c>
      <c r="O160" s="554">
        <v>45033.0</v>
      </c>
      <c r="P160" s="555" t="s">
        <v>3693</v>
      </c>
      <c r="Q160" s="594">
        <v>0.008</v>
      </c>
      <c r="R160" s="210" t="s">
        <v>4140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89</v>
      </c>
      <c r="V160" s="515" t="s">
        <v>2505</v>
      </c>
      <c r="W160" s="555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3642</v>
      </c>
      <c r="B161" s="79" t="s">
        <v>4141</v>
      </c>
      <c r="C161" s="597" t="s">
        <v>4142</v>
      </c>
      <c r="D161" s="515">
        <v>395136.0</v>
      </c>
      <c r="E161" s="515" t="s">
        <v>18</v>
      </c>
      <c r="F161" s="515" t="s">
        <v>29</v>
      </c>
      <c r="G161" s="515" t="s">
        <v>4143</v>
      </c>
      <c r="H161" s="515" t="str">
        <f>IFERROR(VLOOKUP(G161,'Cadastro de assessores'!A:B,2,FALSE),"Não Cadastrado")</f>
        <v>12846</v>
      </c>
      <c r="I161" s="515"/>
      <c r="J161" s="598" t="s">
        <v>2393</v>
      </c>
      <c r="K161" s="515" t="s">
        <v>2393</v>
      </c>
      <c r="L161" s="515" t="s">
        <v>3646</v>
      </c>
      <c r="M161" s="600">
        <v>44260.0</v>
      </c>
      <c r="N161" s="600">
        <v>44260.0</v>
      </c>
      <c r="O161" s="600">
        <v>44378.0</v>
      </c>
      <c r="P161" s="515" t="s">
        <v>3664</v>
      </c>
      <c r="Q161" s="594">
        <v>0.005</v>
      </c>
      <c r="R161" s="625" t="s">
        <v>4144</v>
      </c>
      <c r="S161" s="595"/>
      <c r="T161" s="515" t="str">
        <f t="shared" si="14"/>
        <v/>
      </c>
      <c r="U161" s="515" t="s">
        <v>89</v>
      </c>
      <c r="V161" s="515" t="s">
        <v>2444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2396</v>
      </c>
      <c r="BF161" s="443" t="s">
        <v>2396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3642</v>
      </c>
      <c r="B162" s="79" t="s">
        <v>4145</v>
      </c>
      <c r="C162" s="564" t="s">
        <v>4146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3001</v>
      </c>
      <c r="K162" s="515" t="s">
        <v>116</v>
      </c>
      <c r="L162" s="515"/>
      <c r="M162" s="624" t="s">
        <v>2430</v>
      </c>
      <c r="N162" s="624"/>
      <c r="O162" s="555"/>
      <c r="P162" s="555" t="s">
        <v>3660</v>
      </c>
      <c r="Q162" s="594">
        <v>0.01</v>
      </c>
      <c r="R162" s="625" t="s">
        <v>4147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3642</v>
      </c>
      <c r="B163" s="79" t="s">
        <v>848</v>
      </c>
      <c r="C163" s="564" t="s">
        <v>2703</v>
      </c>
      <c r="D163" s="604">
        <v>2551563.0</v>
      </c>
      <c r="E163" s="505" t="s">
        <v>18</v>
      </c>
      <c r="F163" s="505" t="s">
        <v>29</v>
      </c>
      <c r="G163" s="505" t="s">
        <v>137</v>
      </c>
      <c r="H163" s="505">
        <f>IFERROR(VLOOKUP(G163,'Cadastro de assessores'!A:B,2,FALSE),"Não Cadastrado")</f>
        <v>12344</v>
      </c>
      <c r="I163" s="505"/>
      <c r="J163" s="505" t="s">
        <v>88</v>
      </c>
      <c r="K163" s="505" t="s">
        <v>88</v>
      </c>
      <c r="L163" s="515" t="s">
        <v>3659</v>
      </c>
      <c r="M163" s="605">
        <v>44644.0</v>
      </c>
      <c r="N163" s="605">
        <v>44644.0</v>
      </c>
      <c r="O163" s="555"/>
      <c r="P163" s="555" t="s">
        <v>3657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89</v>
      </c>
      <c r="V163" s="515" t="s">
        <v>2505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3642</v>
      </c>
      <c r="B164" s="79" t="s">
        <v>4148</v>
      </c>
      <c r="C164" s="564" t="s">
        <v>4149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88</v>
      </c>
      <c r="K164" s="505" t="s">
        <v>88</v>
      </c>
      <c r="L164" s="515" t="s">
        <v>3659</v>
      </c>
      <c r="M164" s="605">
        <v>44645.0</v>
      </c>
      <c r="N164" s="605">
        <v>44645.0</v>
      </c>
      <c r="O164" s="555"/>
      <c r="P164" s="555" t="s">
        <v>3651</v>
      </c>
      <c r="Q164" s="594">
        <v>0.015</v>
      </c>
      <c r="R164" s="601" t="s">
        <v>4150</v>
      </c>
      <c r="S164" s="595"/>
      <c r="T164" s="515" t="str">
        <f t="shared" si="15"/>
        <v>Não Qualificado</v>
      </c>
      <c r="U164" s="515" t="s">
        <v>89</v>
      </c>
      <c r="V164" s="555" t="s">
        <v>4151</v>
      </c>
      <c r="W164" s="515" t="s">
        <v>1144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2396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3642</v>
      </c>
      <c r="B165" s="79" t="s">
        <v>4152</v>
      </c>
      <c r="C165" s="564" t="s">
        <v>4153</v>
      </c>
      <c r="D165" s="555">
        <v>6486558.0</v>
      </c>
      <c r="E165" s="505" t="s">
        <v>18</v>
      </c>
      <c r="F165" s="591" t="s">
        <v>29</v>
      </c>
      <c r="G165" s="608" t="s">
        <v>865</v>
      </c>
      <c r="H165" s="608" t="str">
        <f>IFERROR(VLOOKUP(G165,'Cadastro de assessores'!A:B,2,FALSE),"Não Cadastrado")</f>
        <v>14739</v>
      </c>
      <c r="I165" s="608"/>
      <c r="J165" s="505" t="s">
        <v>88</v>
      </c>
      <c r="K165" s="505" t="s">
        <v>88</v>
      </c>
      <c r="L165" s="515" t="s">
        <v>3659</v>
      </c>
      <c r="M165" s="592">
        <v>44439.0</v>
      </c>
      <c r="N165" s="592">
        <v>44447.0</v>
      </c>
      <c r="O165" s="555"/>
      <c r="P165" s="555" t="s">
        <v>3651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89</v>
      </c>
      <c r="V165" s="555" t="s">
        <v>4154</v>
      </c>
      <c r="W165" s="515" t="s">
        <v>121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3642</v>
      </c>
      <c r="B166" s="79" t="s">
        <v>867</v>
      </c>
      <c r="C166" s="637" t="s">
        <v>863</v>
      </c>
      <c r="D166" s="555">
        <v>7046433.0</v>
      </c>
      <c r="E166" s="505" t="s">
        <v>18</v>
      </c>
      <c r="F166" s="505" t="s">
        <v>29</v>
      </c>
      <c r="G166" s="555" t="s">
        <v>865</v>
      </c>
      <c r="H166" s="608" t="str">
        <f>IFERROR(VLOOKUP(G166,'Cadastro de assessores'!A:B,2,FALSE),"Não Cadastrado")</f>
        <v>14739</v>
      </c>
      <c r="I166" s="608"/>
      <c r="J166" s="505" t="s">
        <v>88</v>
      </c>
      <c r="K166" s="505" t="s">
        <v>88</v>
      </c>
      <c r="L166" s="515" t="s">
        <v>3659</v>
      </c>
      <c r="M166" s="592">
        <v>44508.0</v>
      </c>
      <c r="N166" s="592">
        <v>44508.0</v>
      </c>
      <c r="O166" s="555"/>
      <c r="P166" s="555" t="s">
        <v>3664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89</v>
      </c>
      <c r="V166" s="555" t="s">
        <v>4154</v>
      </c>
      <c r="W166" s="515" t="s">
        <v>121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3642</v>
      </c>
      <c r="B167" s="79" t="s">
        <v>867</v>
      </c>
      <c r="C167" s="637" t="s">
        <v>863</v>
      </c>
      <c r="D167" s="555">
        <v>7032839.0</v>
      </c>
      <c r="E167" s="505" t="s">
        <v>18</v>
      </c>
      <c r="F167" s="505" t="s">
        <v>29</v>
      </c>
      <c r="G167" s="555" t="s">
        <v>865</v>
      </c>
      <c r="H167" s="608" t="str">
        <f>IFERROR(VLOOKUP(G167,'Cadastro de assessores'!A:B,2,FALSE),"Não Cadastrado")</f>
        <v>14739</v>
      </c>
      <c r="I167" s="608"/>
      <c r="J167" s="505" t="s">
        <v>88</v>
      </c>
      <c r="K167" s="505" t="s">
        <v>88</v>
      </c>
      <c r="L167" s="515" t="s">
        <v>3659</v>
      </c>
      <c r="M167" s="592">
        <v>44508.0</v>
      </c>
      <c r="N167" s="592">
        <v>44509.0</v>
      </c>
      <c r="O167" s="555"/>
      <c r="P167" s="555" t="s">
        <v>3657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89</v>
      </c>
      <c r="V167" s="555" t="s">
        <v>4154</v>
      </c>
      <c r="W167" s="515" t="s">
        <v>121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3642</v>
      </c>
      <c r="B168" s="79" t="s">
        <v>4155</v>
      </c>
      <c r="C168" s="597" t="s">
        <v>4156</v>
      </c>
      <c r="D168" s="515">
        <v>4947409.0</v>
      </c>
      <c r="E168" s="505" t="s">
        <v>18</v>
      </c>
      <c r="F168" s="591" t="s">
        <v>29</v>
      </c>
      <c r="G168" s="505" t="s">
        <v>4157</v>
      </c>
      <c r="H168" s="591" t="str">
        <f>IFERROR(VLOOKUP(G168,'Cadastro de assessores'!A:B,2,FALSE),"Não Cadastrado")</f>
        <v>13896</v>
      </c>
      <c r="I168" s="591"/>
      <c r="J168" s="505" t="s">
        <v>88</v>
      </c>
      <c r="K168" s="505" t="s">
        <v>88</v>
      </c>
      <c r="L168" s="515" t="s">
        <v>3659</v>
      </c>
      <c r="M168" s="592">
        <v>44272.0</v>
      </c>
      <c r="N168" s="592">
        <v>44260.0</v>
      </c>
      <c r="O168" s="515"/>
      <c r="P168" s="515" t="s">
        <v>3664</v>
      </c>
      <c r="Q168" s="594">
        <v>0.025</v>
      </c>
      <c r="R168" s="601"/>
      <c r="S168" s="595"/>
      <c r="T168" s="515" t="str">
        <f t="shared" si="15"/>
        <v/>
      </c>
      <c r="U168" s="515" t="s">
        <v>89</v>
      </c>
      <c r="V168" s="515" t="s">
        <v>2449</v>
      </c>
      <c r="W168" s="515" t="s">
        <v>121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3642</v>
      </c>
      <c r="B169" s="79" t="s">
        <v>4158</v>
      </c>
      <c r="C169" s="597" t="s">
        <v>4159</v>
      </c>
      <c r="D169" s="515">
        <v>4622255.0</v>
      </c>
      <c r="E169" s="505" t="s">
        <v>86</v>
      </c>
      <c r="F169" s="505" t="s">
        <v>29</v>
      </c>
      <c r="G169" s="505" t="s">
        <v>3948</v>
      </c>
      <c r="H169" s="505" t="str">
        <f>IFERROR(VLOOKUP(G169,'Cadastro de assessores'!A:B,2,FALSE),"Não Cadastrado")</f>
        <v>19157</v>
      </c>
      <c r="I169" s="505"/>
      <c r="J169" s="614" t="s">
        <v>2429</v>
      </c>
      <c r="K169" s="515" t="s">
        <v>116</v>
      </c>
      <c r="L169" s="515" t="s">
        <v>3659</v>
      </c>
      <c r="M169" s="515" t="s">
        <v>2430</v>
      </c>
      <c r="N169" s="614" t="s">
        <v>2429</v>
      </c>
      <c r="O169" s="515"/>
      <c r="P169" s="515" t="s">
        <v>3651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89</v>
      </c>
      <c r="V169" s="515" t="s">
        <v>2395</v>
      </c>
      <c r="W169" s="515" t="s">
        <v>29</v>
      </c>
      <c r="X169" s="596" t="s">
        <v>3653</v>
      </c>
      <c r="Y169" s="596" t="s">
        <v>3653</v>
      </c>
      <c r="Z169" s="596" t="s">
        <v>3653</v>
      </c>
      <c r="AA169" s="596" t="s">
        <v>3653</v>
      </c>
      <c r="AB169" s="596" t="s">
        <v>3653</v>
      </c>
      <c r="AC169" s="596" t="s">
        <v>3653</v>
      </c>
      <c r="AD169" s="596" t="s">
        <v>3653</v>
      </c>
      <c r="AE169" s="596" t="s">
        <v>3653</v>
      </c>
      <c r="AF169" s="596" t="s">
        <v>3653</v>
      </c>
      <c r="AG169" s="596" t="s">
        <v>3653</v>
      </c>
      <c r="AH169" s="596" t="s">
        <v>3653</v>
      </c>
      <c r="AI169" s="596" t="s">
        <v>3653</v>
      </c>
      <c r="AJ169" s="596" t="s">
        <v>3653</v>
      </c>
      <c r="AK169" s="596" t="s">
        <v>3653</v>
      </c>
      <c r="AL169" s="443" t="s">
        <v>2430</v>
      </c>
      <c r="AM169" s="443"/>
      <c r="AN169" s="443" t="s">
        <v>2430</v>
      </c>
      <c r="AO169" s="443" t="s">
        <v>2430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2396</v>
      </c>
      <c r="BF169" s="443" t="s">
        <v>2396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3642</v>
      </c>
      <c r="B170" s="79" t="s">
        <v>4160</v>
      </c>
      <c r="C170" s="564" t="s">
        <v>4161</v>
      </c>
      <c r="D170" s="555">
        <v>394871.0</v>
      </c>
      <c r="E170" s="505" t="s">
        <v>18</v>
      </c>
      <c r="F170" s="591" t="s">
        <v>29</v>
      </c>
      <c r="G170" s="505" t="s">
        <v>137</v>
      </c>
      <c r="H170" s="505">
        <v>12344.0</v>
      </c>
      <c r="I170" s="505"/>
      <c r="J170" s="505" t="s">
        <v>88</v>
      </c>
      <c r="K170" s="505" t="s">
        <v>88</v>
      </c>
      <c r="L170" s="515" t="s">
        <v>3659</v>
      </c>
      <c r="M170" s="592">
        <v>44757.0</v>
      </c>
      <c r="N170" s="592">
        <v>44757.0</v>
      </c>
      <c r="O170" s="515"/>
      <c r="P170" s="515" t="s">
        <v>3660</v>
      </c>
      <c r="Q170" s="594">
        <v>0.012</v>
      </c>
      <c r="R170" s="601" t="s">
        <v>4162</v>
      </c>
      <c r="S170" s="595"/>
      <c r="T170" s="515"/>
      <c r="U170" s="515" t="s">
        <v>89</v>
      </c>
      <c r="V170" s="515" t="s">
        <v>2421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3642</v>
      </c>
      <c r="B171" s="79" t="s">
        <v>4163</v>
      </c>
      <c r="C171" s="597" t="s">
        <v>4164</v>
      </c>
      <c r="D171" s="515">
        <v>4862815.0</v>
      </c>
      <c r="E171" s="515" t="s">
        <v>18</v>
      </c>
      <c r="F171" s="504" t="s">
        <v>19</v>
      </c>
      <c r="G171" s="515" t="s">
        <v>230</v>
      </c>
      <c r="H171" s="515" t="str">
        <f>IFERROR(VLOOKUP(G171,'Cadastro de assessores'!A:B,2,FALSE),"Não Cadastrado")</f>
        <v>18009</v>
      </c>
      <c r="I171" s="515"/>
      <c r="J171" s="598" t="s">
        <v>2393</v>
      </c>
      <c r="K171" s="515" t="s">
        <v>2393</v>
      </c>
      <c r="L171" s="515" t="s">
        <v>3646</v>
      </c>
      <c r="M171" s="600">
        <v>44251.0</v>
      </c>
      <c r="N171" s="600">
        <v>44251.0</v>
      </c>
      <c r="O171" s="600">
        <v>44777.0</v>
      </c>
      <c r="P171" s="515" t="s">
        <v>3664</v>
      </c>
      <c r="Q171" s="594">
        <v>0.025</v>
      </c>
      <c r="R171" s="601" t="s">
        <v>4165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89</v>
      </c>
      <c r="V171" s="515" t="s">
        <v>2449</v>
      </c>
      <c r="W171" s="515" t="s">
        <v>121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3642</v>
      </c>
      <c r="B172" s="79" t="s">
        <v>4166</v>
      </c>
      <c r="C172" s="564" t="s">
        <v>4167</v>
      </c>
      <c r="D172" s="555">
        <v>5171052.0</v>
      </c>
      <c r="E172" s="505" t="s">
        <v>18</v>
      </c>
      <c r="F172" s="591" t="s">
        <v>19</v>
      </c>
      <c r="G172" s="505" t="s">
        <v>230</v>
      </c>
      <c r="H172" s="591" t="str">
        <f>IFERROR(VLOOKUP(G172,'Cadastro de assessores'!A:B,2,FALSE),"Não Cadastrado")</f>
        <v>18009</v>
      </c>
      <c r="I172" s="591"/>
      <c r="J172" s="505" t="s">
        <v>88</v>
      </c>
      <c r="K172" s="505" t="s">
        <v>88</v>
      </c>
      <c r="L172" s="555" t="s">
        <v>3659</v>
      </c>
      <c r="M172" s="592">
        <v>44299.0</v>
      </c>
      <c r="N172" s="592">
        <v>44314.0</v>
      </c>
      <c r="O172" s="515"/>
      <c r="P172" s="515" t="s">
        <v>3664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89</v>
      </c>
      <c r="V172" s="515" t="s">
        <v>4168</v>
      </c>
      <c r="W172" s="515" t="s">
        <v>121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3642</v>
      </c>
      <c r="B173" s="79" t="s">
        <v>4169</v>
      </c>
      <c r="C173" s="597" t="s">
        <v>4170</v>
      </c>
      <c r="D173" s="515">
        <v>2218857.0</v>
      </c>
      <c r="E173" s="515" t="s">
        <v>86</v>
      </c>
      <c r="F173" s="515" t="s">
        <v>29</v>
      </c>
      <c r="G173" s="515" t="s">
        <v>3486</v>
      </c>
      <c r="H173" s="515" t="str">
        <f>IFERROR(VLOOKUP(G173,'Cadastro de assessores'!A:B,2,FALSE),"Não Cadastrado")</f>
        <v>14574</v>
      </c>
      <c r="I173" s="515"/>
      <c r="J173" s="598" t="s">
        <v>2393</v>
      </c>
      <c r="K173" s="515" t="s">
        <v>2393</v>
      </c>
      <c r="L173" s="515" t="s">
        <v>3646</v>
      </c>
      <c r="M173" s="599">
        <v>44126.0</v>
      </c>
      <c r="N173" s="599">
        <v>44126.0</v>
      </c>
      <c r="O173" s="600">
        <v>44281.0</v>
      </c>
      <c r="P173" s="515" t="s">
        <v>3651</v>
      </c>
      <c r="Q173" s="594">
        <v>0.015</v>
      </c>
      <c r="R173" s="601" t="s">
        <v>4171</v>
      </c>
      <c r="S173" s="595"/>
      <c r="T173" s="515" t="str">
        <f t="shared" si="16"/>
        <v>Qualificado</v>
      </c>
      <c r="U173" s="515" t="s">
        <v>89</v>
      </c>
      <c r="V173" s="515" t="s">
        <v>2410</v>
      </c>
      <c r="W173" s="515" t="s">
        <v>29</v>
      </c>
      <c r="X173" s="596" t="s">
        <v>3653</v>
      </c>
      <c r="Y173" s="596" t="s">
        <v>3653</v>
      </c>
      <c r="Z173" s="596" t="s">
        <v>3653</v>
      </c>
      <c r="AA173" s="596" t="s">
        <v>3653</v>
      </c>
      <c r="AB173" s="596" t="s">
        <v>3653</v>
      </c>
      <c r="AC173" s="596" t="s">
        <v>3653</v>
      </c>
      <c r="AD173" s="596" t="s">
        <v>3653</v>
      </c>
      <c r="AE173" s="596" t="s">
        <v>3653</v>
      </c>
      <c r="AF173" s="596" t="s">
        <v>3653</v>
      </c>
      <c r="AG173" s="596" t="s">
        <v>3653</v>
      </c>
      <c r="AH173" s="596" t="s">
        <v>3653</v>
      </c>
      <c r="AI173" s="596" t="s">
        <v>3653</v>
      </c>
      <c r="AJ173" s="596" t="s">
        <v>4172</v>
      </c>
      <c r="AK173" s="596" t="s">
        <v>4173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2396</v>
      </c>
      <c r="BF173" s="443" t="s">
        <v>2396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3642</v>
      </c>
      <c r="B174" s="79" t="s">
        <v>906</v>
      </c>
      <c r="C174" s="564" t="s">
        <v>903</v>
      </c>
      <c r="D174" s="555">
        <v>2257037.0</v>
      </c>
      <c r="E174" s="505" t="s">
        <v>86</v>
      </c>
      <c r="F174" s="591" t="s">
        <v>29</v>
      </c>
      <c r="G174" s="505" t="s">
        <v>4110</v>
      </c>
      <c r="H174" s="505">
        <f>IFERROR(VLOOKUP(G174,'Cadastro de assessores'!A:B,2,FALSE),"Não Cadastrado")</f>
        <v>12330</v>
      </c>
      <c r="I174" s="505"/>
      <c r="J174" s="505" t="s">
        <v>88</v>
      </c>
      <c r="K174" s="505" t="s">
        <v>88</v>
      </c>
      <c r="L174" s="555" t="s">
        <v>3659</v>
      </c>
      <c r="M174" s="605">
        <v>44684.0</v>
      </c>
      <c r="N174" s="605">
        <v>44706.0</v>
      </c>
      <c r="O174" s="515"/>
      <c r="P174" s="515" t="s">
        <v>4174</v>
      </c>
      <c r="Q174" s="594">
        <v>0.002</v>
      </c>
      <c r="R174" s="210" t="s">
        <v>4162</v>
      </c>
      <c r="S174" s="595"/>
      <c r="T174" s="515"/>
      <c r="U174" s="515" t="s">
        <v>89</v>
      </c>
      <c r="V174" s="515" t="s">
        <v>2395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3642</v>
      </c>
      <c r="B175" s="79" t="s">
        <v>906</v>
      </c>
      <c r="C175" s="564" t="s">
        <v>903</v>
      </c>
      <c r="D175" s="555">
        <v>8588911.0</v>
      </c>
      <c r="E175" s="505" t="s">
        <v>86</v>
      </c>
      <c r="F175" s="505" t="s">
        <v>29</v>
      </c>
      <c r="G175" s="505" t="s">
        <v>4110</v>
      </c>
      <c r="H175" s="505">
        <f>IFERROR(VLOOKUP(G175,'Cadastro de assessores'!A:B,2,FALSE),"Não Cadastrado")</f>
        <v>12330</v>
      </c>
      <c r="I175" s="505"/>
      <c r="J175" s="505" t="s">
        <v>88</v>
      </c>
      <c r="K175" s="505" t="s">
        <v>88</v>
      </c>
      <c r="L175" s="515" t="s">
        <v>3659</v>
      </c>
      <c r="M175" s="605">
        <v>44704.0</v>
      </c>
      <c r="N175" s="605">
        <v>44706.0</v>
      </c>
      <c r="O175" s="515"/>
      <c r="P175" s="515" t="s">
        <v>3660</v>
      </c>
      <c r="Q175" s="594">
        <v>0.01</v>
      </c>
      <c r="R175" s="601" t="s">
        <v>4175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89</v>
      </c>
      <c r="V175" s="515" t="s">
        <v>2395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3642</v>
      </c>
      <c r="B176" s="79" t="s">
        <v>910</v>
      </c>
      <c r="C176" s="626" t="s">
        <v>4176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88</v>
      </c>
      <c r="K176" s="505" t="s">
        <v>88</v>
      </c>
      <c r="L176" s="515" t="s">
        <v>3659</v>
      </c>
      <c r="M176" s="605">
        <v>44607.0</v>
      </c>
      <c r="N176" s="605">
        <v>44606.0</v>
      </c>
      <c r="O176" s="515"/>
      <c r="P176" s="515" t="s">
        <v>3660</v>
      </c>
      <c r="Q176" s="594">
        <v>0.012</v>
      </c>
      <c r="R176" s="601" t="s">
        <v>3925</v>
      </c>
      <c r="S176" s="595"/>
      <c r="T176" s="515" t="str">
        <f t="shared" si="17"/>
        <v>Não Qualificado</v>
      </c>
      <c r="U176" s="515" t="s">
        <v>329</v>
      </c>
      <c r="V176" s="515" t="s">
        <v>2482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3642</v>
      </c>
      <c r="B177" s="79" t="s">
        <v>4177</v>
      </c>
      <c r="C177" s="597" t="s">
        <v>4178</v>
      </c>
      <c r="D177" s="515">
        <v>4418403.0</v>
      </c>
      <c r="E177" s="515" t="s">
        <v>86</v>
      </c>
      <c r="F177" s="515" t="s">
        <v>29</v>
      </c>
      <c r="G177" s="515" t="s">
        <v>3486</v>
      </c>
      <c r="H177" s="515" t="str">
        <f>IFERROR(VLOOKUP(G177,'Cadastro de assessores'!A:B,2,FALSE),"Não Cadastrado")</f>
        <v>14574</v>
      </c>
      <c r="I177" s="515"/>
      <c r="J177" s="598" t="s">
        <v>2393</v>
      </c>
      <c r="K177" s="515" t="s">
        <v>2393</v>
      </c>
      <c r="L177" s="515" t="s">
        <v>3646</v>
      </c>
      <c r="M177" s="600">
        <v>44075.0</v>
      </c>
      <c r="N177" s="600">
        <v>44075.0</v>
      </c>
      <c r="O177" s="600">
        <v>44650.0</v>
      </c>
      <c r="P177" s="515" t="s">
        <v>3651</v>
      </c>
      <c r="Q177" s="594">
        <v>0.015</v>
      </c>
      <c r="R177" s="601" t="s">
        <v>4179</v>
      </c>
      <c r="S177" s="595"/>
      <c r="T177" s="515" t="str">
        <f t="shared" si="17"/>
        <v/>
      </c>
      <c r="U177" s="515" t="s">
        <v>89</v>
      </c>
      <c r="V177" s="515" t="s">
        <v>2453</v>
      </c>
      <c r="W177" s="515" t="s">
        <v>29</v>
      </c>
      <c r="X177" s="596" t="s">
        <v>3653</v>
      </c>
      <c r="Y177" s="596" t="s">
        <v>3653</v>
      </c>
      <c r="Z177" s="596" t="s">
        <v>3653</v>
      </c>
      <c r="AA177" s="596" t="s">
        <v>3653</v>
      </c>
      <c r="AB177" s="596" t="s">
        <v>3653</v>
      </c>
      <c r="AC177" s="596" t="s">
        <v>3653</v>
      </c>
      <c r="AD177" s="596" t="s">
        <v>3653</v>
      </c>
      <c r="AE177" s="596" t="s">
        <v>3653</v>
      </c>
      <c r="AF177" s="596" t="s">
        <v>3653</v>
      </c>
      <c r="AG177" s="596" t="s">
        <v>3653</v>
      </c>
      <c r="AH177" s="596" t="s">
        <v>3653</v>
      </c>
      <c r="AI177" s="596" t="s">
        <v>4180</v>
      </c>
      <c r="AJ177" s="596" t="s">
        <v>4181</v>
      </c>
      <c r="AK177" s="596" t="s">
        <v>4182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2396</v>
      </c>
      <c r="BF177" s="443" t="s">
        <v>2396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3642</v>
      </c>
      <c r="B178" s="79" t="s">
        <v>4183</v>
      </c>
      <c r="C178" s="564" t="s">
        <v>4184</v>
      </c>
      <c r="D178" s="617">
        <v>7970402.0</v>
      </c>
      <c r="E178" s="504" t="s">
        <v>18</v>
      </c>
      <c r="F178" s="504" t="s">
        <v>29</v>
      </c>
      <c r="G178" s="515" t="s">
        <v>4185</v>
      </c>
      <c r="H178" s="515" t="str">
        <f>IFERROR(VLOOKUP(G178,'Cadastro de assessores'!A:B,2,FALSE),"Não Cadastrado")</f>
        <v>16130</v>
      </c>
      <c r="I178" s="515"/>
      <c r="J178" s="598" t="s">
        <v>2393</v>
      </c>
      <c r="K178" s="515" t="s">
        <v>2393</v>
      </c>
      <c r="L178" s="515" t="s">
        <v>3646</v>
      </c>
      <c r="M178" s="600">
        <v>44623.0</v>
      </c>
      <c r="N178" s="600">
        <v>44623.0</v>
      </c>
      <c r="O178" s="554">
        <v>44763.0</v>
      </c>
      <c r="P178" s="555" t="s">
        <v>3657</v>
      </c>
      <c r="Q178" s="594">
        <v>0.007</v>
      </c>
      <c r="R178" s="601" t="s">
        <v>4186</v>
      </c>
      <c r="S178" s="595"/>
      <c r="T178" s="515" t="str">
        <f t="shared" si="17"/>
        <v>Não Qualificado</v>
      </c>
      <c r="U178" s="515" t="s">
        <v>89</v>
      </c>
      <c r="V178" s="515" t="s">
        <v>2444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3642</v>
      </c>
      <c r="B179" s="79" t="s">
        <v>2753</v>
      </c>
      <c r="C179" s="564" t="s">
        <v>4187</v>
      </c>
      <c r="D179" s="555">
        <v>522975.0</v>
      </c>
      <c r="E179" s="505" t="s">
        <v>18</v>
      </c>
      <c r="F179" s="591" t="s">
        <v>29</v>
      </c>
      <c r="G179" s="555" t="s">
        <v>2435</v>
      </c>
      <c r="H179" s="515" t="str">
        <f>IFERROR(VLOOKUP(G179,'Cadastro de assessores'!A:B,2,FALSE),"Não Cadastrado")</f>
        <v>18836</v>
      </c>
      <c r="I179" s="505"/>
      <c r="J179" s="505" t="s">
        <v>3001</v>
      </c>
      <c r="K179" s="505"/>
      <c r="L179" s="515"/>
      <c r="M179" s="605"/>
      <c r="N179" s="605"/>
      <c r="O179" s="555"/>
      <c r="P179" s="555" t="s">
        <v>3657</v>
      </c>
      <c r="Q179" s="594">
        <v>0.01</v>
      </c>
      <c r="R179" s="601"/>
      <c r="S179" s="595"/>
      <c r="T179" s="515"/>
      <c r="U179" s="515"/>
      <c r="V179" s="515"/>
      <c r="W179" s="515" t="s">
        <v>715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3642</v>
      </c>
      <c r="B180" s="79" t="s">
        <v>4188</v>
      </c>
      <c r="C180" s="564" t="s">
        <v>4189</v>
      </c>
      <c r="D180" s="555">
        <v>3581528.0</v>
      </c>
      <c r="E180" s="505" t="s">
        <v>86</v>
      </c>
      <c r="F180" s="591" t="s">
        <v>29</v>
      </c>
      <c r="G180" s="555" t="s">
        <v>4028</v>
      </c>
      <c r="H180" s="505">
        <f>IFERROR(VLOOKUP(G180,'Cadastro de assessores'!A:B,2,FALSE),"Não Cadastrado")</f>
        <v>12347</v>
      </c>
      <c r="I180" s="505"/>
      <c r="J180" s="505" t="s">
        <v>88</v>
      </c>
      <c r="K180" s="505" t="s">
        <v>88</v>
      </c>
      <c r="L180" s="515" t="s">
        <v>3659</v>
      </c>
      <c r="M180" s="605">
        <v>44693.0</v>
      </c>
      <c r="N180" s="605">
        <v>44693.0</v>
      </c>
      <c r="O180" s="555"/>
      <c r="P180" s="555" t="s">
        <v>3660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89</v>
      </c>
      <c r="V180" s="515" t="s">
        <v>2453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3642</v>
      </c>
      <c r="B181" s="79" t="s">
        <v>2761</v>
      </c>
      <c r="C181" s="564" t="s">
        <v>2758</v>
      </c>
      <c r="D181" s="555">
        <v>4001766.0</v>
      </c>
      <c r="E181" s="505" t="s">
        <v>18</v>
      </c>
      <c r="F181" s="591" t="s">
        <v>29</v>
      </c>
      <c r="G181" s="555" t="s">
        <v>2760</v>
      </c>
      <c r="H181" s="505" t="str">
        <f>IFERROR(VLOOKUP(G181,'Cadastro de assessores'!A:B,2,FALSE),"Não Cadastrado")</f>
        <v>13444</v>
      </c>
      <c r="I181" s="505"/>
      <c r="J181" s="505" t="s">
        <v>88</v>
      </c>
      <c r="K181" s="505" t="s">
        <v>88</v>
      </c>
      <c r="L181" s="515" t="s">
        <v>3659</v>
      </c>
      <c r="M181" s="605">
        <v>44747.0</v>
      </c>
      <c r="N181" s="605">
        <v>44747.0</v>
      </c>
      <c r="O181" s="555"/>
      <c r="P181" s="555" t="s">
        <v>3660</v>
      </c>
      <c r="Q181" s="594">
        <v>0.012</v>
      </c>
      <c r="R181" s="210" t="s">
        <v>4190</v>
      </c>
      <c r="S181" s="595"/>
      <c r="T181" s="515"/>
      <c r="U181" s="515" t="s">
        <v>89</v>
      </c>
      <c r="V181" s="515" t="s">
        <v>4191</v>
      </c>
      <c r="W181" s="515" t="s">
        <v>121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2396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3642</v>
      </c>
      <c r="B182" s="79" t="s">
        <v>4192</v>
      </c>
      <c r="C182" s="564" t="s">
        <v>4193</v>
      </c>
      <c r="D182" s="555">
        <v>2651260.0</v>
      </c>
      <c r="E182" s="515" t="s">
        <v>18</v>
      </c>
      <c r="F182" s="515" t="s">
        <v>29</v>
      </c>
      <c r="G182" s="515" t="s">
        <v>3533</v>
      </c>
      <c r="H182" s="515" t="str">
        <f>IFERROR(VLOOKUP(G182,'Cadastro de assessores'!A:B,2,FALSE),"Não Cadastrado")</f>
        <v>18266</v>
      </c>
      <c r="I182" s="515"/>
      <c r="J182" s="598" t="s">
        <v>2393</v>
      </c>
      <c r="K182" s="515" t="s">
        <v>2393</v>
      </c>
      <c r="L182" s="515" t="s">
        <v>3646</v>
      </c>
      <c r="M182" s="515" t="s">
        <v>2430</v>
      </c>
      <c r="N182" s="515" t="s">
        <v>2430</v>
      </c>
      <c r="O182" s="600">
        <v>44459.0</v>
      </c>
      <c r="P182" s="515" t="s">
        <v>3664</v>
      </c>
      <c r="Q182" s="594">
        <v>0.025</v>
      </c>
      <c r="R182" s="601" t="s">
        <v>4194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89</v>
      </c>
      <c r="V182" s="555" t="s">
        <v>2494</v>
      </c>
      <c r="W182" s="555" t="s">
        <v>715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2396</v>
      </c>
      <c r="BF182" s="443" t="s">
        <v>2396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3642</v>
      </c>
      <c r="B183" s="79" t="s">
        <v>2644</v>
      </c>
      <c r="C183" s="564" t="s">
        <v>4195</v>
      </c>
      <c r="D183" s="555">
        <v>3716665.0</v>
      </c>
      <c r="E183" s="505" t="s">
        <v>86</v>
      </c>
      <c r="F183" s="505" t="s">
        <v>29</v>
      </c>
      <c r="G183" s="555" t="s">
        <v>3823</v>
      </c>
      <c r="H183" s="505" t="str">
        <f>IFERROR(VLOOKUP(G183,'Cadastro de assessores'!A:B,2,FALSE),"Não Cadastrado")</f>
        <v>17896</v>
      </c>
      <c r="I183" s="505"/>
      <c r="J183" s="614" t="s">
        <v>4196</v>
      </c>
      <c r="K183" s="515" t="s">
        <v>2430</v>
      </c>
      <c r="L183" s="515" t="s">
        <v>3001</v>
      </c>
      <c r="M183" s="515" t="s">
        <v>2430</v>
      </c>
      <c r="N183" s="614" t="s">
        <v>4196</v>
      </c>
      <c r="O183" s="555"/>
      <c r="P183" s="555" t="s">
        <v>3660</v>
      </c>
      <c r="Q183" s="594">
        <v>0.012</v>
      </c>
      <c r="R183" s="601"/>
      <c r="S183" s="595"/>
      <c r="T183" s="515"/>
      <c r="U183" s="515" t="s">
        <v>329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2396</v>
      </c>
      <c r="BF183" s="443" t="s">
        <v>2396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3642</v>
      </c>
      <c r="B184" s="79" t="s">
        <v>937</v>
      </c>
      <c r="C184" s="564" t="s">
        <v>4197</v>
      </c>
      <c r="D184" s="555">
        <v>8461167.0</v>
      </c>
      <c r="E184" s="505" t="s">
        <v>18</v>
      </c>
      <c r="F184" s="505" t="s">
        <v>19</v>
      </c>
      <c r="G184" s="555" t="s">
        <v>3829</v>
      </c>
      <c r="H184" s="505">
        <f>IFERROR(VLOOKUP(G184,'Cadastro de assessores'!A:B,2,FALSE),"Não Cadastrado")</f>
        <v>12351</v>
      </c>
      <c r="I184" s="505"/>
      <c r="J184" s="505" t="s">
        <v>88</v>
      </c>
      <c r="K184" s="505" t="s">
        <v>88</v>
      </c>
      <c r="L184" s="515" t="s">
        <v>3659</v>
      </c>
      <c r="M184" s="593">
        <v>44690.0</v>
      </c>
      <c r="N184" s="593">
        <v>44694.0</v>
      </c>
      <c r="O184" s="555"/>
      <c r="P184" s="555" t="s">
        <v>3660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89</v>
      </c>
      <c r="V184" s="515" t="s">
        <v>2482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3642</v>
      </c>
      <c r="B185" s="79" t="s">
        <v>4198</v>
      </c>
      <c r="C185" s="597" t="s">
        <v>4199</v>
      </c>
      <c r="D185" s="515">
        <v>4696470.0</v>
      </c>
      <c r="E185" s="505" t="s">
        <v>86</v>
      </c>
      <c r="F185" s="505" t="s">
        <v>29</v>
      </c>
      <c r="G185" s="505" t="s">
        <v>3913</v>
      </c>
      <c r="H185" s="505" t="str">
        <f>IFERROR(VLOOKUP(G185,'Cadastro de assessores'!A:B,2,FALSE),"Não Cadastrado")</f>
        <v>17243</v>
      </c>
      <c r="I185" s="505"/>
      <c r="J185" s="505" t="s">
        <v>3645</v>
      </c>
      <c r="K185" s="515" t="s">
        <v>116</v>
      </c>
      <c r="L185" s="515" t="s">
        <v>3646</v>
      </c>
      <c r="M185" s="593">
        <v>44193.0</v>
      </c>
      <c r="N185" s="593">
        <v>44195.0</v>
      </c>
      <c r="O185" s="515"/>
      <c r="P185" s="515" t="s">
        <v>3660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89</v>
      </c>
      <c r="V185" s="515" t="s">
        <v>2453</v>
      </c>
      <c r="W185" s="515" t="s">
        <v>29</v>
      </c>
      <c r="X185" s="596" t="s">
        <v>3653</v>
      </c>
      <c r="Y185" s="596" t="s">
        <v>3653</v>
      </c>
      <c r="Z185" s="596" t="s">
        <v>3653</v>
      </c>
      <c r="AA185" s="596" t="s">
        <v>3653</v>
      </c>
      <c r="AB185" s="596" t="s">
        <v>3653</v>
      </c>
      <c r="AC185" s="596" t="s">
        <v>3653</v>
      </c>
      <c r="AD185" s="596" t="s">
        <v>3653</v>
      </c>
      <c r="AE185" s="596" t="s">
        <v>3653</v>
      </c>
      <c r="AF185" s="596" t="s">
        <v>3653</v>
      </c>
      <c r="AG185" s="596" t="s">
        <v>3653</v>
      </c>
      <c r="AH185" s="596" t="s">
        <v>3653</v>
      </c>
      <c r="AI185" s="596" t="s">
        <v>3653</v>
      </c>
      <c r="AJ185" s="596" t="s">
        <v>3653</v>
      </c>
      <c r="AK185" s="596" t="s">
        <v>3653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3642</v>
      </c>
      <c r="B186" s="79" t="s">
        <v>4200</v>
      </c>
      <c r="C186" s="564" t="s">
        <v>4201</v>
      </c>
      <c r="D186" s="555">
        <v>4929433.0</v>
      </c>
      <c r="E186" s="505" t="s">
        <v>18</v>
      </c>
      <c r="F186" s="505" t="s">
        <v>29</v>
      </c>
      <c r="G186" s="505" t="s">
        <v>4202</v>
      </c>
      <c r="H186" s="505" t="str">
        <f>IFERROR(VLOOKUP(G186,'Cadastro de assessores'!A:B,2,FALSE),"Não Cadastrado")</f>
        <v>1633</v>
      </c>
      <c r="I186" s="505"/>
      <c r="J186" s="614" t="s">
        <v>2429</v>
      </c>
      <c r="K186" s="515" t="s">
        <v>2430</v>
      </c>
      <c r="L186" s="515" t="s">
        <v>3659</v>
      </c>
      <c r="M186" s="515" t="s">
        <v>2430</v>
      </c>
      <c r="N186" s="614" t="s">
        <v>2429</v>
      </c>
      <c r="O186" s="555"/>
      <c r="P186" s="555" t="s">
        <v>3693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89</v>
      </c>
      <c r="V186" s="515" t="s">
        <v>2453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2396</v>
      </c>
      <c r="BF186" s="443" t="s">
        <v>2396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3642</v>
      </c>
      <c r="B187" s="79" t="s">
        <v>4203</v>
      </c>
      <c r="C187" s="564" t="s">
        <v>4204</v>
      </c>
      <c r="D187" s="555">
        <v>38592.0</v>
      </c>
      <c r="E187" s="515" t="s">
        <v>86</v>
      </c>
      <c r="F187" s="515" t="s">
        <v>29</v>
      </c>
      <c r="G187" s="515" t="s">
        <v>4205</v>
      </c>
      <c r="H187" s="515" t="str">
        <f>IFERROR(VLOOKUP(G187,'Cadastro de assessores'!A:B,2,FALSE),"Não Cadastrado")</f>
        <v>11113</v>
      </c>
      <c r="I187" s="515"/>
      <c r="J187" s="598" t="s">
        <v>2393</v>
      </c>
      <c r="K187" s="515" t="s">
        <v>2393</v>
      </c>
      <c r="L187" s="515" t="s">
        <v>3646</v>
      </c>
      <c r="M187" s="600">
        <v>44407.0</v>
      </c>
      <c r="N187" s="600">
        <v>44407.0</v>
      </c>
      <c r="O187" s="635">
        <v>44516.0</v>
      </c>
      <c r="P187" s="555" t="s">
        <v>3651</v>
      </c>
      <c r="Q187" s="594">
        <v>0.015</v>
      </c>
      <c r="R187" s="210" t="s">
        <v>4206</v>
      </c>
      <c r="S187" s="595"/>
      <c r="T187" s="515" t="str">
        <f t="shared" si="18"/>
        <v>Não Qualificado</v>
      </c>
      <c r="U187" s="515" t="s">
        <v>89</v>
      </c>
      <c r="V187" s="555" t="s">
        <v>2771</v>
      </c>
      <c r="W187" s="555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2396</v>
      </c>
      <c r="BF187" s="443" t="s">
        <v>2396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3642</v>
      </c>
      <c r="B188" s="79" t="s">
        <v>953</v>
      </c>
      <c r="C188" s="597" t="s">
        <v>951</v>
      </c>
      <c r="D188" s="515">
        <v>4568576.0</v>
      </c>
      <c r="E188" s="505" t="s">
        <v>86</v>
      </c>
      <c r="F188" s="505" t="s">
        <v>29</v>
      </c>
      <c r="G188" s="505" t="s">
        <v>3948</v>
      </c>
      <c r="H188" s="505" t="str">
        <f>IFERROR(VLOOKUP(G188,'Cadastro de assessores'!A:B,2,FALSE),"Não Cadastrado")</f>
        <v>19157</v>
      </c>
      <c r="I188" s="505"/>
      <c r="J188" s="505" t="s">
        <v>3645</v>
      </c>
      <c r="K188" s="515" t="s">
        <v>88</v>
      </c>
      <c r="L188" s="515" t="s">
        <v>3646</v>
      </c>
      <c r="M188" s="593">
        <v>44138.0</v>
      </c>
      <c r="N188" s="593">
        <v>44145.0</v>
      </c>
      <c r="O188" s="555"/>
      <c r="P188" s="555" t="s">
        <v>3647</v>
      </c>
      <c r="Q188" s="594">
        <v>0.02</v>
      </c>
      <c r="R188" s="601" t="s">
        <v>4207</v>
      </c>
      <c r="S188" s="595"/>
      <c r="T188" s="515" t="str">
        <f t="shared" si="18"/>
        <v/>
      </c>
      <c r="U188" s="515" t="s">
        <v>89</v>
      </c>
      <c r="V188" s="515" t="s">
        <v>3938</v>
      </c>
      <c r="W188" s="515" t="s">
        <v>121</v>
      </c>
      <c r="X188" s="596" t="s">
        <v>3653</v>
      </c>
      <c r="Y188" s="596" t="s">
        <v>3653</v>
      </c>
      <c r="Z188" s="596" t="s">
        <v>3653</v>
      </c>
      <c r="AA188" s="596" t="s">
        <v>3653</v>
      </c>
      <c r="AB188" s="596" t="s">
        <v>3653</v>
      </c>
      <c r="AC188" s="596" t="s">
        <v>3653</v>
      </c>
      <c r="AD188" s="596" t="s">
        <v>3653</v>
      </c>
      <c r="AE188" s="596" t="s">
        <v>3653</v>
      </c>
      <c r="AF188" s="596" t="s">
        <v>3653</v>
      </c>
      <c r="AG188" s="596" t="s">
        <v>3653</v>
      </c>
      <c r="AH188" s="596" t="s">
        <v>3653</v>
      </c>
      <c r="AI188" s="596" t="s">
        <v>3653</v>
      </c>
      <c r="AJ188" s="596" t="s">
        <v>3653</v>
      </c>
      <c r="AK188" s="596" t="s">
        <v>4208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3642</v>
      </c>
      <c r="B189" s="79" t="s">
        <v>4209</v>
      </c>
      <c r="C189" s="564" t="s">
        <v>4210</v>
      </c>
      <c r="D189" s="555">
        <v>5907461.0</v>
      </c>
      <c r="E189" s="515" t="s">
        <v>18</v>
      </c>
      <c r="F189" s="515" t="s">
        <v>29</v>
      </c>
      <c r="G189" s="515" t="s">
        <v>3533</v>
      </c>
      <c r="H189" s="515" t="str">
        <f>IFERROR(VLOOKUP(G189,'Cadastro de assessores'!A:B,2,FALSE),"Não Cadastrado")</f>
        <v>18266</v>
      </c>
      <c r="I189" s="515"/>
      <c r="J189" s="598" t="s">
        <v>2393</v>
      </c>
      <c r="K189" s="515" t="s">
        <v>2393</v>
      </c>
      <c r="L189" s="515" t="s">
        <v>3646</v>
      </c>
      <c r="M189" s="600">
        <v>44405.0</v>
      </c>
      <c r="N189" s="600">
        <v>44405.0</v>
      </c>
      <c r="O189" s="554">
        <v>44677.0</v>
      </c>
      <c r="P189" s="555" t="s">
        <v>3664</v>
      </c>
      <c r="Q189" s="594">
        <v>0.025</v>
      </c>
      <c r="R189" s="210" t="s">
        <v>4211</v>
      </c>
      <c r="S189" s="595"/>
      <c r="T189" s="515" t="str">
        <f t="shared" si="18"/>
        <v>Não Qualificado</v>
      </c>
      <c r="U189" s="515" t="s">
        <v>89</v>
      </c>
      <c r="V189" s="555" t="s">
        <v>2494</v>
      </c>
      <c r="W189" s="555" t="s">
        <v>715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2396</v>
      </c>
      <c r="BF189" s="443" t="s">
        <v>2396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3642</v>
      </c>
      <c r="B190" s="79" t="s">
        <v>963</v>
      </c>
      <c r="C190" s="597" t="s">
        <v>961</v>
      </c>
      <c r="D190" s="515">
        <v>8699747.0</v>
      </c>
      <c r="E190" s="505" t="s">
        <v>18</v>
      </c>
      <c r="F190" s="505" t="s">
        <v>29</v>
      </c>
      <c r="G190" s="505" t="s">
        <v>58</v>
      </c>
      <c r="H190" s="515">
        <f>IFERROR(VLOOKUP(G190,'Cadastro de assessores'!A:B,2,FALSE),"Não Cadastrado")</f>
        <v>12359</v>
      </c>
      <c r="I190" s="515"/>
      <c r="J190" s="505" t="s">
        <v>88</v>
      </c>
      <c r="K190" s="515" t="s">
        <v>88</v>
      </c>
      <c r="L190" s="515" t="s">
        <v>3659</v>
      </c>
      <c r="M190" s="592">
        <v>44776.0</v>
      </c>
      <c r="N190" s="592">
        <v>44778.0</v>
      </c>
      <c r="O190" s="515"/>
      <c r="P190" s="515" t="s">
        <v>3657</v>
      </c>
      <c r="Q190" s="594">
        <v>0.007</v>
      </c>
      <c r="R190" s="601"/>
      <c r="S190" s="595"/>
      <c r="T190" s="515"/>
      <c r="U190" s="515"/>
      <c r="V190" s="515"/>
      <c r="W190" s="515" t="s">
        <v>715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3642</v>
      </c>
      <c r="B191" s="79" t="s">
        <v>4212</v>
      </c>
      <c r="C191" s="597" t="s">
        <v>4213</v>
      </c>
      <c r="D191" s="515">
        <v>2089993.0</v>
      </c>
      <c r="E191" s="505" t="s">
        <v>18</v>
      </c>
      <c r="F191" s="505" t="s">
        <v>29</v>
      </c>
      <c r="G191" s="505" t="s">
        <v>2435</v>
      </c>
      <c r="H191" s="515" t="str">
        <f>IFERROR(VLOOKUP(G191,'Cadastro de assessores'!A:B,2,FALSE),"Não Cadastrado")</f>
        <v>18836</v>
      </c>
      <c r="I191" s="505"/>
      <c r="J191" s="505" t="s">
        <v>3001</v>
      </c>
      <c r="K191" s="505"/>
      <c r="L191" s="515"/>
      <c r="M191" s="592"/>
      <c r="N191" s="592"/>
      <c r="O191" s="515"/>
      <c r="P191" s="515" t="s">
        <v>3657</v>
      </c>
      <c r="Q191" s="594">
        <v>0.01</v>
      </c>
      <c r="R191" s="601"/>
      <c r="S191" s="595"/>
      <c r="T191" s="515"/>
      <c r="U191" s="515"/>
      <c r="V191" s="515"/>
      <c r="W191" s="515" t="s">
        <v>715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3642</v>
      </c>
      <c r="B192" s="79" t="s">
        <v>4214</v>
      </c>
      <c r="C192" s="597" t="s">
        <v>4215</v>
      </c>
      <c r="D192" s="515">
        <v>4920156.0</v>
      </c>
      <c r="E192" s="505" t="s">
        <v>86</v>
      </c>
      <c r="F192" s="505" t="s">
        <v>29</v>
      </c>
      <c r="G192" s="505" t="s">
        <v>3711</v>
      </c>
      <c r="H192" s="505" t="str">
        <f>IFERROR(VLOOKUP(G192,'Cadastro de assessores'!A:B,2,FALSE),"Não Cadastrado")</f>
        <v>1298</v>
      </c>
      <c r="I192" s="505"/>
      <c r="J192" s="598" t="s">
        <v>2393</v>
      </c>
      <c r="K192" s="505" t="s">
        <v>88</v>
      </c>
      <c r="L192" s="515" t="s">
        <v>3659</v>
      </c>
      <c r="M192" s="592">
        <v>44258.0</v>
      </c>
      <c r="N192" s="592">
        <v>44263.0</v>
      </c>
      <c r="O192" s="600">
        <v>44987.0</v>
      </c>
      <c r="P192" s="515" t="s">
        <v>3651</v>
      </c>
      <c r="Q192" s="594">
        <v>0.015</v>
      </c>
      <c r="R192" s="601" t="s">
        <v>4216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89</v>
      </c>
      <c r="V192" s="515" t="s">
        <v>2453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3642</v>
      </c>
      <c r="B193" s="79" t="s">
        <v>4217</v>
      </c>
      <c r="C193" s="597" t="s">
        <v>4218</v>
      </c>
      <c r="D193" s="481">
        <v>508722.0</v>
      </c>
      <c r="E193" s="505" t="s">
        <v>18</v>
      </c>
      <c r="F193" s="505" t="s">
        <v>29</v>
      </c>
      <c r="G193" s="505" t="s">
        <v>3050</v>
      </c>
      <c r="H193" s="505">
        <f>IFERROR(VLOOKUP(G193,'Cadastro de assessores'!A:B,2,FALSE),"Não Cadastrado")</f>
        <v>12355</v>
      </c>
      <c r="I193" s="505"/>
      <c r="J193" s="614" t="s">
        <v>2429</v>
      </c>
      <c r="K193" s="515" t="s">
        <v>116</v>
      </c>
      <c r="L193" s="515" t="s">
        <v>3001</v>
      </c>
      <c r="M193" s="505" t="s">
        <v>2430</v>
      </c>
      <c r="N193" s="614" t="s">
        <v>2429</v>
      </c>
      <c r="O193" s="515"/>
      <c r="P193" s="515" t="s">
        <v>3657</v>
      </c>
      <c r="Q193" s="594">
        <v>0.007</v>
      </c>
      <c r="R193" s="601"/>
      <c r="S193" s="595"/>
      <c r="T193" s="515"/>
      <c r="U193" s="515" t="s">
        <v>89</v>
      </c>
      <c r="V193" s="515" t="s">
        <v>2444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2396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3642</v>
      </c>
      <c r="B194" s="79" t="s">
        <v>4219</v>
      </c>
      <c r="C194" s="597" t="s">
        <v>4220</v>
      </c>
      <c r="D194" s="515">
        <v>4858869.0</v>
      </c>
      <c r="E194" s="515" t="s">
        <v>86</v>
      </c>
      <c r="F194" s="515" t="s">
        <v>29</v>
      </c>
      <c r="G194" s="515" t="s">
        <v>3486</v>
      </c>
      <c r="H194" s="515" t="str">
        <f>IFERROR(VLOOKUP(G194,'Cadastro de assessores'!A:B,2,FALSE),"Não Cadastrado")</f>
        <v>14574</v>
      </c>
      <c r="I194" s="515"/>
      <c r="J194" s="598" t="s">
        <v>2393</v>
      </c>
      <c r="K194" s="515" t="s">
        <v>2393</v>
      </c>
      <c r="L194" s="515" t="s">
        <v>3646</v>
      </c>
      <c r="M194" s="600">
        <v>44238.0</v>
      </c>
      <c r="N194" s="600">
        <v>44238.0</v>
      </c>
      <c r="O194" s="554">
        <v>44504.0</v>
      </c>
      <c r="P194" s="555" t="s">
        <v>3647</v>
      </c>
      <c r="Q194" s="594">
        <v>0.02</v>
      </c>
      <c r="R194" s="210" t="s">
        <v>4221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329</v>
      </c>
      <c r="V194" s="515" t="s">
        <v>2505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2396</v>
      </c>
      <c r="BF194" s="443" t="s">
        <v>2396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3642</v>
      </c>
      <c r="B195" s="79" t="s">
        <v>4222</v>
      </c>
      <c r="C195" s="597" t="s">
        <v>4223</v>
      </c>
      <c r="D195" s="639">
        <v>6480547.0</v>
      </c>
      <c r="E195" s="515" t="s">
        <v>18</v>
      </c>
      <c r="F195" s="515" t="s">
        <v>19</v>
      </c>
      <c r="G195" s="515" t="s">
        <v>230</v>
      </c>
      <c r="H195" s="515" t="str">
        <f>IFERROR(VLOOKUP(G195,'Cadastro de assessores'!A:B,2,FALSE),"Não Cadastrado")</f>
        <v>18009</v>
      </c>
      <c r="I195" s="515"/>
      <c r="J195" s="598" t="s">
        <v>2393</v>
      </c>
      <c r="K195" s="515" t="s">
        <v>116</v>
      </c>
      <c r="L195" s="515" t="s">
        <v>4224</v>
      </c>
      <c r="M195" s="515" t="s">
        <v>2430</v>
      </c>
      <c r="N195" s="600">
        <v>44824.0</v>
      </c>
      <c r="O195" s="554">
        <v>44886.0</v>
      </c>
      <c r="P195" s="555" t="s">
        <v>3657</v>
      </c>
      <c r="Q195" s="594">
        <v>0.01</v>
      </c>
      <c r="R195" s="210" t="s">
        <v>4225</v>
      </c>
      <c r="S195" s="595"/>
      <c r="T195" s="515"/>
      <c r="U195" s="555"/>
      <c r="V195" s="555"/>
      <c r="W195" s="555" t="s">
        <v>2430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3642</v>
      </c>
      <c r="B196" s="79" t="s">
        <v>4222</v>
      </c>
      <c r="C196" s="597" t="s">
        <v>4223</v>
      </c>
      <c r="D196" s="639">
        <v>9206177.0</v>
      </c>
      <c r="E196" s="515" t="s">
        <v>18</v>
      </c>
      <c r="F196" s="515" t="s">
        <v>19</v>
      </c>
      <c r="G196" s="515" t="s">
        <v>230</v>
      </c>
      <c r="H196" s="515" t="str">
        <f>IFERROR(VLOOKUP(G196,'Cadastro de assessores'!A:B,2,FALSE),"Não Cadastrado")</f>
        <v>18009</v>
      </c>
      <c r="I196" s="515"/>
      <c r="J196" s="598" t="s">
        <v>2393</v>
      </c>
      <c r="K196" s="515" t="s">
        <v>88</v>
      </c>
      <c r="L196" s="515" t="s">
        <v>3646</v>
      </c>
      <c r="M196" s="515" t="s">
        <v>2430</v>
      </c>
      <c r="N196" s="600">
        <v>44839.0</v>
      </c>
      <c r="O196" s="554">
        <v>44886.0</v>
      </c>
      <c r="P196" s="555" t="s">
        <v>3664</v>
      </c>
      <c r="Q196" s="594">
        <v>0.025</v>
      </c>
      <c r="R196" s="210" t="s">
        <v>4226</v>
      </c>
      <c r="S196" s="595"/>
      <c r="T196" s="515"/>
      <c r="U196" s="555"/>
      <c r="V196" s="555"/>
      <c r="W196" s="555" t="s">
        <v>2430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3642</v>
      </c>
      <c r="B197" s="79" t="s">
        <v>4227</v>
      </c>
      <c r="C197" s="640" t="s">
        <v>4228</v>
      </c>
      <c r="D197" s="515">
        <v>3373338.0</v>
      </c>
      <c r="E197" s="515" t="s">
        <v>18</v>
      </c>
      <c r="F197" s="515" t="s">
        <v>19</v>
      </c>
      <c r="G197" s="515" t="s">
        <v>3978</v>
      </c>
      <c r="H197" s="515" t="str">
        <f>IFERROR(VLOOKUP(G197,'Cadastro de assessores'!A:B,2,FALSE),"Não Cadastrado")</f>
        <v>14294</v>
      </c>
      <c r="I197" s="515"/>
      <c r="J197" s="598" t="s">
        <v>2393</v>
      </c>
      <c r="K197" s="515" t="s">
        <v>2393</v>
      </c>
      <c r="L197" s="515" t="s">
        <v>3646</v>
      </c>
      <c r="M197" s="600">
        <v>44454.0</v>
      </c>
      <c r="N197" s="600">
        <v>44454.0</v>
      </c>
      <c r="O197" s="554">
        <v>44684.0</v>
      </c>
      <c r="P197" s="555" t="s">
        <v>3657</v>
      </c>
      <c r="Q197" s="594">
        <v>0.007</v>
      </c>
      <c r="R197" s="210" t="s">
        <v>4229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5" t="s">
        <v>329</v>
      </c>
      <c r="V197" s="555" t="s">
        <v>4230</v>
      </c>
      <c r="W197" s="555" t="s">
        <v>180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2396</v>
      </c>
      <c r="BF197" s="443" t="s">
        <v>2396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3642</v>
      </c>
      <c r="B198" s="79" t="s">
        <v>4231</v>
      </c>
      <c r="C198" s="597" t="s">
        <v>4232</v>
      </c>
      <c r="D198" s="515">
        <v>4769682.0</v>
      </c>
      <c r="E198" s="515" t="s">
        <v>86</v>
      </c>
      <c r="F198" s="515" t="s">
        <v>29</v>
      </c>
      <c r="G198" s="515" t="s">
        <v>3486</v>
      </c>
      <c r="H198" s="515" t="str">
        <f>IFERROR(VLOOKUP(G198,'Cadastro de assessores'!A:B,2,FALSE),"Não Cadastrado")</f>
        <v>14574</v>
      </c>
      <c r="I198" s="515"/>
      <c r="J198" s="598" t="s">
        <v>2393</v>
      </c>
      <c r="K198" s="515" t="s">
        <v>2393</v>
      </c>
      <c r="L198" s="515" t="s">
        <v>3646</v>
      </c>
      <c r="M198" s="600">
        <v>44238.0</v>
      </c>
      <c r="N198" s="600">
        <v>44238.0</v>
      </c>
      <c r="O198" s="554">
        <v>44477.0</v>
      </c>
      <c r="P198" s="555" t="s">
        <v>3647</v>
      </c>
      <c r="Q198" s="594">
        <v>0.02</v>
      </c>
      <c r="R198" s="210" t="s">
        <v>4233</v>
      </c>
      <c r="S198" s="595"/>
      <c r="T198" s="515" t="str">
        <f t="shared" si="19"/>
        <v>Não Qualificado</v>
      </c>
      <c r="U198" s="515" t="s">
        <v>89</v>
      </c>
      <c r="V198" s="515" t="s">
        <v>2432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2396</v>
      </c>
      <c r="BF198" s="443" t="s">
        <v>2396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3642</v>
      </c>
      <c r="B199" s="79" t="s">
        <v>4231</v>
      </c>
      <c r="C199" s="597" t="s">
        <v>4232</v>
      </c>
      <c r="D199" s="515">
        <v>4756217.0</v>
      </c>
      <c r="E199" s="515" t="s">
        <v>86</v>
      </c>
      <c r="F199" s="515" t="s">
        <v>29</v>
      </c>
      <c r="G199" s="515" t="s">
        <v>3486</v>
      </c>
      <c r="H199" s="515" t="str">
        <f>IFERROR(VLOOKUP(G199,'Cadastro de assessores'!A:B,2,FALSE),"Não Cadastrado")</f>
        <v>14574</v>
      </c>
      <c r="I199" s="515"/>
      <c r="J199" s="598" t="s">
        <v>2393</v>
      </c>
      <c r="K199" s="515" t="s">
        <v>2393</v>
      </c>
      <c r="L199" s="515" t="s">
        <v>3659</v>
      </c>
      <c r="M199" s="600">
        <v>44228.0</v>
      </c>
      <c r="N199" s="600">
        <v>44228.0</v>
      </c>
      <c r="O199" s="554">
        <v>44721.0</v>
      </c>
      <c r="P199" s="555" t="s">
        <v>3647</v>
      </c>
      <c r="Q199" s="594">
        <v>0.02</v>
      </c>
      <c r="R199" s="601" t="s">
        <v>4234</v>
      </c>
      <c r="S199" s="595"/>
      <c r="T199" s="515" t="str">
        <f t="shared" si="19"/>
        <v>Não Qualificado</v>
      </c>
      <c r="U199" s="515" t="s">
        <v>89</v>
      </c>
      <c r="V199" s="515" t="s">
        <v>2432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2396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3642</v>
      </c>
      <c r="B200" s="79" t="s">
        <v>4235</v>
      </c>
      <c r="C200" s="626" t="s">
        <v>4236</v>
      </c>
      <c r="D200" s="555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88</v>
      </c>
      <c r="K200" s="505" t="s">
        <v>88</v>
      </c>
      <c r="L200" s="515" t="s">
        <v>3659</v>
      </c>
      <c r="M200" s="593">
        <v>44683.0</v>
      </c>
      <c r="N200" s="593">
        <v>44697.0</v>
      </c>
      <c r="O200" s="555"/>
      <c r="P200" s="555" t="s">
        <v>3660</v>
      </c>
      <c r="Q200" s="556">
        <v>0.012</v>
      </c>
      <c r="R200" s="601" t="s">
        <v>4237</v>
      </c>
      <c r="S200" s="595"/>
      <c r="T200" s="515"/>
      <c r="U200" s="515" t="s">
        <v>89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3642</v>
      </c>
      <c r="B201" s="79" t="s">
        <v>993</v>
      </c>
      <c r="C201" s="626" t="s">
        <v>991</v>
      </c>
      <c r="D201" s="555">
        <v>3353688.0</v>
      </c>
      <c r="E201" s="505" t="s">
        <v>18</v>
      </c>
      <c r="F201" s="505" t="s">
        <v>29</v>
      </c>
      <c r="G201" s="505" t="s">
        <v>58</v>
      </c>
      <c r="H201" s="515">
        <f>IFERROR(VLOOKUP(G201,'Cadastro de assessores'!A:B,2,FALSE),"Não Cadastrado")</f>
        <v>12359</v>
      </c>
      <c r="I201" s="515"/>
      <c r="J201" s="505" t="s">
        <v>88</v>
      </c>
      <c r="K201" s="505" t="s">
        <v>88</v>
      </c>
      <c r="L201" s="515" t="s">
        <v>3659</v>
      </c>
      <c r="M201" s="593">
        <v>44778.0</v>
      </c>
      <c r="N201" s="593">
        <v>44778.0</v>
      </c>
      <c r="O201" s="555"/>
      <c r="P201" s="555" t="s">
        <v>3657</v>
      </c>
      <c r="Q201" s="556">
        <v>0.007</v>
      </c>
      <c r="R201" s="634" t="s">
        <v>4238</v>
      </c>
      <c r="S201" s="595"/>
      <c r="T201" s="515"/>
      <c r="U201" s="515" t="s">
        <v>329</v>
      </c>
      <c r="V201" s="515"/>
      <c r="W201" s="515" t="s">
        <v>121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3642</v>
      </c>
      <c r="B202" s="79" t="s">
        <v>4239</v>
      </c>
      <c r="C202" s="626" t="s">
        <v>4240</v>
      </c>
      <c r="D202" s="555">
        <v>7082227.0</v>
      </c>
      <c r="E202" s="505" t="s">
        <v>18</v>
      </c>
      <c r="F202" s="505" t="s">
        <v>19</v>
      </c>
      <c r="G202" s="505" t="s">
        <v>230</v>
      </c>
      <c r="H202" s="505" t="str">
        <f>IFERROR(VLOOKUP(G202,'Cadastro de assessores'!A:B,2,FALSE),"Não Cadastrado")</f>
        <v>18009</v>
      </c>
      <c r="I202" s="505"/>
      <c r="J202" s="505" t="s">
        <v>88</v>
      </c>
      <c r="K202" s="505" t="s">
        <v>88</v>
      </c>
      <c r="L202" s="515" t="s">
        <v>3659</v>
      </c>
      <c r="M202" s="593">
        <v>44509.0</v>
      </c>
      <c r="N202" s="593">
        <v>44511.0</v>
      </c>
      <c r="O202" s="555"/>
      <c r="P202" s="555" t="s">
        <v>3651</v>
      </c>
      <c r="Q202" s="556">
        <v>0.015</v>
      </c>
      <c r="R202" s="601" t="s">
        <v>4241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89</v>
      </c>
      <c r="V202" s="515" t="s">
        <v>2671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3642</v>
      </c>
      <c r="B203" s="79" t="s">
        <v>4242</v>
      </c>
      <c r="C203" s="602" t="s">
        <v>4243</v>
      </c>
      <c r="D203" s="515">
        <v>7998405.0</v>
      </c>
      <c r="E203" s="505" t="s">
        <v>18</v>
      </c>
      <c r="F203" s="505" t="s">
        <v>29</v>
      </c>
      <c r="G203" s="505" t="s">
        <v>110</v>
      </c>
      <c r="H203" s="505">
        <f>IFERROR(VLOOKUP(G203,'Cadastro de assessores'!A:B,2,FALSE),"Não Cadastrado")</f>
        <v>12332</v>
      </c>
      <c r="I203" s="505"/>
      <c r="J203" s="505" t="s">
        <v>88</v>
      </c>
      <c r="K203" s="505" t="s">
        <v>88</v>
      </c>
      <c r="L203" s="515" t="s">
        <v>3659</v>
      </c>
      <c r="M203" s="605">
        <v>44613.0</v>
      </c>
      <c r="N203" s="605">
        <v>44615.0</v>
      </c>
      <c r="O203" s="515"/>
      <c r="P203" s="515" t="s">
        <v>3657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89</v>
      </c>
      <c r="V203" s="515" t="s">
        <v>2410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3642</v>
      </c>
      <c r="B204" s="79" t="s">
        <v>2799</v>
      </c>
      <c r="C204" s="602" t="s">
        <v>2796</v>
      </c>
      <c r="D204" s="515">
        <v>4798641.0</v>
      </c>
      <c r="E204" s="505" t="s">
        <v>18</v>
      </c>
      <c r="F204" s="505" t="s">
        <v>29</v>
      </c>
      <c r="G204" s="505" t="s">
        <v>2052</v>
      </c>
      <c r="H204" s="505" t="str">
        <f>IFERROR(VLOOKUP(G204,'Cadastro de assessores'!A:B,2,FALSE),"Não Cadastrado")</f>
        <v>18256</v>
      </c>
      <c r="I204" s="505"/>
      <c r="J204" s="505" t="s">
        <v>88</v>
      </c>
      <c r="K204" s="505" t="s">
        <v>88</v>
      </c>
      <c r="L204" s="515" t="s">
        <v>3659</v>
      </c>
      <c r="M204" s="592">
        <v>44293.0</v>
      </c>
      <c r="N204" s="592">
        <v>44291.0</v>
      </c>
      <c r="O204" s="515"/>
      <c r="P204" s="515" t="s">
        <v>3651</v>
      </c>
      <c r="Q204" s="594">
        <v>0.01</v>
      </c>
      <c r="R204" s="601" t="s">
        <v>3727</v>
      </c>
      <c r="S204" s="595"/>
      <c r="T204" s="515" t="str">
        <f t="shared" si="20"/>
        <v>Não Qualificado</v>
      </c>
      <c r="U204" s="515" t="s">
        <v>89</v>
      </c>
      <c r="V204" s="515" t="s">
        <v>2771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2430</v>
      </c>
      <c r="AO204" s="443" t="s">
        <v>2430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3642</v>
      </c>
      <c r="B205" s="79" t="s">
        <v>4244</v>
      </c>
      <c r="C205" s="597" t="s">
        <v>4245</v>
      </c>
      <c r="D205" s="515">
        <v>4833105.0</v>
      </c>
      <c r="E205" s="515" t="s">
        <v>18</v>
      </c>
      <c r="F205" s="515" t="s">
        <v>29</v>
      </c>
      <c r="G205" s="515" t="s">
        <v>3650</v>
      </c>
      <c r="H205" s="515" t="str">
        <f>IFERROR(VLOOKUP(G205,'Cadastro de assessores'!A:B,2,FALSE),"Não Cadastrado")</f>
        <v>17679</v>
      </c>
      <c r="I205" s="515"/>
      <c r="J205" s="598" t="s">
        <v>2393</v>
      </c>
      <c r="K205" s="515" t="s">
        <v>2393</v>
      </c>
      <c r="L205" s="515" t="s">
        <v>3646</v>
      </c>
      <c r="M205" s="600">
        <v>44231.0</v>
      </c>
      <c r="N205" s="600">
        <v>44231.0</v>
      </c>
      <c r="O205" s="599">
        <v>44518.0</v>
      </c>
      <c r="P205" s="515" t="s">
        <v>3660</v>
      </c>
      <c r="Q205" s="594">
        <v>0.012</v>
      </c>
      <c r="R205" s="210" t="s">
        <v>4246</v>
      </c>
      <c r="S205" s="595"/>
      <c r="T205" s="515" t="str">
        <f t="shared" si="20"/>
        <v>Não Qualificado</v>
      </c>
      <c r="U205" s="515" t="s">
        <v>89</v>
      </c>
      <c r="V205" s="515" t="s">
        <v>2444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2396</v>
      </c>
      <c r="BF205" s="443" t="s">
        <v>2396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3642</v>
      </c>
      <c r="B206" s="79" t="s">
        <v>4247</v>
      </c>
      <c r="C206" s="564" t="s">
        <v>4248</v>
      </c>
      <c r="D206" s="555">
        <v>8118134.0</v>
      </c>
      <c r="E206" s="505" t="s">
        <v>86</v>
      </c>
      <c r="F206" s="505" t="s">
        <v>29</v>
      </c>
      <c r="G206" s="505" t="s">
        <v>3725</v>
      </c>
      <c r="H206" s="555">
        <f>IFERROR(VLOOKUP(G206,'Cadastro de assessores'!A:B,2,FALSE),"Não Cadastrado")</f>
        <v>12356</v>
      </c>
      <c r="I206" s="555"/>
      <c r="J206" s="505" t="s">
        <v>88</v>
      </c>
      <c r="K206" s="505" t="s">
        <v>88</v>
      </c>
      <c r="L206" s="515" t="s">
        <v>3659</v>
      </c>
      <c r="M206" s="592">
        <v>44686.0</v>
      </c>
      <c r="N206" s="592">
        <v>44685.0</v>
      </c>
      <c r="O206" s="555"/>
      <c r="P206" s="555" t="s">
        <v>4249</v>
      </c>
      <c r="Q206" s="594">
        <v>0.015</v>
      </c>
      <c r="R206" s="210" t="s">
        <v>4250</v>
      </c>
      <c r="S206" s="595"/>
      <c r="T206" s="515" t="str">
        <f t="shared" si="20"/>
        <v/>
      </c>
      <c r="U206" s="515" t="s">
        <v>89</v>
      </c>
      <c r="V206" s="555" t="s">
        <v>2421</v>
      </c>
      <c r="W206" s="555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3642</v>
      </c>
      <c r="B207" s="79" t="s">
        <v>4251</v>
      </c>
      <c r="C207" s="499" t="s">
        <v>4252</v>
      </c>
      <c r="D207" s="471">
        <v>5998094.0</v>
      </c>
      <c r="E207" s="515" t="s">
        <v>18</v>
      </c>
      <c r="F207" s="504" t="s">
        <v>19</v>
      </c>
      <c r="G207" s="515" t="s">
        <v>230</v>
      </c>
      <c r="H207" s="515" t="str">
        <f>IFERROR(VLOOKUP(G207,'Cadastro de assessores'!A:B,2,FALSE),"Não Cadastrado")</f>
        <v>18009</v>
      </c>
      <c r="I207" s="515"/>
      <c r="J207" s="598" t="s">
        <v>2393</v>
      </c>
      <c r="K207" s="515" t="s">
        <v>2393</v>
      </c>
      <c r="L207" s="515" t="s">
        <v>3646</v>
      </c>
      <c r="M207" s="600">
        <v>44462.0</v>
      </c>
      <c r="N207" s="600">
        <v>44462.0</v>
      </c>
      <c r="O207" s="600">
        <v>44676.0</v>
      </c>
      <c r="P207" s="515" t="s">
        <v>3651</v>
      </c>
      <c r="Q207" s="556">
        <v>0.015</v>
      </c>
      <c r="R207" s="475" t="s">
        <v>4253</v>
      </c>
      <c r="S207" s="595"/>
      <c r="T207" s="515" t="str">
        <f t="shared" si="20"/>
        <v>Não Qualificado</v>
      </c>
      <c r="U207" s="515" t="s">
        <v>89</v>
      </c>
      <c r="V207" s="555" t="s">
        <v>2426</v>
      </c>
      <c r="W207" s="515" t="s">
        <v>3732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2396</v>
      </c>
      <c r="BF207" s="443" t="s">
        <v>2396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3642</v>
      </c>
      <c r="B208" s="79" t="s">
        <v>4254</v>
      </c>
      <c r="C208" s="564" t="s">
        <v>4255</v>
      </c>
      <c r="D208" s="555">
        <v>3712007.0</v>
      </c>
      <c r="E208" s="515" t="s">
        <v>18</v>
      </c>
      <c r="F208" s="504" t="s">
        <v>19</v>
      </c>
      <c r="G208" s="504" t="s">
        <v>230</v>
      </c>
      <c r="H208" s="504" t="str">
        <f>IFERROR(VLOOKUP(G208,'Cadastro de assessores'!A:B,2,FALSE),"Não Cadastrado")</f>
        <v>18009</v>
      </c>
      <c r="I208" s="504"/>
      <c r="J208" s="598" t="s">
        <v>2393</v>
      </c>
      <c r="K208" s="515" t="s">
        <v>2393</v>
      </c>
      <c r="L208" s="515" t="s">
        <v>3646</v>
      </c>
      <c r="M208" s="515" t="s">
        <v>2430</v>
      </c>
      <c r="N208" s="515" t="s">
        <v>2430</v>
      </c>
      <c r="O208" s="554">
        <v>44404.0</v>
      </c>
      <c r="P208" s="555" t="s">
        <v>3651</v>
      </c>
      <c r="Q208" s="556">
        <v>0.015</v>
      </c>
      <c r="R208" s="210" t="s">
        <v>4256</v>
      </c>
      <c r="S208" s="595"/>
      <c r="T208" s="515" t="str">
        <f t="shared" si="20"/>
        <v>Não Qualificado</v>
      </c>
      <c r="U208" s="515" t="s">
        <v>89</v>
      </c>
      <c r="V208" s="555" t="s">
        <v>2449</v>
      </c>
      <c r="W208" s="555" t="s">
        <v>121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2396</v>
      </c>
      <c r="BF208" s="443" t="s">
        <v>2396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3642</v>
      </c>
      <c r="B209" s="79" t="s">
        <v>4257</v>
      </c>
      <c r="C209" s="564" t="s">
        <v>4258</v>
      </c>
      <c r="D209" s="555">
        <v>3919372.0</v>
      </c>
      <c r="E209" s="515" t="s">
        <v>18</v>
      </c>
      <c r="F209" s="504" t="s">
        <v>19</v>
      </c>
      <c r="G209" s="515" t="s">
        <v>230</v>
      </c>
      <c r="H209" s="555" t="str">
        <f>IFERROR(VLOOKUP(G209,'Cadastro de assessores'!A:B,2,FALSE),"Não Cadastrado")</f>
        <v>18009</v>
      </c>
      <c r="I209" s="555"/>
      <c r="J209" s="598" t="s">
        <v>2393</v>
      </c>
      <c r="K209" s="515" t="s">
        <v>2393</v>
      </c>
      <c r="L209" s="515" t="s">
        <v>3659</v>
      </c>
      <c r="M209" s="600">
        <v>44413.0</v>
      </c>
      <c r="N209" s="600">
        <v>44413.0</v>
      </c>
      <c r="O209" s="555"/>
      <c r="P209" s="555" t="s">
        <v>3664</v>
      </c>
      <c r="Q209" s="594">
        <v>0.025</v>
      </c>
      <c r="R209" s="210" t="s">
        <v>4259</v>
      </c>
      <c r="S209" s="595"/>
      <c r="T209" s="515" t="str">
        <f t="shared" si="20"/>
        <v>Não Qualificado</v>
      </c>
      <c r="U209" s="515" t="s">
        <v>89</v>
      </c>
      <c r="V209" s="555" t="s">
        <v>2449</v>
      </c>
      <c r="W209" s="555" t="s">
        <v>121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2396</v>
      </c>
      <c r="BF209" s="443" t="s">
        <v>2396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3642</v>
      </c>
      <c r="B210" s="79" t="s">
        <v>4260</v>
      </c>
      <c r="C210" s="597" t="s">
        <v>4261</v>
      </c>
      <c r="D210" s="515">
        <v>2466854.0</v>
      </c>
      <c r="E210" s="515" t="s">
        <v>2379</v>
      </c>
      <c r="F210" s="515" t="s">
        <v>29</v>
      </c>
      <c r="G210" s="515" t="s">
        <v>2379</v>
      </c>
      <c r="H210" s="515" t="str">
        <f>IFERROR(VLOOKUP(G210,'Cadastro de assessores'!A:B,2,FALSE),"Não Cadastrado")</f>
        <v>18986</v>
      </c>
      <c r="I210" s="515"/>
      <c r="J210" s="598" t="s">
        <v>2393</v>
      </c>
      <c r="K210" s="515" t="s">
        <v>2393</v>
      </c>
      <c r="L210" s="515" t="s">
        <v>3646</v>
      </c>
      <c r="M210" s="600">
        <v>43696.0</v>
      </c>
      <c r="N210" s="600">
        <v>43696.0</v>
      </c>
      <c r="O210" s="600">
        <v>44091.0</v>
      </c>
      <c r="P210" s="515" t="s">
        <v>3651</v>
      </c>
      <c r="Q210" s="594">
        <v>0.01</v>
      </c>
      <c r="R210" s="601" t="s">
        <v>4262</v>
      </c>
      <c r="S210" s="595"/>
      <c r="T210" s="515" t="str">
        <f t="shared" si="20"/>
        <v/>
      </c>
      <c r="U210" s="515" t="s">
        <v>89</v>
      </c>
      <c r="V210" s="515" t="s">
        <v>2432</v>
      </c>
      <c r="W210" s="515" t="s">
        <v>29</v>
      </c>
      <c r="X210" s="596" t="s">
        <v>4263</v>
      </c>
      <c r="Y210" s="596"/>
      <c r="Z210" s="596" t="s">
        <v>4264</v>
      </c>
      <c r="AA210" s="596" t="s">
        <v>4265</v>
      </c>
      <c r="AB210" s="596" t="s">
        <v>4266</v>
      </c>
      <c r="AC210" s="596" t="s">
        <v>4267</v>
      </c>
      <c r="AD210" s="596" t="s">
        <v>4268</v>
      </c>
      <c r="AE210" s="596" t="s">
        <v>4269</v>
      </c>
      <c r="AF210" s="596" t="s">
        <v>4270</v>
      </c>
      <c r="AG210" s="596" t="s">
        <v>4271</v>
      </c>
      <c r="AH210" s="596" t="s">
        <v>4272</v>
      </c>
      <c r="AI210" s="596"/>
      <c r="AJ210" s="596" t="s">
        <v>4273</v>
      </c>
      <c r="AK210" s="596"/>
      <c r="AL210" s="443"/>
      <c r="AM210" s="443">
        <v>214.15</v>
      </c>
      <c r="AN210" s="443" t="s">
        <v>2430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2396</v>
      </c>
      <c r="BF210" s="443" t="s">
        <v>2396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3642</v>
      </c>
      <c r="B211" s="79" t="s">
        <v>513</v>
      </c>
      <c r="C211" s="597" t="s">
        <v>512</v>
      </c>
      <c r="D211" s="515">
        <v>2172585.0</v>
      </c>
      <c r="E211" s="505" t="s">
        <v>18</v>
      </c>
      <c r="F211" s="505" t="s">
        <v>29</v>
      </c>
      <c r="G211" s="505" t="s">
        <v>512</v>
      </c>
      <c r="H211" s="505"/>
      <c r="I211" s="505"/>
      <c r="J211" s="515" t="s">
        <v>3001</v>
      </c>
      <c r="K211" s="515"/>
      <c r="L211" s="515"/>
      <c r="M211" s="515"/>
      <c r="N211" s="515"/>
      <c r="O211" s="515"/>
      <c r="P211" s="515" t="s">
        <v>3651</v>
      </c>
      <c r="Q211" s="610">
        <v>0.012</v>
      </c>
      <c r="R211" s="601" t="s">
        <v>3727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3642</v>
      </c>
      <c r="B212" s="79" t="s">
        <v>4274</v>
      </c>
      <c r="C212" s="597" t="s">
        <v>4275</v>
      </c>
      <c r="D212" s="515">
        <v>2566765.0</v>
      </c>
      <c r="E212" s="505" t="s">
        <v>18</v>
      </c>
      <c r="F212" s="505" t="s">
        <v>29</v>
      </c>
      <c r="G212" s="505" t="s">
        <v>2052</v>
      </c>
      <c r="H212" s="505" t="str">
        <f>IFERROR(VLOOKUP(G212,'Cadastro de assessores'!A:B,2,FALSE),"Não Cadastrado")</f>
        <v>18256</v>
      </c>
      <c r="I212" s="505"/>
      <c r="J212" s="614" t="s">
        <v>2429</v>
      </c>
      <c r="K212" s="515" t="s">
        <v>116</v>
      </c>
      <c r="L212" s="515" t="s">
        <v>3659</v>
      </c>
      <c r="M212" s="515" t="s">
        <v>2430</v>
      </c>
      <c r="N212" s="614" t="s">
        <v>2429</v>
      </c>
      <c r="O212" s="515"/>
      <c r="P212" s="515" t="s">
        <v>3664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89</v>
      </c>
      <c r="V212" s="515" t="s">
        <v>2453</v>
      </c>
      <c r="W212" s="515" t="s">
        <v>29</v>
      </c>
      <c r="X212" s="596" t="s">
        <v>4276</v>
      </c>
      <c r="Y212" s="596"/>
      <c r="Z212" s="596" t="s">
        <v>4277</v>
      </c>
      <c r="AA212" s="596" t="s">
        <v>4278</v>
      </c>
      <c r="AB212" s="596" t="s">
        <v>4279</v>
      </c>
      <c r="AC212" s="596" t="s">
        <v>4280</v>
      </c>
      <c r="AD212" s="596" t="s">
        <v>4281</v>
      </c>
      <c r="AE212" s="596" t="s">
        <v>4280</v>
      </c>
      <c r="AF212" s="596" t="s">
        <v>4280</v>
      </c>
      <c r="AG212" s="596" t="s">
        <v>4280</v>
      </c>
      <c r="AH212" s="596" t="s">
        <v>4282</v>
      </c>
      <c r="AI212" s="596" t="s">
        <v>4282</v>
      </c>
      <c r="AJ212" s="596" t="s">
        <v>4283</v>
      </c>
      <c r="AK212" s="596" t="s">
        <v>4283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2396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3642</v>
      </c>
      <c r="B213" s="79" t="s">
        <v>4284</v>
      </c>
      <c r="C213" s="641" t="s">
        <v>4285</v>
      </c>
      <c r="D213" s="555">
        <v>5092169.0</v>
      </c>
      <c r="E213" s="515" t="s">
        <v>18</v>
      </c>
      <c r="F213" s="504" t="s">
        <v>19</v>
      </c>
      <c r="G213" s="515" t="s">
        <v>230</v>
      </c>
      <c r="H213" s="504" t="str">
        <f>IFERROR(VLOOKUP(G213,'Cadastro de assessores'!A:B,2,FALSE),"Não Cadastrado")</f>
        <v>18009</v>
      </c>
      <c r="I213" s="504"/>
      <c r="J213" s="598" t="s">
        <v>2393</v>
      </c>
      <c r="K213" s="515" t="s">
        <v>2393</v>
      </c>
      <c r="L213" s="505" t="s">
        <v>3646</v>
      </c>
      <c r="M213" s="600">
        <v>44287.0</v>
      </c>
      <c r="N213" s="600">
        <v>44287.0</v>
      </c>
      <c r="O213" s="600">
        <v>44805.0</v>
      </c>
      <c r="P213" s="515" t="s">
        <v>3651</v>
      </c>
      <c r="Q213" s="556">
        <v>0.015</v>
      </c>
      <c r="R213" s="210"/>
      <c r="S213" s="595"/>
      <c r="T213" s="515" t="str">
        <f t="shared" si="21"/>
        <v/>
      </c>
      <c r="U213" s="515" t="s">
        <v>89</v>
      </c>
      <c r="V213" s="555" t="s">
        <v>4067</v>
      </c>
      <c r="W213" s="555" t="s">
        <v>3497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3642</v>
      </c>
      <c r="B214" s="79" t="s">
        <v>4286</v>
      </c>
      <c r="C214" s="564" t="s">
        <v>4287</v>
      </c>
      <c r="D214" s="555">
        <v>5599106.0</v>
      </c>
      <c r="E214" s="515" t="s">
        <v>86</v>
      </c>
      <c r="F214" s="504" t="s">
        <v>29</v>
      </c>
      <c r="G214" s="504" t="s">
        <v>3948</v>
      </c>
      <c r="H214" s="504" t="str">
        <f>IFERROR(VLOOKUP(G214,'Cadastro de assessores'!A:B,2,FALSE),"Não Cadastrado")</f>
        <v>19157</v>
      </c>
      <c r="I214" s="504"/>
      <c r="J214" s="598" t="s">
        <v>2393</v>
      </c>
      <c r="K214" s="515" t="s">
        <v>2393</v>
      </c>
      <c r="L214" s="515" t="s">
        <v>3646</v>
      </c>
      <c r="M214" s="600">
        <v>44368.0</v>
      </c>
      <c r="N214" s="600">
        <v>44368.0</v>
      </c>
      <c r="O214" s="635">
        <v>44494.0</v>
      </c>
      <c r="P214" s="555" t="s">
        <v>3664</v>
      </c>
      <c r="Q214" s="594">
        <v>0.025</v>
      </c>
      <c r="R214" s="601" t="s">
        <v>4288</v>
      </c>
      <c r="S214" s="595"/>
      <c r="T214" s="515" t="str">
        <f t="shared" si="21"/>
        <v>Não Qualificado</v>
      </c>
      <c r="U214" s="515" t="s">
        <v>89</v>
      </c>
      <c r="V214" s="555" t="s">
        <v>4289</v>
      </c>
      <c r="W214" s="555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2396</v>
      </c>
      <c r="BF214" s="443" t="s">
        <v>2396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3642</v>
      </c>
      <c r="B215" s="79" t="s">
        <v>1045</v>
      </c>
      <c r="C215" s="597" t="s">
        <v>1043</v>
      </c>
      <c r="D215" s="515">
        <v>3714924.0</v>
      </c>
      <c r="E215" s="515" t="s">
        <v>18</v>
      </c>
      <c r="F215" s="515" t="s">
        <v>29</v>
      </c>
      <c r="G215" s="515" t="s">
        <v>137</v>
      </c>
      <c r="H215" s="515"/>
      <c r="I215" s="515"/>
      <c r="J215" s="515"/>
      <c r="K215" s="515"/>
      <c r="L215" s="515"/>
      <c r="M215" s="600"/>
      <c r="N215" s="515" t="s">
        <v>3001</v>
      </c>
      <c r="O215" s="600"/>
      <c r="P215" s="515" t="s">
        <v>3657</v>
      </c>
      <c r="Q215" s="594">
        <v>0.0</v>
      </c>
      <c r="R215" s="601" t="s">
        <v>4290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3642</v>
      </c>
      <c r="B216" s="79" t="s">
        <v>4291</v>
      </c>
      <c r="C216" s="597" t="s">
        <v>4292</v>
      </c>
      <c r="D216" s="515">
        <v>4760280.0</v>
      </c>
      <c r="E216" s="515" t="s">
        <v>86</v>
      </c>
      <c r="F216" s="515" t="s">
        <v>29</v>
      </c>
      <c r="G216" s="515" t="s">
        <v>4293</v>
      </c>
      <c r="H216" s="515" t="str">
        <f>IFERROR(VLOOKUP(G216,'Cadastro de assessores'!A:B,2,FALSE),"Não Cadastrado")</f>
        <v>14091</v>
      </c>
      <c r="I216" s="515"/>
      <c r="J216" s="598" t="s">
        <v>2393</v>
      </c>
      <c r="K216" s="515" t="s">
        <v>2393</v>
      </c>
      <c r="L216" s="515" t="s">
        <v>3659</v>
      </c>
      <c r="M216" s="600">
        <v>44211.0</v>
      </c>
      <c r="N216" s="600">
        <v>44211.0</v>
      </c>
      <c r="O216" s="600">
        <v>44781.0</v>
      </c>
      <c r="P216" s="515" t="s">
        <v>3664</v>
      </c>
      <c r="Q216" s="594">
        <v>0.025</v>
      </c>
      <c r="R216" s="601" t="s">
        <v>4294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89</v>
      </c>
      <c r="V216" s="515" t="s">
        <v>2421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3642</v>
      </c>
      <c r="B217" s="79" t="s">
        <v>4295</v>
      </c>
      <c r="C217" s="564" t="s">
        <v>4296</v>
      </c>
      <c r="D217" s="555">
        <v>2673476.0</v>
      </c>
      <c r="E217" s="505" t="s">
        <v>18</v>
      </c>
      <c r="F217" s="591" t="s">
        <v>19</v>
      </c>
      <c r="G217" s="505" t="s">
        <v>230</v>
      </c>
      <c r="H217" s="555" t="str">
        <f>IFERROR(VLOOKUP(G217,'Cadastro de assessores'!A:B,2,FALSE),"Não Cadastrado")</f>
        <v>18009</v>
      </c>
      <c r="I217" s="555"/>
      <c r="J217" s="505" t="s">
        <v>88</v>
      </c>
      <c r="K217" s="505" t="s">
        <v>88</v>
      </c>
      <c r="L217" s="515" t="s">
        <v>3659</v>
      </c>
      <c r="M217" s="592">
        <v>44405.0</v>
      </c>
      <c r="N217" s="592">
        <v>44405.0</v>
      </c>
      <c r="O217" s="555"/>
      <c r="P217" s="555" t="s">
        <v>3647</v>
      </c>
      <c r="Q217" s="610">
        <v>0.02</v>
      </c>
      <c r="R217" s="210"/>
      <c r="S217" s="595"/>
      <c r="T217" s="515" t="str">
        <f t="shared" si="22"/>
        <v/>
      </c>
      <c r="U217" s="515" t="s">
        <v>89</v>
      </c>
      <c r="V217" s="555" t="s">
        <v>2449</v>
      </c>
      <c r="W217" s="555" t="s">
        <v>121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3642</v>
      </c>
      <c r="B218" s="79" t="s">
        <v>4297</v>
      </c>
      <c r="C218" s="597" t="s">
        <v>4298</v>
      </c>
      <c r="D218" s="515">
        <v>4398585.0</v>
      </c>
      <c r="E218" s="505" t="s">
        <v>86</v>
      </c>
      <c r="F218" s="505" t="s">
        <v>29</v>
      </c>
      <c r="G218" s="505" t="s">
        <v>3823</v>
      </c>
      <c r="H218" s="505" t="str">
        <f>IFERROR(VLOOKUP(G218,'Cadastro de assessores'!A:B,2,FALSE),"Não Cadastrado")</f>
        <v>17896</v>
      </c>
      <c r="I218" s="505"/>
      <c r="J218" s="505" t="s">
        <v>88</v>
      </c>
      <c r="K218" s="505" t="s">
        <v>88</v>
      </c>
      <c r="L218" s="515" t="s">
        <v>3659</v>
      </c>
      <c r="M218" s="592">
        <v>44098.0</v>
      </c>
      <c r="N218" s="592">
        <v>44102.0</v>
      </c>
      <c r="O218" s="515"/>
      <c r="P218" s="515" t="s">
        <v>4174</v>
      </c>
      <c r="Q218" s="594">
        <v>0.002</v>
      </c>
      <c r="R218" s="601" t="s">
        <v>4299</v>
      </c>
      <c r="S218" s="595"/>
      <c r="T218" s="515" t="str">
        <f t="shared" si="22"/>
        <v/>
      </c>
      <c r="U218" s="515" t="s">
        <v>329</v>
      </c>
      <c r="V218" s="515" t="s">
        <v>2432</v>
      </c>
      <c r="W218" s="515" t="s">
        <v>29</v>
      </c>
      <c r="X218" s="596" t="s">
        <v>3653</v>
      </c>
      <c r="Y218" s="596" t="s">
        <v>3653</v>
      </c>
      <c r="Z218" s="596" t="s">
        <v>3653</v>
      </c>
      <c r="AA218" s="596" t="s">
        <v>3653</v>
      </c>
      <c r="AB218" s="596" t="s">
        <v>3653</v>
      </c>
      <c r="AC218" s="596" t="s">
        <v>3653</v>
      </c>
      <c r="AD218" s="596" t="s">
        <v>3653</v>
      </c>
      <c r="AE218" s="596" t="s">
        <v>3653</v>
      </c>
      <c r="AF218" s="596" t="s">
        <v>3653</v>
      </c>
      <c r="AG218" s="596" t="s">
        <v>3653</v>
      </c>
      <c r="AH218" s="596" t="s">
        <v>3653</v>
      </c>
      <c r="AI218" s="596" t="s">
        <v>4300</v>
      </c>
      <c r="AJ218" s="596" t="s">
        <v>4301</v>
      </c>
      <c r="AK218" s="596" t="s">
        <v>4302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3642</v>
      </c>
      <c r="B219" s="79" t="s">
        <v>4303</v>
      </c>
      <c r="C219" s="564" t="s">
        <v>4304</v>
      </c>
      <c r="D219" s="555">
        <v>5975647.0</v>
      </c>
      <c r="E219" s="505" t="s">
        <v>18</v>
      </c>
      <c r="F219" s="591" t="s">
        <v>19</v>
      </c>
      <c r="G219" s="505" t="s">
        <v>230</v>
      </c>
      <c r="H219" s="555" t="str">
        <f>IFERROR(VLOOKUP(G219,'Cadastro de assessores'!A:B,2,FALSE),"Não Cadastrado")</f>
        <v>18009</v>
      </c>
      <c r="I219" s="555"/>
      <c r="J219" s="505" t="s">
        <v>3645</v>
      </c>
      <c r="K219" s="515" t="s">
        <v>88</v>
      </c>
      <c r="L219" s="515" t="s">
        <v>3646</v>
      </c>
      <c r="M219" s="592">
        <v>44403.0</v>
      </c>
      <c r="N219" s="592">
        <v>44405.0</v>
      </c>
      <c r="O219" s="515"/>
      <c r="P219" s="515" t="s">
        <v>3651</v>
      </c>
      <c r="Q219" s="556">
        <v>0.015</v>
      </c>
      <c r="R219" s="210"/>
      <c r="S219" s="595"/>
      <c r="T219" s="515" t="str">
        <f t="shared" si="22"/>
        <v>Não Qualificado</v>
      </c>
      <c r="U219" s="555" t="s">
        <v>89</v>
      </c>
      <c r="V219" s="555" t="s">
        <v>2449</v>
      </c>
      <c r="W219" s="555" t="s">
        <v>121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3642</v>
      </c>
      <c r="B220" s="79" t="s">
        <v>4305</v>
      </c>
      <c r="C220" s="564" t="s">
        <v>4306</v>
      </c>
      <c r="D220" s="555">
        <v>9020656.0</v>
      </c>
      <c r="E220" s="505" t="s">
        <v>18</v>
      </c>
      <c r="F220" s="591" t="s">
        <v>19</v>
      </c>
      <c r="G220" s="312" t="s">
        <v>230</v>
      </c>
      <c r="H220" s="505" t="str">
        <f>IFERROR(VLOOKUP(G220,'Cadastro de assessores'!A:B,2,FALSE),"Não Cadastrado")</f>
        <v>18009</v>
      </c>
      <c r="I220" s="505"/>
      <c r="J220" s="515" t="s">
        <v>88</v>
      </c>
      <c r="K220" s="481" t="s">
        <v>116</v>
      </c>
      <c r="L220" s="481"/>
      <c r="M220" s="643">
        <v>44845.0</v>
      </c>
      <c r="N220" s="644">
        <v>44858.0</v>
      </c>
      <c r="O220" s="608"/>
      <c r="P220" s="608" t="s">
        <v>3660</v>
      </c>
      <c r="Q220" s="610">
        <v>0.007</v>
      </c>
      <c r="R220" s="475" t="s">
        <v>4307</v>
      </c>
      <c r="S220" s="595"/>
      <c r="T220" s="515" t="str">
        <f t="shared" si="22"/>
        <v/>
      </c>
      <c r="U220" s="555" t="s">
        <v>89</v>
      </c>
      <c r="V220" s="515" t="s">
        <v>2482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3642</v>
      </c>
      <c r="B221" s="79" t="s">
        <v>4305</v>
      </c>
      <c r="C221" s="131" t="s">
        <v>4308</v>
      </c>
      <c r="D221" s="24">
        <v>7000733.0</v>
      </c>
      <c r="E221" s="312" t="s">
        <v>18</v>
      </c>
      <c r="F221" s="92" t="s">
        <v>19</v>
      </c>
      <c r="G221" s="312" t="s">
        <v>230</v>
      </c>
      <c r="H221" s="24" t="str">
        <f>IFERROR(VLOOKUP(G221,'Cadastro de assessores'!A:B,2,FALSE),"Não Cadastrado")</f>
        <v>18009</v>
      </c>
      <c r="I221" s="24"/>
      <c r="J221" s="312" t="s">
        <v>88</v>
      </c>
      <c r="K221" s="312" t="s">
        <v>88</v>
      </c>
      <c r="L221" s="94" t="s">
        <v>3659</v>
      </c>
      <c r="M221" s="313">
        <v>44712.0</v>
      </c>
      <c r="N221" s="313">
        <v>44712.0</v>
      </c>
      <c r="O221" s="94"/>
      <c r="P221" s="94" t="s">
        <v>4309</v>
      </c>
      <c r="Q221" s="116">
        <v>0.012</v>
      </c>
      <c r="R221" s="645" t="s">
        <v>4310</v>
      </c>
      <c r="S221" s="363"/>
      <c r="T221" s="94" t="str">
        <f t="shared" si="22"/>
        <v/>
      </c>
      <c r="U221" s="94" t="s">
        <v>329</v>
      </c>
      <c r="V221" s="24" t="s">
        <v>4311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3642</v>
      </c>
      <c r="B222" s="79" t="s">
        <v>4312</v>
      </c>
      <c r="C222" s="597" t="s">
        <v>4313</v>
      </c>
      <c r="D222" s="515">
        <v>4550654.0</v>
      </c>
      <c r="E222" s="515" t="s">
        <v>86</v>
      </c>
      <c r="F222" s="515" t="s">
        <v>29</v>
      </c>
      <c r="G222" s="515" t="s">
        <v>4314</v>
      </c>
      <c r="H222" s="515" t="str">
        <f>IFERROR(VLOOKUP(G222,'Cadastro de assessores'!A:B,2,FALSE),"Não Cadastrado")</f>
        <v>14244</v>
      </c>
      <c r="I222" s="515"/>
      <c r="J222" s="598" t="s">
        <v>2393</v>
      </c>
      <c r="K222" s="515" t="s">
        <v>2393</v>
      </c>
      <c r="L222" s="515" t="s">
        <v>3646</v>
      </c>
      <c r="M222" s="599">
        <v>44160.0</v>
      </c>
      <c r="N222" s="599">
        <v>44160.0</v>
      </c>
      <c r="O222" s="600">
        <v>44270.0</v>
      </c>
      <c r="P222" s="515" t="s">
        <v>3647</v>
      </c>
      <c r="Q222" s="594">
        <v>0.02</v>
      </c>
      <c r="R222" s="601" t="s">
        <v>4315</v>
      </c>
      <c r="S222" s="595"/>
      <c r="T222" s="515" t="str">
        <f t="shared" si="22"/>
        <v/>
      </c>
      <c r="U222" s="555" t="s">
        <v>89</v>
      </c>
      <c r="V222" s="515" t="s">
        <v>2432</v>
      </c>
      <c r="W222" s="515" t="s">
        <v>29</v>
      </c>
      <c r="X222" s="596" t="s">
        <v>3653</v>
      </c>
      <c r="Y222" s="596" t="s">
        <v>3653</v>
      </c>
      <c r="Z222" s="596" t="s">
        <v>3653</v>
      </c>
      <c r="AA222" s="596" t="s">
        <v>3653</v>
      </c>
      <c r="AB222" s="596" t="s">
        <v>3653</v>
      </c>
      <c r="AC222" s="596" t="s">
        <v>3653</v>
      </c>
      <c r="AD222" s="596" t="s">
        <v>3653</v>
      </c>
      <c r="AE222" s="596" t="s">
        <v>3653</v>
      </c>
      <c r="AF222" s="596" t="s">
        <v>3653</v>
      </c>
      <c r="AG222" s="596" t="s">
        <v>3653</v>
      </c>
      <c r="AH222" s="596" t="s">
        <v>3653</v>
      </c>
      <c r="AI222" s="596" t="s">
        <v>3653</v>
      </c>
      <c r="AJ222" s="596" t="s">
        <v>3653</v>
      </c>
      <c r="AK222" s="596" t="s">
        <v>4316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2396</v>
      </c>
      <c r="BF222" s="443" t="s">
        <v>2396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3642</v>
      </c>
      <c r="B223" s="79" t="s">
        <v>4317</v>
      </c>
      <c r="C223" s="597" t="s">
        <v>4318</v>
      </c>
      <c r="D223" s="515">
        <v>3939462.0</v>
      </c>
      <c r="E223" s="515" t="s">
        <v>2379</v>
      </c>
      <c r="F223" s="515" t="s">
        <v>29</v>
      </c>
      <c r="G223" s="515" t="s">
        <v>2379</v>
      </c>
      <c r="H223" s="515" t="str">
        <f>IFERROR(VLOOKUP(G223,'Cadastro de assessores'!A:B,2,FALSE),"Não Cadastrado")</f>
        <v>18986</v>
      </c>
      <c r="I223" s="515"/>
      <c r="J223" s="598" t="s">
        <v>2393</v>
      </c>
      <c r="K223" s="515" t="s">
        <v>2393</v>
      </c>
      <c r="L223" s="515" t="s">
        <v>3646</v>
      </c>
      <c r="M223" s="600">
        <v>43901.0</v>
      </c>
      <c r="N223" s="600">
        <v>43901.0</v>
      </c>
      <c r="O223" s="599">
        <v>44519.0</v>
      </c>
      <c r="P223" s="515" t="s">
        <v>3647</v>
      </c>
      <c r="Q223" s="594">
        <v>0.015</v>
      </c>
      <c r="R223" s="601" t="s">
        <v>4319</v>
      </c>
      <c r="S223" s="595"/>
      <c r="T223" s="515" t="str">
        <f t="shared" si="22"/>
        <v>Não Qualificado</v>
      </c>
      <c r="U223" s="555" t="s">
        <v>89</v>
      </c>
      <c r="V223" s="515" t="s">
        <v>2453</v>
      </c>
      <c r="W223" s="515" t="s">
        <v>29</v>
      </c>
      <c r="X223" s="596" t="s">
        <v>3653</v>
      </c>
      <c r="Y223" s="596" t="s">
        <v>3653</v>
      </c>
      <c r="Z223" s="596" t="s">
        <v>3653</v>
      </c>
      <c r="AA223" s="596" t="s">
        <v>3653</v>
      </c>
      <c r="AB223" s="596" t="s">
        <v>4320</v>
      </c>
      <c r="AC223" s="596" t="s">
        <v>4321</v>
      </c>
      <c r="AD223" s="596" t="s">
        <v>4322</v>
      </c>
      <c r="AE223" s="596" t="s">
        <v>4323</v>
      </c>
      <c r="AF223" s="596" t="s">
        <v>4324</v>
      </c>
      <c r="AG223" s="596" t="s">
        <v>4325</v>
      </c>
      <c r="AH223" s="596" t="s">
        <v>4326</v>
      </c>
      <c r="AI223" s="596" t="s">
        <v>4327</v>
      </c>
      <c r="AJ223" s="596" t="s">
        <v>4328</v>
      </c>
      <c r="AK223" s="596" t="s">
        <v>4329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2396</v>
      </c>
      <c r="BF223" s="443" t="s">
        <v>2396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3642</v>
      </c>
      <c r="B224" s="79" t="s">
        <v>4330</v>
      </c>
      <c r="C224" s="597" t="s">
        <v>4331</v>
      </c>
      <c r="D224" s="515">
        <v>4611223.0</v>
      </c>
      <c r="E224" s="515" t="s">
        <v>18</v>
      </c>
      <c r="F224" s="515" t="s">
        <v>29</v>
      </c>
      <c r="G224" s="515" t="s">
        <v>3650</v>
      </c>
      <c r="H224" s="515" t="str">
        <f>IFERROR(VLOOKUP(G224,'Cadastro de assessores'!A:B,2,FALSE),"Não Cadastrado")</f>
        <v>17679</v>
      </c>
      <c r="I224" s="515"/>
      <c r="J224" s="598" t="s">
        <v>2393</v>
      </c>
      <c r="K224" s="515" t="s">
        <v>2393</v>
      </c>
      <c r="L224" s="515" t="s">
        <v>3646</v>
      </c>
      <c r="M224" s="600">
        <v>44167.0</v>
      </c>
      <c r="N224" s="600">
        <v>44167.0</v>
      </c>
      <c r="O224" s="600">
        <v>44229.0</v>
      </c>
      <c r="P224" s="515" t="s">
        <v>3664</v>
      </c>
      <c r="Q224" s="594">
        <v>0.025</v>
      </c>
      <c r="R224" s="601" t="s">
        <v>4332</v>
      </c>
      <c r="S224" s="595"/>
      <c r="T224" s="515" t="str">
        <f t="shared" si="22"/>
        <v>Não Qualificado</v>
      </c>
      <c r="U224" s="555" t="s">
        <v>89</v>
      </c>
      <c r="V224" s="555" t="s">
        <v>4067</v>
      </c>
      <c r="W224" s="555" t="s">
        <v>3497</v>
      </c>
      <c r="X224" s="596" t="s">
        <v>3653</v>
      </c>
      <c r="Y224" s="596" t="s">
        <v>3653</v>
      </c>
      <c r="Z224" s="596" t="s">
        <v>3653</v>
      </c>
      <c r="AA224" s="596" t="s">
        <v>3653</v>
      </c>
      <c r="AB224" s="596" t="s">
        <v>3653</v>
      </c>
      <c r="AC224" s="596" t="s">
        <v>3653</v>
      </c>
      <c r="AD224" s="596" t="s">
        <v>3653</v>
      </c>
      <c r="AE224" s="596" t="s">
        <v>3653</v>
      </c>
      <c r="AF224" s="596" t="s">
        <v>3653</v>
      </c>
      <c r="AG224" s="596" t="s">
        <v>3653</v>
      </c>
      <c r="AH224" s="596" t="s">
        <v>3653</v>
      </c>
      <c r="AI224" s="596" t="s">
        <v>3653</v>
      </c>
      <c r="AJ224" s="596" t="s">
        <v>3653</v>
      </c>
      <c r="AK224" s="596" t="s">
        <v>3653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2396</v>
      </c>
      <c r="BF224" s="443" t="s">
        <v>2396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3642</v>
      </c>
      <c r="B225" s="79" t="s">
        <v>1094</v>
      </c>
      <c r="C225" s="626" t="s">
        <v>4333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88</v>
      </c>
      <c r="K225" s="505" t="s">
        <v>88</v>
      </c>
      <c r="L225" s="515" t="s">
        <v>3659</v>
      </c>
      <c r="M225" s="605">
        <v>44615.0</v>
      </c>
      <c r="N225" s="605">
        <v>44615.0</v>
      </c>
      <c r="O225" s="555"/>
      <c r="P225" s="555" t="s">
        <v>3651</v>
      </c>
      <c r="Q225" s="556">
        <v>0.015</v>
      </c>
      <c r="R225" s="499" t="s">
        <v>4334</v>
      </c>
      <c r="S225" s="595"/>
      <c r="T225" s="515" t="str">
        <f t="shared" si="22"/>
        <v>Não Qualificado</v>
      </c>
      <c r="U225" s="555" t="s">
        <v>89</v>
      </c>
      <c r="V225" s="515" t="s">
        <v>2482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3642</v>
      </c>
      <c r="B226" s="79" t="s">
        <v>3559</v>
      </c>
      <c r="C226" s="602" t="s">
        <v>4335</v>
      </c>
      <c r="D226" s="505">
        <v>4847953.0</v>
      </c>
      <c r="E226" s="505" t="s">
        <v>18</v>
      </c>
      <c r="F226" s="505" t="s">
        <v>29</v>
      </c>
      <c r="G226" s="505" t="s">
        <v>2633</v>
      </c>
      <c r="H226" s="505" t="str">
        <f>IFERROR(VLOOKUP(G226,'Cadastro de assessores'!A:B,2,FALSE),"Não Cadastrado")</f>
        <v>18236</v>
      </c>
      <c r="I226" s="505"/>
      <c r="J226" s="505" t="s">
        <v>88</v>
      </c>
      <c r="K226" s="505" t="s">
        <v>88</v>
      </c>
      <c r="L226" s="515" t="s">
        <v>3659</v>
      </c>
      <c r="M226" s="592">
        <v>44294.0</v>
      </c>
      <c r="N226" s="592">
        <v>44294.0</v>
      </c>
      <c r="O226" s="515"/>
      <c r="P226" s="515" t="s">
        <v>4336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329</v>
      </c>
      <c r="V226" s="515" t="s">
        <v>2421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2430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3642</v>
      </c>
      <c r="B227" s="79" t="s">
        <v>4337</v>
      </c>
      <c r="C227" s="626" t="s">
        <v>4338</v>
      </c>
      <c r="D227" s="555">
        <v>3029846.0</v>
      </c>
      <c r="E227" s="505" t="s">
        <v>18</v>
      </c>
      <c r="F227" s="591" t="s">
        <v>19</v>
      </c>
      <c r="G227" s="505" t="s">
        <v>3978</v>
      </c>
      <c r="H227" s="505" t="str">
        <f>IFERROR(VLOOKUP(G227,'Cadastro de assessores'!A:B,2,FALSE),"Não Cadastrado")</f>
        <v>14294</v>
      </c>
      <c r="I227" s="505"/>
      <c r="J227" s="505" t="s">
        <v>4339</v>
      </c>
      <c r="K227" s="515" t="s">
        <v>88</v>
      </c>
      <c r="L227" s="515" t="s">
        <v>3646</v>
      </c>
      <c r="M227" s="592">
        <v>44460.0</v>
      </c>
      <c r="N227" s="592">
        <v>44469.0</v>
      </c>
      <c r="O227" s="555"/>
      <c r="P227" s="555" t="s">
        <v>3647</v>
      </c>
      <c r="Q227" s="610">
        <v>0.02</v>
      </c>
      <c r="R227" s="210" t="s">
        <v>4340</v>
      </c>
      <c r="S227" s="595"/>
      <c r="T227" s="515" t="str">
        <f t="shared" si="22"/>
        <v>Não Qualificado</v>
      </c>
      <c r="U227" s="555" t="s">
        <v>89</v>
      </c>
      <c r="V227" s="555" t="s">
        <v>4341</v>
      </c>
      <c r="W227" s="555" t="s">
        <v>180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2396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3642</v>
      </c>
      <c r="B228" s="79" t="s">
        <v>1097</v>
      </c>
      <c r="C228" s="597" t="s">
        <v>1095</v>
      </c>
      <c r="D228" s="515">
        <v>4783402.0</v>
      </c>
      <c r="E228" s="505" t="s">
        <v>18</v>
      </c>
      <c r="F228" s="505" t="s">
        <v>29</v>
      </c>
      <c r="G228" s="505" t="s">
        <v>137</v>
      </c>
      <c r="H228" s="505">
        <f>IFERROR(VLOOKUP(G228,'Cadastro de assessores'!A:B,2,FALSE),"Não Cadastrado")</f>
        <v>12344</v>
      </c>
      <c r="I228" s="505"/>
      <c r="J228" s="505" t="s">
        <v>3645</v>
      </c>
      <c r="K228" s="515" t="s">
        <v>88</v>
      </c>
      <c r="L228" s="515" t="s">
        <v>3646</v>
      </c>
      <c r="M228" s="592">
        <v>44218.0</v>
      </c>
      <c r="N228" s="592">
        <v>44218.0</v>
      </c>
      <c r="O228" s="515"/>
      <c r="P228" s="515" t="s">
        <v>3651</v>
      </c>
      <c r="Q228" s="594">
        <v>0.015</v>
      </c>
      <c r="R228" s="601"/>
      <c r="S228" s="595"/>
      <c r="T228" s="515" t="str">
        <f t="shared" si="22"/>
        <v/>
      </c>
      <c r="U228" s="515" t="s">
        <v>329</v>
      </c>
      <c r="V228" s="515" t="s">
        <v>2421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3642</v>
      </c>
      <c r="B229" s="79" t="s">
        <v>1097</v>
      </c>
      <c r="C229" s="597" t="s">
        <v>1095</v>
      </c>
      <c r="D229" s="515">
        <v>4793812.0</v>
      </c>
      <c r="E229" s="505" t="s">
        <v>18</v>
      </c>
      <c r="F229" s="505" t="s">
        <v>29</v>
      </c>
      <c r="G229" s="505" t="s">
        <v>137</v>
      </c>
      <c r="H229" s="505">
        <f>IFERROR(VLOOKUP(G229,'Cadastro de assessores'!A:B,2,FALSE),"Não Cadastrado")</f>
        <v>12344</v>
      </c>
      <c r="I229" s="505"/>
      <c r="J229" s="505" t="s">
        <v>88</v>
      </c>
      <c r="K229" s="505" t="s">
        <v>88</v>
      </c>
      <c r="L229" s="515" t="s">
        <v>3659</v>
      </c>
      <c r="M229" s="592">
        <v>44217.0</v>
      </c>
      <c r="N229" s="592">
        <v>44217.0</v>
      </c>
      <c r="O229" s="515"/>
      <c r="P229" s="515" t="s">
        <v>4174</v>
      </c>
      <c r="Q229" s="594">
        <v>0.002</v>
      </c>
      <c r="R229" s="601" t="s">
        <v>4342</v>
      </c>
      <c r="S229" s="595"/>
      <c r="T229" s="515" t="str">
        <f t="shared" si="22"/>
        <v>Não Qualificado</v>
      </c>
      <c r="U229" s="515" t="s">
        <v>329</v>
      </c>
      <c r="V229" s="515" t="s">
        <v>2421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3642</v>
      </c>
      <c r="B230" s="79" t="s">
        <v>1100</v>
      </c>
      <c r="C230" s="564" t="s">
        <v>4343</v>
      </c>
      <c r="D230" s="604">
        <v>8392987.0</v>
      </c>
      <c r="E230" s="505" t="s">
        <v>18</v>
      </c>
      <c r="F230" s="505" t="s">
        <v>29</v>
      </c>
      <c r="G230" s="505" t="s">
        <v>137</v>
      </c>
      <c r="H230" s="591">
        <f>IFERROR(VLOOKUP(G230,'Cadastro de assessores'!A:B,2,FALSE),"Não Cadastrado")</f>
        <v>12344</v>
      </c>
      <c r="I230" s="591"/>
      <c r="J230" s="505" t="s">
        <v>88</v>
      </c>
      <c r="K230" s="505" t="s">
        <v>88</v>
      </c>
      <c r="L230" s="515" t="s">
        <v>3659</v>
      </c>
      <c r="M230" s="592">
        <v>44669.0</v>
      </c>
      <c r="N230" s="592">
        <v>44670.0</v>
      </c>
      <c r="O230" s="555"/>
      <c r="P230" s="555" t="s">
        <v>3657</v>
      </c>
      <c r="Q230" s="594">
        <v>0.007</v>
      </c>
      <c r="R230" s="475" t="s">
        <v>4344</v>
      </c>
      <c r="S230" s="595"/>
      <c r="T230" s="515" t="str">
        <f t="shared" si="22"/>
        <v/>
      </c>
      <c r="U230" s="515" t="s">
        <v>89</v>
      </c>
      <c r="V230" s="515" t="s">
        <v>2421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3642</v>
      </c>
      <c r="B231" s="79" t="s">
        <v>4345</v>
      </c>
      <c r="C231" s="564" t="s">
        <v>4346</v>
      </c>
      <c r="D231" s="591">
        <v>4423520.0</v>
      </c>
      <c r="E231" s="505" t="s">
        <v>18</v>
      </c>
      <c r="F231" s="591" t="s">
        <v>29</v>
      </c>
      <c r="G231" s="591" t="s">
        <v>2760</v>
      </c>
      <c r="H231" s="591" t="str">
        <f>IFERROR(VLOOKUP(G231,'Cadastro de assessores'!A:B,2,FALSE),"Não Cadastrado")</f>
        <v>13444</v>
      </c>
      <c r="I231" s="591"/>
      <c r="J231" s="505" t="s">
        <v>88</v>
      </c>
      <c r="K231" s="505" t="s">
        <v>88</v>
      </c>
      <c r="L231" s="515" t="s">
        <v>3659</v>
      </c>
      <c r="M231" s="592">
        <v>44372.0</v>
      </c>
      <c r="N231" s="592">
        <v>44372.0</v>
      </c>
      <c r="O231" s="555"/>
      <c r="P231" s="555" t="s">
        <v>3863</v>
      </c>
      <c r="Q231" s="594">
        <v>0.02</v>
      </c>
      <c r="R231" s="475"/>
      <c r="S231" s="595"/>
      <c r="T231" s="515" t="str">
        <f t="shared" si="22"/>
        <v/>
      </c>
      <c r="U231" s="555" t="s">
        <v>329</v>
      </c>
      <c r="V231" s="555" t="s">
        <v>3864</v>
      </c>
      <c r="W231" s="555" t="s">
        <v>180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3642</v>
      </c>
      <c r="B232" s="79" t="s">
        <v>1103</v>
      </c>
      <c r="C232" s="597" t="s">
        <v>1101</v>
      </c>
      <c r="D232" s="515">
        <v>8765907.0</v>
      </c>
      <c r="E232" s="515" t="s">
        <v>18</v>
      </c>
      <c r="F232" s="515" t="s">
        <v>19</v>
      </c>
      <c r="G232" s="515" t="s">
        <v>201</v>
      </c>
      <c r="H232" s="505" t="str">
        <f>IFERROR(VLOOKUP(G232,'Cadastro de assessores'!A:B,2,FALSE),"Não Cadastrado")</f>
        <v>18890</v>
      </c>
      <c r="I232" s="505"/>
      <c r="J232" s="515" t="s">
        <v>88</v>
      </c>
      <c r="K232" s="515" t="s">
        <v>88</v>
      </c>
      <c r="L232" s="515" t="s">
        <v>3659</v>
      </c>
      <c r="M232" s="600">
        <v>44721.0</v>
      </c>
      <c r="N232" s="600">
        <v>44727.0</v>
      </c>
      <c r="O232" s="600"/>
      <c r="P232" s="515" t="s">
        <v>3660</v>
      </c>
      <c r="Q232" s="594">
        <v>0.012</v>
      </c>
      <c r="R232" s="601" t="s">
        <v>4347</v>
      </c>
      <c r="S232" s="595"/>
      <c r="T232" s="515"/>
      <c r="U232" s="515" t="s">
        <v>89</v>
      </c>
      <c r="V232" s="515" t="s">
        <v>2482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3642</v>
      </c>
      <c r="B233" s="79" t="s">
        <v>4348</v>
      </c>
      <c r="C233" s="626" t="s">
        <v>4349</v>
      </c>
      <c r="D233" s="591">
        <v>6519491.0</v>
      </c>
      <c r="E233" s="505" t="s">
        <v>18</v>
      </c>
      <c r="F233" s="591" t="s">
        <v>19</v>
      </c>
      <c r="G233" s="505" t="s">
        <v>230</v>
      </c>
      <c r="H233" s="591" t="str">
        <f>IFERROR(VLOOKUP(G233,'Cadastro de assessores'!A:B,2,FALSE),"Não Cadastrado")</f>
        <v>18009</v>
      </c>
      <c r="I233" s="591"/>
      <c r="J233" s="614" t="s">
        <v>2429</v>
      </c>
      <c r="K233" s="515" t="s">
        <v>2430</v>
      </c>
      <c r="L233" s="515" t="s">
        <v>3659</v>
      </c>
      <c r="M233" s="515" t="s">
        <v>2430</v>
      </c>
      <c r="N233" s="614" t="s">
        <v>2429</v>
      </c>
      <c r="O233" s="555"/>
      <c r="P233" s="555" t="s">
        <v>3660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89</v>
      </c>
      <c r="V233" s="515" t="s">
        <v>2671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2396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3642</v>
      </c>
      <c r="B234" s="79" t="s">
        <v>4350</v>
      </c>
      <c r="C234" s="564" t="s">
        <v>4351</v>
      </c>
      <c r="D234" s="555">
        <v>3452038.0</v>
      </c>
      <c r="E234" s="505" t="s">
        <v>18</v>
      </c>
      <c r="F234" s="505" t="s">
        <v>19</v>
      </c>
      <c r="G234" s="555" t="s">
        <v>52</v>
      </c>
      <c r="H234" s="505" t="str">
        <f>IFERROR(VLOOKUP(G234,'Cadastro de assessores'!A:B,2,FALSE),"Não Cadastrado")</f>
        <v>17831</v>
      </c>
      <c r="I234" s="505"/>
      <c r="J234" s="598" t="s">
        <v>2393</v>
      </c>
      <c r="K234" s="505" t="s">
        <v>88</v>
      </c>
      <c r="L234" s="515" t="s">
        <v>3646</v>
      </c>
      <c r="M234" s="592">
        <v>44698.0</v>
      </c>
      <c r="N234" s="592">
        <v>44698.0</v>
      </c>
      <c r="O234" s="554">
        <v>44834.0</v>
      </c>
      <c r="P234" s="555" t="s">
        <v>3660</v>
      </c>
      <c r="Q234" s="594">
        <v>0.012</v>
      </c>
      <c r="R234" s="633" t="s">
        <v>4352</v>
      </c>
      <c r="S234" s="595"/>
      <c r="T234" s="515" t="str">
        <f t="shared" si="23"/>
        <v/>
      </c>
      <c r="U234" s="515" t="s">
        <v>89</v>
      </c>
      <c r="V234" s="515" t="s">
        <v>2482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3642</v>
      </c>
      <c r="B235" s="79" t="s">
        <v>1106</v>
      </c>
      <c r="C235" s="597" t="s">
        <v>1104</v>
      </c>
      <c r="D235" s="515">
        <v>4750693.0</v>
      </c>
      <c r="E235" s="505" t="s">
        <v>18</v>
      </c>
      <c r="F235" s="505" t="s">
        <v>29</v>
      </c>
      <c r="G235" s="505" t="s">
        <v>2052</v>
      </c>
      <c r="H235" s="505" t="str">
        <f>IFERROR(VLOOKUP(G235,'Cadastro de assessores'!A:B,2,FALSE),"Não Cadastrado")</f>
        <v>18256</v>
      </c>
      <c r="I235" s="505"/>
      <c r="J235" s="505" t="s">
        <v>88</v>
      </c>
      <c r="K235" s="505" t="s">
        <v>88</v>
      </c>
      <c r="L235" s="515" t="s">
        <v>3659</v>
      </c>
      <c r="M235" s="592">
        <v>44228.0</v>
      </c>
      <c r="N235" s="592">
        <v>44166.0</v>
      </c>
      <c r="O235" s="515"/>
      <c r="P235" s="515" t="s">
        <v>4353</v>
      </c>
      <c r="Q235" s="594">
        <v>0.012</v>
      </c>
      <c r="R235" s="601"/>
      <c r="S235" s="595"/>
      <c r="T235" s="515" t="str">
        <f t="shared" si="23"/>
        <v/>
      </c>
      <c r="U235" s="515" t="s">
        <v>89</v>
      </c>
      <c r="V235" s="515" t="s">
        <v>2950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3642</v>
      </c>
      <c r="B236" s="79" t="s">
        <v>1114</v>
      </c>
      <c r="C236" s="597" t="s">
        <v>4354</v>
      </c>
      <c r="D236" s="515">
        <v>6164897.0</v>
      </c>
      <c r="E236" s="505" t="s">
        <v>18</v>
      </c>
      <c r="F236" s="505" t="s">
        <v>29</v>
      </c>
      <c r="G236" s="505" t="s">
        <v>58</v>
      </c>
      <c r="H236" s="505">
        <f>IFERROR(VLOOKUP(G236,'Cadastro de assessores'!A:B,2,FALSE),"Não Cadastrado")</f>
        <v>12359</v>
      </c>
      <c r="I236" s="505"/>
      <c r="J236" s="505" t="s">
        <v>88</v>
      </c>
      <c r="K236" s="505"/>
      <c r="L236" s="515" t="s">
        <v>3659</v>
      </c>
      <c r="M236" s="592"/>
      <c r="N236" s="592">
        <v>44845.0</v>
      </c>
      <c r="O236" s="515"/>
      <c r="P236" s="515" t="s">
        <v>3657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3642</v>
      </c>
      <c r="B237" s="79" t="s">
        <v>4355</v>
      </c>
      <c r="C237" s="597" t="s">
        <v>4356</v>
      </c>
      <c r="D237" s="515">
        <v>4744608.0</v>
      </c>
      <c r="E237" s="505" t="s">
        <v>18</v>
      </c>
      <c r="F237" s="505" t="s">
        <v>29</v>
      </c>
      <c r="G237" s="505" t="s">
        <v>58</v>
      </c>
      <c r="H237" s="505">
        <f>IFERROR(VLOOKUP(G237,'Cadastro de assessores'!A:B,2,FALSE),"Não Cadastrado")</f>
        <v>12359</v>
      </c>
      <c r="I237" s="505"/>
      <c r="J237" s="598" t="s">
        <v>2393</v>
      </c>
      <c r="K237" s="505" t="s">
        <v>88</v>
      </c>
      <c r="L237" s="515" t="s">
        <v>3646</v>
      </c>
      <c r="M237" s="592">
        <v>44218.0</v>
      </c>
      <c r="N237" s="592">
        <v>44218.0</v>
      </c>
      <c r="O237" s="599">
        <v>44887.0</v>
      </c>
      <c r="P237" s="515" t="s">
        <v>3647</v>
      </c>
      <c r="Q237" s="594">
        <v>0.02</v>
      </c>
      <c r="R237" s="601" t="s">
        <v>4357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89</v>
      </c>
      <c r="V237" s="515" t="s">
        <v>2421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3642</v>
      </c>
      <c r="B238" s="79" t="s">
        <v>4358</v>
      </c>
      <c r="C238" s="597" t="s">
        <v>4359</v>
      </c>
      <c r="D238" s="515">
        <v>8424056.0</v>
      </c>
      <c r="E238" s="505" t="s">
        <v>86</v>
      </c>
      <c r="F238" s="505" t="s">
        <v>29</v>
      </c>
      <c r="G238" s="505" t="s">
        <v>3997</v>
      </c>
      <c r="H238" s="505">
        <f>IFERROR(VLOOKUP(G238,'Cadastro de assessores'!A:B,2,FALSE),"Não Cadastrado")</f>
        <v>12352</v>
      </c>
      <c r="I238" s="505"/>
      <c r="J238" s="505" t="s">
        <v>88</v>
      </c>
      <c r="K238" s="505" t="s">
        <v>88</v>
      </c>
      <c r="L238" s="515" t="s">
        <v>3659</v>
      </c>
      <c r="M238" s="605">
        <v>44665.0</v>
      </c>
      <c r="N238" s="605">
        <v>44673.0</v>
      </c>
      <c r="O238" s="515"/>
      <c r="P238" s="515" t="s">
        <v>3660</v>
      </c>
      <c r="Q238" s="594">
        <v>0.007</v>
      </c>
      <c r="R238" s="517" t="s">
        <v>4360</v>
      </c>
      <c r="S238" s="595"/>
      <c r="T238" s="515" t="str">
        <f t="shared" si="24"/>
        <v>Qualificado</v>
      </c>
      <c r="U238" s="515" t="s">
        <v>89</v>
      </c>
      <c r="V238" s="515" t="s">
        <v>2771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3642</v>
      </c>
      <c r="B239" s="79" t="s">
        <v>4361</v>
      </c>
      <c r="C239" s="597" t="s">
        <v>4362</v>
      </c>
      <c r="D239" s="515">
        <v>2009210.0</v>
      </c>
      <c r="E239" s="505" t="s">
        <v>18</v>
      </c>
      <c r="F239" s="505" t="s">
        <v>29</v>
      </c>
      <c r="G239" s="505" t="s">
        <v>3528</v>
      </c>
      <c r="H239" s="505" t="str">
        <f>IFERROR(VLOOKUP(G239,'Cadastro de assessores'!A:B,2,FALSE),"Não Cadastrado")</f>
        <v>19352</v>
      </c>
      <c r="I239" s="505"/>
      <c r="J239" s="505" t="s">
        <v>88</v>
      </c>
      <c r="K239" s="505" t="s">
        <v>88</v>
      </c>
      <c r="L239" s="515" t="s">
        <v>3659</v>
      </c>
      <c r="M239" s="592">
        <v>43775.0</v>
      </c>
      <c r="N239" s="592">
        <v>43775.0</v>
      </c>
      <c r="O239" s="515"/>
      <c r="P239" s="515" t="s">
        <v>3664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89</v>
      </c>
      <c r="V239" s="515" t="s">
        <v>2453</v>
      </c>
      <c r="W239" s="515" t="s">
        <v>29</v>
      </c>
      <c r="X239" s="596" t="s">
        <v>4363</v>
      </c>
      <c r="Y239" s="596"/>
      <c r="Z239" s="596" t="s">
        <v>4364</v>
      </c>
      <c r="AA239" s="596" t="s">
        <v>4365</v>
      </c>
      <c r="AB239" s="596" t="s">
        <v>4366</v>
      </c>
      <c r="AC239" s="596" t="s">
        <v>4367</v>
      </c>
      <c r="AD239" s="596" t="s">
        <v>4368</v>
      </c>
      <c r="AE239" s="596" t="s">
        <v>4369</v>
      </c>
      <c r="AF239" s="596" t="s">
        <v>4370</v>
      </c>
      <c r="AG239" s="596" t="s">
        <v>4371</v>
      </c>
      <c r="AH239" s="596" t="s">
        <v>4372</v>
      </c>
      <c r="AI239" s="596" t="s">
        <v>4373</v>
      </c>
      <c r="AJ239" s="596" t="s">
        <v>4374</v>
      </c>
      <c r="AK239" s="596" t="s">
        <v>4375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3642</v>
      </c>
      <c r="B240" s="79" t="s">
        <v>4376</v>
      </c>
      <c r="C240" s="597" t="s">
        <v>4377</v>
      </c>
      <c r="D240" s="515">
        <v>480281.0</v>
      </c>
      <c r="E240" s="515" t="s">
        <v>18</v>
      </c>
      <c r="F240" s="515" t="s">
        <v>29</v>
      </c>
      <c r="G240" s="515" t="s">
        <v>4143</v>
      </c>
      <c r="H240" s="515" t="str">
        <f>IFERROR(VLOOKUP(G240,'Cadastro de assessores'!A:B,2,FALSE),"Não Cadastrado")</f>
        <v>12846</v>
      </c>
      <c r="I240" s="515"/>
      <c r="J240" s="598" t="s">
        <v>2393</v>
      </c>
      <c r="K240" s="515" t="s">
        <v>2393</v>
      </c>
      <c r="L240" s="515" t="s">
        <v>3646</v>
      </c>
      <c r="M240" s="600">
        <v>44166.0</v>
      </c>
      <c r="N240" s="600">
        <v>44166.0</v>
      </c>
      <c r="O240" s="600">
        <v>44378.0</v>
      </c>
      <c r="P240" s="515" t="s">
        <v>3651</v>
      </c>
      <c r="Q240" s="594">
        <v>0.005</v>
      </c>
      <c r="R240" s="601" t="s">
        <v>4144</v>
      </c>
      <c r="S240" s="595"/>
      <c r="T240" s="515" t="str">
        <f t="shared" si="24"/>
        <v/>
      </c>
      <c r="U240" s="515" t="s">
        <v>89</v>
      </c>
      <c r="V240" s="515" t="s">
        <v>2444</v>
      </c>
      <c r="W240" s="515" t="s">
        <v>29</v>
      </c>
      <c r="X240" s="596" t="s">
        <v>3653</v>
      </c>
      <c r="Y240" s="596" t="s">
        <v>3653</v>
      </c>
      <c r="Z240" s="596" t="s">
        <v>3653</v>
      </c>
      <c r="AA240" s="596" t="s">
        <v>3653</v>
      </c>
      <c r="AB240" s="596" t="s">
        <v>3653</v>
      </c>
      <c r="AC240" s="596" t="s">
        <v>3653</v>
      </c>
      <c r="AD240" s="596" t="s">
        <v>3653</v>
      </c>
      <c r="AE240" s="596" t="s">
        <v>3653</v>
      </c>
      <c r="AF240" s="596" t="s">
        <v>3653</v>
      </c>
      <c r="AG240" s="596" t="s">
        <v>3653</v>
      </c>
      <c r="AH240" s="596" t="s">
        <v>3653</v>
      </c>
      <c r="AI240" s="596" t="s">
        <v>3653</v>
      </c>
      <c r="AJ240" s="596" t="s">
        <v>3653</v>
      </c>
      <c r="AK240" s="596" t="s">
        <v>3653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2396</v>
      </c>
      <c r="BF240" s="443" t="s">
        <v>2396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3642</v>
      </c>
      <c r="B241" s="79" t="s">
        <v>1136</v>
      </c>
      <c r="C241" s="597" t="s">
        <v>4378</v>
      </c>
      <c r="D241" s="648">
        <v>9183025.0</v>
      </c>
      <c r="E241" s="505" t="s">
        <v>18</v>
      </c>
      <c r="F241" s="505" t="s">
        <v>19</v>
      </c>
      <c r="G241" s="505" t="s">
        <v>201</v>
      </c>
      <c r="H241" s="515" t="str">
        <f>IFERROR(VLOOKUP(G241,'Cadastro de assessores'!A:B,2,FALSE),"Não Cadastrado")</f>
        <v>18890</v>
      </c>
      <c r="I241" s="515"/>
      <c r="J241" s="505" t="s">
        <v>88</v>
      </c>
      <c r="K241" s="649" t="s">
        <v>116</v>
      </c>
      <c r="L241" s="649"/>
      <c r="M241" s="649" t="s">
        <v>2430</v>
      </c>
      <c r="N241" s="650">
        <v>44806.0</v>
      </c>
      <c r="O241" s="515"/>
      <c r="P241" s="515" t="s">
        <v>3660</v>
      </c>
      <c r="Q241" s="594">
        <v>0.012</v>
      </c>
      <c r="R241" s="601" t="s">
        <v>3757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3642</v>
      </c>
      <c r="B242" s="79" t="s">
        <v>1143</v>
      </c>
      <c r="C242" s="597" t="s">
        <v>4379</v>
      </c>
      <c r="D242" s="648">
        <v>2278886.0</v>
      </c>
      <c r="E242" s="505" t="s">
        <v>18</v>
      </c>
      <c r="F242" s="505" t="s">
        <v>19</v>
      </c>
      <c r="G242" s="505" t="s">
        <v>1672</v>
      </c>
      <c r="H242" s="505"/>
      <c r="I242" s="505"/>
      <c r="J242" s="651" t="s">
        <v>88</v>
      </c>
      <c r="K242" s="505"/>
      <c r="L242" s="649"/>
      <c r="M242" s="650"/>
      <c r="N242" s="592">
        <v>44950.0</v>
      </c>
      <c r="O242" s="515"/>
      <c r="P242" s="515" t="s">
        <v>3647</v>
      </c>
      <c r="Q242" s="594">
        <v>0.02</v>
      </c>
      <c r="R242" s="601"/>
      <c r="S242" s="595"/>
      <c r="T242" s="515"/>
      <c r="U242" s="515"/>
      <c r="V242" s="515"/>
      <c r="W242" s="515" t="s">
        <v>1144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3642</v>
      </c>
      <c r="B243" s="79" t="s">
        <v>2894</v>
      </c>
      <c r="C243" s="597" t="s">
        <v>2892</v>
      </c>
      <c r="D243" s="648">
        <v>4064668.0</v>
      </c>
      <c r="E243" s="505" t="s">
        <v>18</v>
      </c>
      <c r="F243" s="505" t="s">
        <v>29</v>
      </c>
      <c r="G243" s="505" t="s">
        <v>2435</v>
      </c>
      <c r="H243" s="505" t="str">
        <f>IFERROR(VLOOKUP(G243,'Cadastro de assessores'!A:B,2,FALSE),"Não Cadastrado")</f>
        <v>18836</v>
      </c>
      <c r="I243" s="505"/>
      <c r="J243" s="505" t="s">
        <v>88</v>
      </c>
      <c r="K243" s="505" t="s">
        <v>88</v>
      </c>
      <c r="L243" s="649" t="s">
        <v>3659</v>
      </c>
      <c r="M243" s="650">
        <v>44277.0</v>
      </c>
      <c r="N243" s="650">
        <v>44285.0</v>
      </c>
      <c r="O243" s="515"/>
      <c r="P243" s="515" t="s">
        <v>3651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89</v>
      </c>
      <c r="V243" s="515" t="s">
        <v>2494</v>
      </c>
      <c r="W243" s="515" t="s">
        <v>715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3642</v>
      </c>
      <c r="B244" s="79" t="s">
        <v>4380</v>
      </c>
      <c r="C244" s="597" t="s">
        <v>4381</v>
      </c>
      <c r="D244" s="620">
        <v>6113871.0</v>
      </c>
      <c r="E244" s="505" t="s">
        <v>18</v>
      </c>
      <c r="F244" s="505" t="s">
        <v>19</v>
      </c>
      <c r="G244" s="505" t="s">
        <v>230</v>
      </c>
      <c r="H244" s="505"/>
      <c r="I244" s="505"/>
      <c r="J244" s="505" t="s">
        <v>88</v>
      </c>
      <c r="K244" s="515"/>
      <c r="L244" s="515"/>
      <c r="M244" s="593"/>
      <c r="N244" s="593">
        <v>44916.0</v>
      </c>
      <c r="O244" s="515"/>
      <c r="P244" s="515" t="s">
        <v>3651</v>
      </c>
      <c r="Q244" s="594">
        <v>0.015</v>
      </c>
      <c r="R244" s="625"/>
      <c r="S244" s="595"/>
      <c r="T244" s="515"/>
      <c r="U244" s="515"/>
      <c r="V244" s="515"/>
      <c r="W244" s="515" t="s">
        <v>635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3642</v>
      </c>
      <c r="B245" s="79" t="s">
        <v>4382</v>
      </c>
      <c r="C245" s="597" t="s">
        <v>4383</v>
      </c>
      <c r="D245" s="515">
        <v>4416789.0</v>
      </c>
      <c r="E245" s="505" t="s">
        <v>86</v>
      </c>
      <c r="F245" s="505" t="s">
        <v>29</v>
      </c>
      <c r="G245" s="505" t="s">
        <v>3913</v>
      </c>
      <c r="H245" s="505" t="str">
        <f>IFERROR(VLOOKUP(G245,'Cadastro de assessores'!A:B,2,FALSE),"Não Cadastrado")</f>
        <v>17243</v>
      </c>
      <c r="I245" s="505"/>
      <c r="J245" s="505" t="s">
        <v>3645</v>
      </c>
      <c r="K245" s="515" t="s">
        <v>116</v>
      </c>
      <c r="L245" s="515" t="s">
        <v>3646</v>
      </c>
      <c r="M245" s="593">
        <v>44127.0</v>
      </c>
      <c r="N245" s="593">
        <v>44130.0</v>
      </c>
      <c r="O245" s="515"/>
      <c r="P245" s="515" t="s">
        <v>3651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89</v>
      </c>
      <c r="V245" s="515" t="s">
        <v>2421</v>
      </c>
      <c r="W245" s="515" t="s">
        <v>29</v>
      </c>
      <c r="X245" s="596" t="s">
        <v>3653</v>
      </c>
      <c r="Y245" s="596" t="s">
        <v>3653</v>
      </c>
      <c r="Z245" s="596" t="s">
        <v>3653</v>
      </c>
      <c r="AA245" s="596" t="s">
        <v>3653</v>
      </c>
      <c r="AB245" s="596" t="s">
        <v>3653</v>
      </c>
      <c r="AC245" s="596" t="s">
        <v>3653</v>
      </c>
      <c r="AD245" s="596" t="s">
        <v>3653</v>
      </c>
      <c r="AE245" s="596" t="s">
        <v>3653</v>
      </c>
      <c r="AF245" s="596" t="s">
        <v>3653</v>
      </c>
      <c r="AG245" s="596" t="s">
        <v>3653</v>
      </c>
      <c r="AH245" s="596" t="s">
        <v>3653</v>
      </c>
      <c r="AI245" s="596" t="s">
        <v>3653</v>
      </c>
      <c r="AJ245" s="596" t="s">
        <v>4384</v>
      </c>
      <c r="AK245" s="596" t="s">
        <v>4385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3642</v>
      </c>
      <c r="B246" s="79" t="s">
        <v>4386</v>
      </c>
      <c r="C246" s="626" t="s">
        <v>4387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88</v>
      </c>
      <c r="K246" s="515" t="s">
        <v>116</v>
      </c>
      <c r="L246" s="515" t="s">
        <v>3659</v>
      </c>
      <c r="M246" s="624" t="s">
        <v>2430</v>
      </c>
      <c r="N246" s="605">
        <v>44816.0</v>
      </c>
      <c r="O246" s="555"/>
      <c r="P246" s="555" t="s">
        <v>3660</v>
      </c>
      <c r="Q246" s="594">
        <v>0.012</v>
      </c>
      <c r="R246" s="475" t="s">
        <v>4388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3642</v>
      </c>
      <c r="B247" s="79" t="s">
        <v>1155</v>
      </c>
      <c r="C247" s="626" t="s">
        <v>4389</v>
      </c>
      <c r="D247" s="591">
        <v>6852608.0</v>
      </c>
      <c r="E247" s="505" t="s">
        <v>18</v>
      </c>
      <c r="F247" s="591" t="s">
        <v>19</v>
      </c>
      <c r="G247" s="505" t="s">
        <v>230</v>
      </c>
      <c r="H247" s="505" t="str">
        <f>IFERROR(VLOOKUP(G247,'Cadastro de assessores'!A:B,2,FALSE),"Não Cadastrado")</f>
        <v>18009</v>
      </c>
      <c r="I247" s="505"/>
      <c r="J247" s="505" t="s">
        <v>88</v>
      </c>
      <c r="K247" s="505" t="s">
        <v>88</v>
      </c>
      <c r="L247" s="515" t="s">
        <v>3659</v>
      </c>
      <c r="M247" s="605">
        <v>44736.0</v>
      </c>
      <c r="N247" s="605">
        <v>44739.0</v>
      </c>
      <c r="O247" s="555"/>
      <c r="P247" s="555" t="s">
        <v>3657</v>
      </c>
      <c r="Q247" s="594">
        <v>0.007</v>
      </c>
      <c r="R247" s="210" t="s">
        <v>4390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89</v>
      </c>
      <c r="V247" s="515" t="s">
        <v>2671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2396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3642</v>
      </c>
      <c r="B248" s="79" t="s">
        <v>2917</v>
      </c>
      <c r="C248" s="597" t="s">
        <v>2915</v>
      </c>
      <c r="D248" s="505">
        <v>4898136.0</v>
      </c>
      <c r="E248" s="505" t="s">
        <v>2379</v>
      </c>
      <c r="F248" s="505" t="s">
        <v>29</v>
      </c>
      <c r="G248" s="505" t="s">
        <v>2379</v>
      </c>
      <c r="H248" s="505" t="str">
        <f>IFERROR(VLOOKUP(G248,'Cadastro de assessores'!A:B,2,FALSE),"Não Cadastrado")</f>
        <v>18986</v>
      </c>
      <c r="I248" s="505"/>
      <c r="J248" s="505" t="s">
        <v>88</v>
      </c>
      <c r="K248" s="505" t="s">
        <v>88</v>
      </c>
      <c r="L248" s="515" t="s">
        <v>3659</v>
      </c>
      <c r="M248" s="592">
        <v>44257.0</v>
      </c>
      <c r="N248" s="592">
        <v>44263.0</v>
      </c>
      <c r="O248" s="515"/>
      <c r="P248" s="515" t="s">
        <v>3660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89</v>
      </c>
      <c r="V248" s="515" t="s">
        <v>2453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3642</v>
      </c>
      <c r="B249" s="79" t="s">
        <v>1169</v>
      </c>
      <c r="C249" s="626" t="s">
        <v>4391</v>
      </c>
      <c r="D249" s="604">
        <v>447631.0</v>
      </c>
      <c r="E249" s="505" t="s">
        <v>18</v>
      </c>
      <c r="F249" s="591" t="s">
        <v>19</v>
      </c>
      <c r="G249" s="505" t="s">
        <v>201</v>
      </c>
      <c r="H249" s="505" t="str">
        <f>IFERROR(VLOOKUP(G249,'Cadastro de assessores'!A:B,2,FALSE),"Não Cadastrado")</f>
        <v>18890</v>
      </c>
      <c r="I249" s="505"/>
      <c r="J249" s="505" t="s">
        <v>88</v>
      </c>
      <c r="K249" s="505" t="s">
        <v>88</v>
      </c>
      <c r="L249" s="515" t="s">
        <v>3659</v>
      </c>
      <c r="M249" s="554">
        <v>44476.0</v>
      </c>
      <c r="N249" s="554">
        <v>44473.0</v>
      </c>
      <c r="O249" s="555"/>
      <c r="P249" s="555" t="s">
        <v>3651</v>
      </c>
      <c r="Q249" s="594">
        <v>0.015</v>
      </c>
      <c r="R249" s="210" t="s">
        <v>3757</v>
      </c>
      <c r="S249" s="595"/>
      <c r="T249" s="515" t="str">
        <f t="shared" si="25"/>
        <v/>
      </c>
      <c r="U249" s="515" t="s">
        <v>89</v>
      </c>
      <c r="V249" s="515" t="s">
        <v>2671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3642</v>
      </c>
      <c r="B250" s="79" t="s">
        <v>4392</v>
      </c>
      <c r="C250" s="597" t="s">
        <v>4393</v>
      </c>
      <c r="D250" s="515">
        <v>4396977.0</v>
      </c>
      <c r="E250" s="505" t="s">
        <v>18</v>
      </c>
      <c r="F250" s="505" t="s">
        <v>29</v>
      </c>
      <c r="G250" s="505" t="s">
        <v>2435</v>
      </c>
      <c r="H250" s="505" t="str">
        <f>IFERROR(VLOOKUP(G250,'Cadastro de assessores'!A:B,2,FALSE),"Não Cadastrado")</f>
        <v>18836</v>
      </c>
      <c r="I250" s="505"/>
      <c r="J250" s="505" t="s">
        <v>3645</v>
      </c>
      <c r="K250" s="515" t="s">
        <v>116</v>
      </c>
      <c r="L250" s="515" t="s">
        <v>3646</v>
      </c>
      <c r="M250" s="592">
        <v>44078.0</v>
      </c>
      <c r="N250" s="592">
        <v>44085.0</v>
      </c>
      <c r="O250" s="515"/>
      <c r="P250" s="515" t="s">
        <v>3647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89</v>
      </c>
      <c r="V250" s="515" t="s">
        <v>2750</v>
      </c>
      <c r="W250" s="515" t="s">
        <v>180</v>
      </c>
      <c r="X250" s="596" t="s">
        <v>3653</v>
      </c>
      <c r="Y250" s="596" t="s">
        <v>3653</v>
      </c>
      <c r="Z250" s="596" t="s">
        <v>3653</v>
      </c>
      <c r="AA250" s="596" t="s">
        <v>3653</v>
      </c>
      <c r="AB250" s="596" t="s">
        <v>3653</v>
      </c>
      <c r="AC250" s="596" t="s">
        <v>3653</v>
      </c>
      <c r="AD250" s="596" t="s">
        <v>3653</v>
      </c>
      <c r="AE250" s="596" t="s">
        <v>3653</v>
      </c>
      <c r="AF250" s="596" t="s">
        <v>3653</v>
      </c>
      <c r="AG250" s="596" t="s">
        <v>3653</v>
      </c>
      <c r="AH250" s="596" t="s">
        <v>3653</v>
      </c>
      <c r="AI250" s="596" t="s">
        <v>4394</v>
      </c>
      <c r="AJ250" s="596" t="s">
        <v>4395</v>
      </c>
      <c r="AK250" s="596" t="s">
        <v>4396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3642</v>
      </c>
      <c r="B251" s="79" t="s">
        <v>1173</v>
      </c>
      <c r="C251" s="597" t="s">
        <v>1170</v>
      </c>
      <c r="D251" s="515">
        <v>4551730.0</v>
      </c>
      <c r="E251" s="505" t="s">
        <v>18</v>
      </c>
      <c r="F251" s="505" t="s">
        <v>29</v>
      </c>
      <c r="G251" s="505" t="s">
        <v>58</v>
      </c>
      <c r="H251" s="505">
        <f>IFERROR(VLOOKUP(G251,'Cadastro de assessores'!A:B,2,FALSE),"Não Cadastrado")</f>
        <v>12359</v>
      </c>
      <c r="I251" s="505"/>
      <c r="J251" s="505" t="s">
        <v>88</v>
      </c>
      <c r="K251" s="505" t="s">
        <v>88</v>
      </c>
      <c r="L251" s="515" t="s">
        <v>3659</v>
      </c>
      <c r="M251" s="592">
        <v>44138.0</v>
      </c>
      <c r="N251" s="592">
        <v>44138.0</v>
      </c>
      <c r="O251" s="515"/>
      <c r="P251" s="515" t="s">
        <v>3660</v>
      </c>
      <c r="Q251" s="594">
        <v>0.012</v>
      </c>
      <c r="R251" s="601" t="s">
        <v>3749</v>
      </c>
      <c r="S251" s="595"/>
      <c r="T251" s="515" t="str">
        <f t="shared" si="25"/>
        <v>Não Qualificado</v>
      </c>
      <c r="U251" s="515" t="s">
        <v>89</v>
      </c>
      <c r="V251" s="515" t="s">
        <v>3313</v>
      </c>
      <c r="W251" s="515" t="s">
        <v>29</v>
      </c>
      <c r="X251" s="596" t="s">
        <v>3653</v>
      </c>
      <c r="Y251" s="596" t="s">
        <v>3653</v>
      </c>
      <c r="Z251" s="596" t="s">
        <v>3653</v>
      </c>
      <c r="AA251" s="596" t="s">
        <v>3653</v>
      </c>
      <c r="AB251" s="596" t="s">
        <v>3653</v>
      </c>
      <c r="AC251" s="596" t="s">
        <v>3653</v>
      </c>
      <c r="AD251" s="596" t="s">
        <v>3653</v>
      </c>
      <c r="AE251" s="596" t="s">
        <v>3653</v>
      </c>
      <c r="AF251" s="596" t="s">
        <v>3653</v>
      </c>
      <c r="AG251" s="596" t="s">
        <v>3653</v>
      </c>
      <c r="AH251" s="596" t="s">
        <v>3653</v>
      </c>
      <c r="AI251" s="596" t="s">
        <v>3653</v>
      </c>
      <c r="AJ251" s="596" t="s">
        <v>4397</v>
      </c>
      <c r="AK251" s="596" t="s">
        <v>4398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3642</v>
      </c>
      <c r="B252" s="79" t="s">
        <v>4399</v>
      </c>
      <c r="C252" s="597" t="s">
        <v>4400</v>
      </c>
      <c r="D252" s="515">
        <v>4416642.0</v>
      </c>
      <c r="E252" s="505" t="s">
        <v>86</v>
      </c>
      <c r="F252" s="505" t="s">
        <v>29</v>
      </c>
      <c r="G252" s="505" t="s">
        <v>3913</v>
      </c>
      <c r="H252" s="505" t="str">
        <f>IFERROR(VLOOKUP(G252,'Cadastro de assessores'!A:B,2,FALSE),"Não Cadastrado")</f>
        <v>17243</v>
      </c>
      <c r="I252" s="505"/>
      <c r="J252" s="505" t="s">
        <v>3645</v>
      </c>
      <c r="K252" s="515" t="s">
        <v>88</v>
      </c>
      <c r="L252" s="515" t="s">
        <v>3646</v>
      </c>
      <c r="M252" s="592">
        <v>44069.0</v>
      </c>
      <c r="N252" s="592">
        <v>44074.0</v>
      </c>
      <c r="O252" s="515"/>
      <c r="P252" s="515" t="s">
        <v>3647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89</v>
      </c>
      <c r="V252" s="515" t="s">
        <v>2421</v>
      </c>
      <c r="W252" s="515" t="s">
        <v>29</v>
      </c>
      <c r="X252" s="596" t="s">
        <v>3653</v>
      </c>
      <c r="Y252" s="596" t="s">
        <v>3653</v>
      </c>
      <c r="Z252" s="596" t="s">
        <v>3653</v>
      </c>
      <c r="AA252" s="596" t="s">
        <v>3653</v>
      </c>
      <c r="AB252" s="596" t="s">
        <v>3653</v>
      </c>
      <c r="AC252" s="596" t="s">
        <v>3653</v>
      </c>
      <c r="AD252" s="596" t="s">
        <v>3653</v>
      </c>
      <c r="AE252" s="596" t="s">
        <v>3653</v>
      </c>
      <c r="AF252" s="596" t="s">
        <v>3653</v>
      </c>
      <c r="AG252" s="596" t="s">
        <v>3653</v>
      </c>
      <c r="AH252" s="596" t="s">
        <v>4401</v>
      </c>
      <c r="AI252" s="596" t="s">
        <v>4402</v>
      </c>
      <c r="AJ252" s="596" t="s">
        <v>4403</v>
      </c>
      <c r="AK252" s="596" t="s">
        <v>4404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3642</v>
      </c>
      <c r="B253" s="79" t="s">
        <v>1179</v>
      </c>
      <c r="C253" s="597" t="s">
        <v>4405</v>
      </c>
      <c r="D253" s="515">
        <v>4307232.0</v>
      </c>
      <c r="E253" s="505" t="s">
        <v>86</v>
      </c>
      <c r="F253" s="505" t="s">
        <v>29</v>
      </c>
      <c r="G253" s="505" t="s">
        <v>3818</v>
      </c>
      <c r="H253" s="505" t="str">
        <f>IFERROR(VLOOKUP(G253,'Cadastro de assessores'!A:B,2,FALSE),"Não Cadastrado")</f>
        <v>16459</v>
      </c>
      <c r="I253" s="505"/>
      <c r="J253" s="505" t="s">
        <v>88</v>
      </c>
      <c r="K253" s="505" t="s">
        <v>88</v>
      </c>
      <c r="L253" s="515" t="s">
        <v>3659</v>
      </c>
      <c r="M253" s="592">
        <v>44050.0</v>
      </c>
      <c r="N253" s="592">
        <v>44054.0</v>
      </c>
      <c r="O253" s="515"/>
      <c r="P253" s="515" t="s">
        <v>3664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89</v>
      </c>
      <c r="V253" s="515" t="s">
        <v>2453</v>
      </c>
      <c r="W253" s="515" t="s">
        <v>29</v>
      </c>
      <c r="X253" s="596" t="s">
        <v>3653</v>
      </c>
      <c r="Y253" s="596" t="s">
        <v>3653</v>
      </c>
      <c r="Z253" s="596" t="s">
        <v>3653</v>
      </c>
      <c r="AA253" s="596" t="s">
        <v>3653</v>
      </c>
      <c r="AB253" s="596" t="s">
        <v>3653</v>
      </c>
      <c r="AC253" s="596" t="s">
        <v>3653</v>
      </c>
      <c r="AD253" s="596" t="s">
        <v>3653</v>
      </c>
      <c r="AE253" s="596" t="s">
        <v>3653</v>
      </c>
      <c r="AF253" s="596" t="s">
        <v>3653</v>
      </c>
      <c r="AG253" s="596" t="s">
        <v>3653</v>
      </c>
      <c r="AH253" s="596" t="s">
        <v>4406</v>
      </c>
      <c r="AI253" s="596" t="s">
        <v>4407</v>
      </c>
      <c r="AJ253" s="596" t="s">
        <v>4408</v>
      </c>
      <c r="AK253" s="596" t="s">
        <v>4409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3642</v>
      </c>
      <c r="B254" s="79" t="s">
        <v>1179</v>
      </c>
      <c r="C254" s="597" t="s">
        <v>4405</v>
      </c>
      <c r="D254" s="515">
        <v>4413569.0</v>
      </c>
      <c r="E254" s="505" t="s">
        <v>86</v>
      </c>
      <c r="F254" s="505" t="s">
        <v>29</v>
      </c>
      <c r="G254" s="505" t="s">
        <v>3818</v>
      </c>
      <c r="H254" s="505" t="str">
        <f>IFERROR(VLOOKUP(G254,'Cadastro de assessores'!A:B,2,FALSE),"Não Cadastrado")</f>
        <v>16459</v>
      </c>
      <c r="I254" s="505"/>
      <c r="J254" s="505" t="s">
        <v>88</v>
      </c>
      <c r="K254" s="505" t="s">
        <v>88</v>
      </c>
      <c r="L254" s="515" t="s">
        <v>3659</v>
      </c>
      <c r="M254" s="592">
        <v>44070.0</v>
      </c>
      <c r="N254" s="592">
        <v>44075.0</v>
      </c>
      <c r="O254" s="555"/>
      <c r="P254" s="555" t="s">
        <v>3693</v>
      </c>
      <c r="Q254" s="594">
        <v>0.015</v>
      </c>
      <c r="R254" s="601" t="s">
        <v>4410</v>
      </c>
      <c r="S254" s="595"/>
      <c r="T254" s="515" t="str">
        <f t="shared" si="25"/>
        <v/>
      </c>
      <c r="U254" s="515" t="s">
        <v>89</v>
      </c>
      <c r="V254" s="515" t="s">
        <v>2453</v>
      </c>
      <c r="W254" s="515" t="s">
        <v>29</v>
      </c>
      <c r="X254" s="596" t="s">
        <v>3653</v>
      </c>
      <c r="Y254" s="596" t="s">
        <v>3653</v>
      </c>
      <c r="Z254" s="596" t="s">
        <v>3653</v>
      </c>
      <c r="AA254" s="596" t="s">
        <v>3653</v>
      </c>
      <c r="AB254" s="596" t="s">
        <v>3653</v>
      </c>
      <c r="AC254" s="596" t="s">
        <v>3653</v>
      </c>
      <c r="AD254" s="596" t="s">
        <v>3653</v>
      </c>
      <c r="AE254" s="596" t="s">
        <v>3653</v>
      </c>
      <c r="AF254" s="596" t="s">
        <v>3653</v>
      </c>
      <c r="AG254" s="596" t="s">
        <v>3653</v>
      </c>
      <c r="AH254" s="596" t="s">
        <v>4411</v>
      </c>
      <c r="AI254" s="596" t="s">
        <v>4412</v>
      </c>
      <c r="AJ254" s="596" t="s">
        <v>4413</v>
      </c>
      <c r="AK254" s="596" t="s">
        <v>4414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3642</v>
      </c>
      <c r="B255" s="79" t="s">
        <v>4415</v>
      </c>
      <c r="C255" s="597" t="s">
        <v>4416</v>
      </c>
      <c r="D255" s="515">
        <v>4871016.0</v>
      </c>
      <c r="E255" s="515" t="s">
        <v>18</v>
      </c>
      <c r="F255" s="515" t="s">
        <v>19</v>
      </c>
      <c r="G255" s="515" t="s">
        <v>230</v>
      </c>
      <c r="H255" s="515" t="str">
        <f>IFERROR(VLOOKUP(G255,'Cadastro de assessores'!A:B,2,FALSE),"Não Cadastrado")</f>
        <v>18009</v>
      </c>
      <c r="I255" s="515"/>
      <c r="J255" s="598" t="s">
        <v>2393</v>
      </c>
      <c r="K255" s="515" t="s">
        <v>2393</v>
      </c>
      <c r="L255" s="652" t="s">
        <v>3646</v>
      </c>
      <c r="M255" s="652" t="s">
        <v>2430</v>
      </c>
      <c r="N255" s="600">
        <v>44252.0</v>
      </c>
      <c r="O255" s="599">
        <v>44524.0</v>
      </c>
      <c r="P255" s="515" t="s">
        <v>3664</v>
      </c>
      <c r="Q255" s="594">
        <v>0.025</v>
      </c>
      <c r="R255" s="601" t="s">
        <v>3850</v>
      </c>
      <c r="S255" s="595"/>
      <c r="T255" s="515" t="str">
        <f t="shared" si="25"/>
        <v>Não Qualificado</v>
      </c>
      <c r="U255" s="515" t="s">
        <v>89</v>
      </c>
      <c r="V255" s="515" t="s">
        <v>2508</v>
      </c>
      <c r="W255" s="515" t="s">
        <v>149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2396</v>
      </c>
      <c r="BF255" s="443" t="s">
        <v>2396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3642</v>
      </c>
      <c r="B256" s="79" t="s">
        <v>1188</v>
      </c>
      <c r="C256" s="597" t="s">
        <v>4417</v>
      </c>
      <c r="D256" s="515">
        <v>4461684.0</v>
      </c>
      <c r="E256" s="505" t="s">
        <v>2379</v>
      </c>
      <c r="F256" s="505" t="s">
        <v>29</v>
      </c>
      <c r="G256" s="505" t="s">
        <v>2379</v>
      </c>
      <c r="H256" s="505" t="str">
        <f>IFERROR(VLOOKUP(G256,'Cadastro de assessores'!A:B,2,FALSE),"Não Cadastrado")</f>
        <v>18986</v>
      </c>
      <c r="I256" s="505"/>
      <c r="J256" s="505" t="s">
        <v>88</v>
      </c>
      <c r="K256" s="505" t="s">
        <v>88</v>
      </c>
      <c r="L256" s="515" t="s">
        <v>3659</v>
      </c>
      <c r="M256" s="593">
        <v>44117.0</v>
      </c>
      <c r="N256" s="593">
        <v>44118.0</v>
      </c>
      <c r="O256" s="515"/>
      <c r="P256" s="515" t="s">
        <v>3660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89</v>
      </c>
      <c r="V256" s="515" t="s">
        <v>2421</v>
      </c>
      <c r="W256" s="515" t="s">
        <v>29</v>
      </c>
      <c r="X256" s="596" t="s">
        <v>3653</v>
      </c>
      <c r="Y256" s="596" t="s">
        <v>3653</v>
      </c>
      <c r="Z256" s="596" t="s">
        <v>3653</v>
      </c>
      <c r="AA256" s="596" t="s">
        <v>3653</v>
      </c>
      <c r="AB256" s="596" t="s">
        <v>3653</v>
      </c>
      <c r="AC256" s="596" t="s">
        <v>3653</v>
      </c>
      <c r="AD256" s="596" t="s">
        <v>3653</v>
      </c>
      <c r="AE256" s="596" t="s">
        <v>3653</v>
      </c>
      <c r="AF256" s="596" t="s">
        <v>3653</v>
      </c>
      <c r="AG256" s="596" t="s">
        <v>3653</v>
      </c>
      <c r="AH256" s="596" t="s">
        <v>3653</v>
      </c>
      <c r="AI256" s="596" t="s">
        <v>3653</v>
      </c>
      <c r="AJ256" s="596" t="s">
        <v>4418</v>
      </c>
      <c r="AK256" s="596" t="s">
        <v>4419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3642</v>
      </c>
      <c r="B257" s="79" t="s">
        <v>4420</v>
      </c>
      <c r="C257" s="564" t="s">
        <v>4421</v>
      </c>
      <c r="D257" s="653">
        <v>58954.0</v>
      </c>
      <c r="E257" s="505" t="s">
        <v>18</v>
      </c>
      <c r="F257" s="505" t="s">
        <v>19</v>
      </c>
      <c r="G257" s="591" t="s">
        <v>1672</v>
      </c>
      <c r="H257" s="505">
        <f>IFERROR(VLOOKUP(G257,'Cadastro de assessores'!A:B,2,FALSE),"Não Cadastrado")</f>
        <v>12350</v>
      </c>
      <c r="I257" s="505"/>
      <c r="J257" s="505" t="s">
        <v>88</v>
      </c>
      <c r="K257" s="515" t="s">
        <v>116</v>
      </c>
      <c r="L257" s="515"/>
      <c r="M257" s="505" t="s">
        <v>2430</v>
      </c>
      <c r="N257" s="654">
        <v>44866.0</v>
      </c>
      <c r="O257" s="555"/>
      <c r="P257" s="555" t="s">
        <v>3657</v>
      </c>
      <c r="Q257" s="594">
        <v>0.005</v>
      </c>
      <c r="R257" s="210" t="s">
        <v>4422</v>
      </c>
      <c r="S257" s="595"/>
      <c r="T257" s="515"/>
      <c r="U257" s="515" t="s">
        <v>89</v>
      </c>
      <c r="V257" s="515" t="s">
        <v>2482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3642</v>
      </c>
      <c r="B258" s="79" t="s">
        <v>4423</v>
      </c>
      <c r="C258" s="564" t="s">
        <v>4424</v>
      </c>
      <c r="D258" s="555">
        <v>8685427.0</v>
      </c>
      <c r="E258" s="505" t="s">
        <v>18</v>
      </c>
      <c r="F258" s="505" t="s">
        <v>29</v>
      </c>
      <c r="G258" s="591" t="s">
        <v>137</v>
      </c>
      <c r="H258" s="505">
        <f>IFERROR(VLOOKUP(G258,'Cadastro de assessores'!A:B,2,FALSE),"Não Cadastrado")</f>
        <v>12344</v>
      </c>
      <c r="I258" s="505"/>
      <c r="J258" s="505" t="s">
        <v>88</v>
      </c>
      <c r="K258" s="505" t="s">
        <v>88</v>
      </c>
      <c r="L258" s="515" t="s">
        <v>3659</v>
      </c>
      <c r="M258" s="654">
        <v>44742.0</v>
      </c>
      <c r="N258" s="654">
        <v>44743.0</v>
      </c>
      <c r="O258" s="555"/>
      <c r="P258" s="555" t="s">
        <v>3657</v>
      </c>
      <c r="Q258" s="594">
        <v>0.007</v>
      </c>
      <c r="R258" s="210" t="s">
        <v>4425</v>
      </c>
      <c r="S258" s="595"/>
      <c r="T258" s="515"/>
      <c r="U258" s="515" t="s">
        <v>89</v>
      </c>
      <c r="V258" s="515" t="s">
        <v>4426</v>
      </c>
      <c r="W258" s="515" t="s">
        <v>195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3642</v>
      </c>
      <c r="B259" s="79" t="s">
        <v>4427</v>
      </c>
      <c r="C259" s="564" t="s">
        <v>4428</v>
      </c>
      <c r="D259" s="555">
        <v>5660556.0</v>
      </c>
      <c r="E259" s="505" t="s">
        <v>18</v>
      </c>
      <c r="F259" s="505" t="s">
        <v>29</v>
      </c>
      <c r="G259" s="591" t="s">
        <v>110</v>
      </c>
      <c r="H259" s="591">
        <f>IFERROR(VLOOKUP(G259,'Cadastro de assessores'!A:B,2,FALSE),"Não Cadastrado")</f>
        <v>12332</v>
      </c>
      <c r="I259" s="591"/>
      <c r="J259" s="505" t="s">
        <v>88</v>
      </c>
      <c r="K259" s="505" t="s">
        <v>88</v>
      </c>
      <c r="L259" s="515" t="s">
        <v>3659</v>
      </c>
      <c r="M259" s="654">
        <v>44357.0</v>
      </c>
      <c r="N259" s="654">
        <v>44361.0</v>
      </c>
      <c r="O259" s="555"/>
      <c r="P259" s="555" t="s">
        <v>3657</v>
      </c>
      <c r="Q259" s="594">
        <v>0.007</v>
      </c>
      <c r="R259" s="634" t="s">
        <v>4429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89</v>
      </c>
      <c r="V259" s="515" t="s">
        <v>2421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3642</v>
      </c>
      <c r="B260" s="79" t="s">
        <v>1198</v>
      </c>
      <c r="C260" s="564" t="s">
        <v>1195</v>
      </c>
      <c r="D260" s="555">
        <v>8479778.0</v>
      </c>
      <c r="E260" s="505" t="s">
        <v>86</v>
      </c>
      <c r="F260" s="505" t="s">
        <v>29</v>
      </c>
      <c r="G260" s="555" t="s">
        <v>4430</v>
      </c>
      <c r="H260" s="505">
        <f>IFERROR(VLOOKUP(G260,'Cadastro de assessores'!A:B,2,FALSE),"Não Cadastrado")</f>
        <v>12357</v>
      </c>
      <c r="I260" s="505"/>
      <c r="J260" s="598" t="s">
        <v>2393</v>
      </c>
      <c r="K260" s="505" t="s">
        <v>88</v>
      </c>
      <c r="L260" s="515" t="s">
        <v>3659</v>
      </c>
      <c r="M260" s="593">
        <v>44684.0</v>
      </c>
      <c r="N260" s="593">
        <v>44683.0</v>
      </c>
      <c r="O260" s="554">
        <v>44936.0</v>
      </c>
      <c r="P260" s="555" t="s">
        <v>3660</v>
      </c>
      <c r="Q260" s="594">
        <v>0.012</v>
      </c>
      <c r="R260" s="601" t="s">
        <v>4431</v>
      </c>
      <c r="S260" s="595"/>
      <c r="T260" s="515" t="str">
        <f t="shared" si="26"/>
        <v/>
      </c>
      <c r="U260" s="515" t="s">
        <v>89</v>
      </c>
      <c r="V260" s="515" t="s">
        <v>2421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3642</v>
      </c>
      <c r="B261" s="79" t="s">
        <v>1201</v>
      </c>
      <c r="C261" s="564" t="s">
        <v>1199</v>
      </c>
      <c r="D261" s="604">
        <v>8155858.0</v>
      </c>
      <c r="E261" s="591" t="s">
        <v>18</v>
      </c>
      <c r="F261" s="591" t="s">
        <v>19</v>
      </c>
      <c r="G261" s="505" t="s">
        <v>230</v>
      </c>
      <c r="H261" s="505" t="str">
        <f>IFERROR(VLOOKUP(G261,'Cadastro de assessores'!A:B,2,FALSE),"Não Cadastrado")</f>
        <v>18009</v>
      </c>
      <c r="I261" s="505"/>
      <c r="J261" s="655" t="s">
        <v>88</v>
      </c>
      <c r="K261" s="655" t="s">
        <v>88</v>
      </c>
      <c r="L261" s="514" t="s">
        <v>3659</v>
      </c>
      <c r="M261" s="605">
        <v>44683.0</v>
      </c>
      <c r="N261" s="605">
        <v>44644.0</v>
      </c>
      <c r="O261" s="515"/>
      <c r="P261" s="515" t="s">
        <v>3657</v>
      </c>
      <c r="Q261" s="594">
        <v>0.007</v>
      </c>
      <c r="R261" s="601" t="s">
        <v>4432</v>
      </c>
      <c r="S261" s="595"/>
      <c r="T261" s="515" t="str">
        <f t="shared" si="26"/>
        <v>Não Qualificado</v>
      </c>
      <c r="U261" s="515" t="s">
        <v>89</v>
      </c>
      <c r="V261" s="515" t="s">
        <v>2771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3642</v>
      </c>
      <c r="B262" s="79" t="s">
        <v>4433</v>
      </c>
      <c r="C262" s="597" t="s">
        <v>4434</v>
      </c>
      <c r="D262" s="515">
        <v>250289.0</v>
      </c>
      <c r="E262" s="515" t="s">
        <v>18</v>
      </c>
      <c r="F262" s="515" t="s">
        <v>29</v>
      </c>
      <c r="G262" s="515" t="s">
        <v>333</v>
      </c>
      <c r="H262" s="515" t="str">
        <f>IFERROR(VLOOKUP(G262,'Cadastro de assessores'!A:B,2,FALSE),"Não Cadastrado")</f>
        <v>18993</v>
      </c>
      <c r="I262" s="515"/>
      <c r="J262" s="598" t="s">
        <v>2393</v>
      </c>
      <c r="K262" s="515" t="s">
        <v>2393</v>
      </c>
      <c r="L262" s="515" t="s">
        <v>3646</v>
      </c>
      <c r="M262" s="600">
        <v>43880.0</v>
      </c>
      <c r="N262" s="600">
        <v>43880.0</v>
      </c>
      <c r="O262" s="600">
        <v>44335.0</v>
      </c>
      <c r="P262" s="515" t="s">
        <v>3664</v>
      </c>
      <c r="Q262" s="594">
        <v>0.01</v>
      </c>
      <c r="R262" s="601" t="s">
        <v>4435</v>
      </c>
      <c r="S262" s="595"/>
      <c r="T262" s="515" t="str">
        <f t="shared" si="26"/>
        <v>Não Qualificado</v>
      </c>
      <c r="U262" s="515" t="s">
        <v>89</v>
      </c>
      <c r="V262" s="515" t="s">
        <v>2421</v>
      </c>
      <c r="W262" s="515" t="s">
        <v>29</v>
      </c>
      <c r="X262" s="596" t="s">
        <v>3653</v>
      </c>
      <c r="Y262" s="596" t="s">
        <v>3653</v>
      </c>
      <c r="Z262" s="596" t="s">
        <v>3653</v>
      </c>
      <c r="AA262" s="596" t="s">
        <v>4436</v>
      </c>
      <c r="AB262" s="596" t="s">
        <v>4437</v>
      </c>
      <c r="AC262" s="596" t="s">
        <v>4438</v>
      </c>
      <c r="AD262" s="596" t="s">
        <v>4439</v>
      </c>
      <c r="AE262" s="596" t="s">
        <v>4440</v>
      </c>
      <c r="AF262" s="596" t="s">
        <v>4441</v>
      </c>
      <c r="AG262" s="596" t="s">
        <v>4442</v>
      </c>
      <c r="AH262" s="596" t="s">
        <v>4443</v>
      </c>
      <c r="AI262" s="596" t="s">
        <v>4444</v>
      </c>
      <c r="AJ262" s="596" t="s">
        <v>4445</v>
      </c>
      <c r="AK262" s="596" t="s">
        <v>4446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2396</v>
      </c>
      <c r="BF262" s="443" t="s">
        <v>2396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3642</v>
      </c>
      <c r="B263" s="79" t="s">
        <v>4447</v>
      </c>
      <c r="C263" s="597" t="s">
        <v>4448</v>
      </c>
      <c r="D263" s="515">
        <v>4847801.0</v>
      </c>
      <c r="E263" s="505" t="s">
        <v>86</v>
      </c>
      <c r="F263" s="505" t="s">
        <v>29</v>
      </c>
      <c r="G263" s="505" t="s">
        <v>3486</v>
      </c>
      <c r="H263" s="505" t="str">
        <f>IFERROR(VLOOKUP(G263,'Cadastro de assessores'!A:B,2,FALSE),"Não Cadastrado")</f>
        <v>14574</v>
      </c>
      <c r="I263" s="505"/>
      <c r="J263" s="505" t="s">
        <v>3645</v>
      </c>
      <c r="K263" s="515" t="s">
        <v>88</v>
      </c>
      <c r="L263" s="515" t="s">
        <v>3646</v>
      </c>
      <c r="M263" s="656">
        <v>44236.0</v>
      </c>
      <c r="N263" s="656">
        <v>44236.0</v>
      </c>
      <c r="O263" s="652"/>
      <c r="P263" s="515" t="s">
        <v>3647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89</v>
      </c>
      <c r="V263" s="515" t="s">
        <v>2410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3642</v>
      </c>
      <c r="B264" s="79" t="s">
        <v>4449</v>
      </c>
      <c r="C264" s="127" t="s">
        <v>4450</v>
      </c>
      <c r="D264" s="555">
        <v>6666003.0</v>
      </c>
      <c r="E264" s="505" t="s">
        <v>2379</v>
      </c>
      <c r="F264" s="505" t="s">
        <v>29</v>
      </c>
      <c r="G264" s="505" t="s">
        <v>2379</v>
      </c>
      <c r="H264" s="505" t="str">
        <f>IFERROR(VLOOKUP(G264,'Cadastro de assessores'!A:B,2,FALSE),"Não Cadastrado")</f>
        <v>18986</v>
      </c>
      <c r="I264" s="505"/>
      <c r="J264" s="657" t="s">
        <v>4451</v>
      </c>
      <c r="K264" s="515" t="s">
        <v>2430</v>
      </c>
      <c r="L264" s="515" t="s">
        <v>3659</v>
      </c>
      <c r="M264" s="636"/>
      <c r="N264" s="657" t="s">
        <v>4451</v>
      </c>
      <c r="O264" s="505"/>
      <c r="P264" s="505" t="s">
        <v>4452</v>
      </c>
      <c r="Q264" s="610">
        <v>0.007</v>
      </c>
      <c r="R264" s="603"/>
      <c r="S264" s="595"/>
      <c r="T264" s="515" t="str">
        <f t="shared" si="26"/>
        <v/>
      </c>
      <c r="U264" s="515" t="s">
        <v>89</v>
      </c>
      <c r="V264" s="127"/>
      <c r="W264" s="555" t="s">
        <v>2430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2396</v>
      </c>
      <c r="BF264" s="443" t="s">
        <v>2396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3642</v>
      </c>
      <c r="B265" s="79" t="s">
        <v>4453</v>
      </c>
      <c r="C265" s="597" t="s">
        <v>4454</v>
      </c>
      <c r="D265" s="515">
        <v>4920389.0</v>
      </c>
      <c r="E265" s="515" t="s">
        <v>18</v>
      </c>
      <c r="F265" s="515" t="s">
        <v>29</v>
      </c>
      <c r="G265" s="515" t="s">
        <v>3650</v>
      </c>
      <c r="H265" s="515" t="str">
        <f>IFERROR(VLOOKUP(G265,'Cadastro de assessores'!A:B,2,FALSE),"Não Cadastrado")</f>
        <v>17679</v>
      </c>
      <c r="I265" s="515"/>
      <c r="J265" s="598" t="s">
        <v>2393</v>
      </c>
      <c r="K265" s="515" t="s">
        <v>2393</v>
      </c>
      <c r="L265" s="515" t="s">
        <v>3646</v>
      </c>
      <c r="M265" s="600">
        <v>44263.0</v>
      </c>
      <c r="N265" s="600">
        <v>44263.0</v>
      </c>
      <c r="O265" s="554">
        <v>44456.0</v>
      </c>
      <c r="P265" s="555" t="s">
        <v>3693</v>
      </c>
      <c r="Q265" s="594">
        <v>0.008</v>
      </c>
      <c r="R265" s="601" t="s">
        <v>3652</v>
      </c>
      <c r="S265" s="595"/>
      <c r="T265" s="515" t="str">
        <f t="shared" si="26"/>
        <v>Não Qualificado</v>
      </c>
      <c r="U265" s="515" t="s">
        <v>89</v>
      </c>
      <c r="V265" s="515" t="s">
        <v>4455</v>
      </c>
      <c r="W265" s="515" t="s">
        <v>1353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2396</v>
      </c>
      <c r="BF265" s="443" t="s">
        <v>2396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3642</v>
      </c>
      <c r="B266" s="79" t="s">
        <v>2932</v>
      </c>
      <c r="C266" s="597" t="s">
        <v>4456</v>
      </c>
      <c r="D266" s="515">
        <v>3518710.0</v>
      </c>
      <c r="E266" s="515" t="s">
        <v>2379</v>
      </c>
      <c r="F266" s="515" t="s">
        <v>29</v>
      </c>
      <c r="G266" s="515" t="s">
        <v>2379</v>
      </c>
      <c r="H266" s="515" t="str">
        <f>IFERROR(VLOOKUP(G266,'Cadastro de assessores'!A:B,2,FALSE),"Não Cadastrado")</f>
        <v>18986</v>
      </c>
      <c r="I266" s="515"/>
      <c r="J266" s="598" t="s">
        <v>2393</v>
      </c>
      <c r="K266" s="515" t="s">
        <v>2393</v>
      </c>
      <c r="L266" s="515" t="s">
        <v>3659</v>
      </c>
      <c r="M266" s="600">
        <v>43717.0</v>
      </c>
      <c r="N266" s="600">
        <v>43717.0</v>
      </c>
      <c r="O266" s="600">
        <v>44705.0</v>
      </c>
      <c r="P266" s="515" t="s">
        <v>4033</v>
      </c>
      <c r="Q266" s="594">
        <v>0.01</v>
      </c>
      <c r="R266" s="517" t="s">
        <v>4457</v>
      </c>
      <c r="S266" s="595"/>
      <c r="T266" s="515" t="str">
        <f t="shared" si="26"/>
        <v>Não Qualificado</v>
      </c>
      <c r="U266" s="515" t="s">
        <v>89</v>
      </c>
      <c r="V266" s="515" t="s">
        <v>2453</v>
      </c>
      <c r="W266" s="515" t="s">
        <v>29</v>
      </c>
      <c r="X266" s="596" t="s">
        <v>4458</v>
      </c>
      <c r="Y266" s="596"/>
      <c r="Z266" s="596" t="s">
        <v>4459</v>
      </c>
      <c r="AA266" s="596" t="s">
        <v>4460</v>
      </c>
      <c r="AB266" s="596" t="s">
        <v>4461</v>
      </c>
      <c r="AC266" s="596" t="s">
        <v>4462</v>
      </c>
      <c r="AD266" s="596" t="s">
        <v>4463</v>
      </c>
      <c r="AE266" s="596" t="s">
        <v>4464</v>
      </c>
      <c r="AF266" s="596" t="s">
        <v>4465</v>
      </c>
      <c r="AG266" s="596" t="s">
        <v>4466</v>
      </c>
      <c r="AH266" s="596" t="s">
        <v>4467</v>
      </c>
      <c r="AI266" s="596" t="s">
        <v>4468</v>
      </c>
      <c r="AJ266" s="596" t="s">
        <v>4469</v>
      </c>
      <c r="AK266" s="596" t="s">
        <v>4470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2396</v>
      </c>
      <c r="BF266" s="443" t="s">
        <v>2396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3642</v>
      </c>
      <c r="B267" s="79" t="s">
        <v>4471</v>
      </c>
      <c r="C267" s="597" t="s">
        <v>4472</v>
      </c>
      <c r="D267" s="515">
        <v>2746879.0</v>
      </c>
      <c r="E267" s="505" t="s">
        <v>86</v>
      </c>
      <c r="F267" s="505" t="s">
        <v>29</v>
      </c>
      <c r="G267" s="505" t="s">
        <v>3948</v>
      </c>
      <c r="H267" s="505" t="str">
        <f>IFERROR(VLOOKUP(G267,'Cadastro de assessores'!A:B,2,FALSE),"Não Cadastrado")</f>
        <v>19157</v>
      </c>
      <c r="I267" s="505"/>
      <c r="J267" s="505" t="s">
        <v>88</v>
      </c>
      <c r="K267" s="505" t="s">
        <v>88</v>
      </c>
      <c r="L267" s="515" t="s">
        <v>3659</v>
      </c>
      <c r="M267" s="592">
        <v>44218.0</v>
      </c>
      <c r="N267" s="592">
        <v>44249.0</v>
      </c>
      <c r="O267" s="515"/>
      <c r="P267" s="515" t="s">
        <v>3664</v>
      </c>
      <c r="Q267" s="594">
        <v>0.025</v>
      </c>
      <c r="R267" s="601"/>
      <c r="S267" s="595"/>
      <c r="T267" s="515" t="str">
        <f t="shared" si="26"/>
        <v/>
      </c>
      <c r="U267" s="515" t="s">
        <v>89</v>
      </c>
      <c r="V267" s="515" t="s">
        <v>2410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3642</v>
      </c>
      <c r="B268" s="79" t="s">
        <v>4473</v>
      </c>
      <c r="C268" s="564" t="s">
        <v>4474</v>
      </c>
      <c r="D268" s="604">
        <v>8392629.0</v>
      </c>
      <c r="E268" s="505" t="s">
        <v>18</v>
      </c>
      <c r="F268" s="505" t="s">
        <v>29</v>
      </c>
      <c r="G268" s="505" t="s">
        <v>761</v>
      </c>
      <c r="H268" s="505">
        <f>IFERROR(VLOOKUP(G268,'Cadastro de assessores'!A:B,2,FALSE),"Não Cadastrado")</f>
        <v>12342</v>
      </c>
      <c r="I268" s="505"/>
      <c r="J268" s="505" t="s">
        <v>88</v>
      </c>
      <c r="K268" s="505" t="s">
        <v>88</v>
      </c>
      <c r="L268" s="515" t="s">
        <v>3659</v>
      </c>
      <c r="M268" s="592">
        <v>44662.0</v>
      </c>
      <c r="N268" s="592">
        <v>44670.0</v>
      </c>
      <c r="O268" s="555"/>
      <c r="P268" s="555" t="s">
        <v>3657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89</v>
      </c>
      <c r="V268" s="515" t="s">
        <v>4475</v>
      </c>
      <c r="W268" s="515" t="s">
        <v>4476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3642</v>
      </c>
      <c r="B269" s="79" t="s">
        <v>1232</v>
      </c>
      <c r="C269" s="597" t="s">
        <v>4477</v>
      </c>
      <c r="D269" s="515">
        <v>3848682.0</v>
      </c>
      <c r="E269" s="505" t="s">
        <v>18</v>
      </c>
      <c r="F269" s="505" t="s">
        <v>29</v>
      </c>
      <c r="G269" s="505" t="s">
        <v>137</v>
      </c>
      <c r="H269" s="505">
        <f>IFERROR(VLOOKUP(G269,'Cadastro de assessores'!A:B,2,FALSE),"Não Cadastrado")</f>
        <v>12344</v>
      </c>
      <c r="I269" s="505"/>
      <c r="J269" s="505" t="s">
        <v>88</v>
      </c>
      <c r="K269" s="505" t="s">
        <v>88</v>
      </c>
      <c r="L269" s="515" t="s">
        <v>3659</v>
      </c>
      <c r="M269" s="592">
        <v>44586.0</v>
      </c>
      <c r="N269" s="592">
        <v>44586.0</v>
      </c>
      <c r="O269" s="471"/>
      <c r="P269" s="555" t="s">
        <v>3657</v>
      </c>
      <c r="Q269" s="594">
        <v>0.007</v>
      </c>
      <c r="R269" s="210" t="s">
        <v>4478</v>
      </c>
      <c r="S269" s="595"/>
      <c r="T269" s="515" t="str">
        <f t="shared" si="26"/>
        <v/>
      </c>
      <c r="U269" s="515" t="s">
        <v>89</v>
      </c>
      <c r="V269" s="515" t="s">
        <v>2421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3642</v>
      </c>
      <c r="B270" s="79" t="s">
        <v>1232</v>
      </c>
      <c r="C270" s="597" t="s">
        <v>4477</v>
      </c>
      <c r="D270" s="515">
        <v>4652696.0</v>
      </c>
      <c r="E270" s="505" t="s">
        <v>18</v>
      </c>
      <c r="F270" s="505" t="s">
        <v>29</v>
      </c>
      <c r="G270" s="505" t="s">
        <v>137</v>
      </c>
      <c r="H270" s="505">
        <f>IFERROR(VLOOKUP(G270,'Cadastro de assessores'!A:B,2,FALSE),"Não Cadastrado")</f>
        <v>12344</v>
      </c>
      <c r="I270" s="505"/>
      <c r="J270" s="505" t="s">
        <v>88</v>
      </c>
      <c r="K270" s="505" t="s">
        <v>88</v>
      </c>
      <c r="L270" s="515" t="s">
        <v>3659</v>
      </c>
      <c r="M270" s="592">
        <v>44188.0</v>
      </c>
      <c r="N270" s="592">
        <v>44194.0</v>
      </c>
      <c r="O270" s="652"/>
      <c r="P270" s="515" t="s">
        <v>3995</v>
      </c>
      <c r="Q270" s="594">
        <v>0.01</v>
      </c>
      <c r="R270" s="210" t="s">
        <v>4479</v>
      </c>
      <c r="S270" s="595"/>
      <c r="T270" s="515" t="str">
        <f t="shared" si="26"/>
        <v/>
      </c>
      <c r="U270" s="515" t="s">
        <v>89</v>
      </c>
      <c r="V270" s="515" t="s">
        <v>2421</v>
      </c>
      <c r="W270" s="515" t="s">
        <v>29</v>
      </c>
      <c r="X270" s="596" t="s">
        <v>3653</v>
      </c>
      <c r="Y270" s="596" t="s">
        <v>3653</v>
      </c>
      <c r="Z270" s="596" t="s">
        <v>3653</v>
      </c>
      <c r="AA270" s="596" t="s">
        <v>3653</v>
      </c>
      <c r="AB270" s="596" t="s">
        <v>3653</v>
      </c>
      <c r="AC270" s="596" t="s">
        <v>3653</v>
      </c>
      <c r="AD270" s="596" t="s">
        <v>3653</v>
      </c>
      <c r="AE270" s="596" t="s">
        <v>3653</v>
      </c>
      <c r="AF270" s="596" t="s">
        <v>3653</v>
      </c>
      <c r="AG270" s="596" t="s">
        <v>3653</v>
      </c>
      <c r="AH270" s="596" t="s">
        <v>3653</v>
      </c>
      <c r="AI270" s="596" t="s">
        <v>3653</v>
      </c>
      <c r="AJ270" s="596" t="s">
        <v>3653</v>
      </c>
      <c r="AK270" s="596" t="s">
        <v>3653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3642</v>
      </c>
      <c r="B271" s="79" t="s">
        <v>1232</v>
      </c>
      <c r="C271" s="597" t="s">
        <v>4477</v>
      </c>
      <c r="D271" s="555">
        <v>7975707.0</v>
      </c>
      <c r="E271" s="505" t="s">
        <v>18</v>
      </c>
      <c r="F271" s="505" t="s">
        <v>29</v>
      </c>
      <c r="G271" s="505" t="s">
        <v>137</v>
      </c>
      <c r="H271" s="505">
        <f>IFERROR(VLOOKUP(G271,'Cadastro de assessores'!A:B,2,FALSE),"Não Cadastrado")</f>
        <v>12344</v>
      </c>
      <c r="I271" s="505"/>
      <c r="J271" s="505" t="s">
        <v>3001</v>
      </c>
      <c r="K271" s="505"/>
      <c r="L271" s="515"/>
      <c r="M271" s="592"/>
      <c r="N271" s="592"/>
      <c r="O271" s="652"/>
      <c r="P271" s="515" t="s">
        <v>3664</v>
      </c>
      <c r="Q271" s="594">
        <v>0.025</v>
      </c>
      <c r="R271" s="210"/>
      <c r="S271" s="595"/>
      <c r="T271" s="515"/>
      <c r="U271" s="515"/>
      <c r="V271" s="515"/>
      <c r="W271" s="515" t="s">
        <v>1353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3642</v>
      </c>
      <c r="B272" s="79" t="s">
        <v>4480</v>
      </c>
      <c r="C272" s="564" t="s">
        <v>4481</v>
      </c>
      <c r="D272" s="555">
        <v>8514028.0</v>
      </c>
      <c r="E272" s="505" t="s">
        <v>18</v>
      </c>
      <c r="F272" s="505" t="s">
        <v>19</v>
      </c>
      <c r="G272" s="555" t="s">
        <v>4482</v>
      </c>
      <c r="H272" s="505">
        <f>IFERROR(VLOOKUP(G272,'Cadastro de assessores'!A:B,2,FALSE),"Não Cadastrado")</f>
        <v>12358</v>
      </c>
      <c r="I272" s="505"/>
      <c r="J272" s="598" t="s">
        <v>2393</v>
      </c>
      <c r="K272" s="505" t="s">
        <v>88</v>
      </c>
      <c r="L272" s="515" t="s">
        <v>3659</v>
      </c>
      <c r="M272" s="592">
        <v>44690.0</v>
      </c>
      <c r="N272" s="592">
        <v>44693.0</v>
      </c>
      <c r="O272" s="599">
        <v>44914.0</v>
      </c>
      <c r="P272" s="515" t="s">
        <v>3693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89</v>
      </c>
      <c r="V272" s="515" t="s">
        <v>2444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3642</v>
      </c>
      <c r="B273" s="79" t="s">
        <v>1269</v>
      </c>
      <c r="C273" s="597" t="s">
        <v>1267</v>
      </c>
      <c r="D273" s="515">
        <v>2358079.0</v>
      </c>
      <c r="E273" s="505" t="s">
        <v>18</v>
      </c>
      <c r="F273" s="505" t="s">
        <v>19</v>
      </c>
      <c r="G273" s="505" t="s">
        <v>3829</v>
      </c>
      <c r="H273" s="505">
        <f>IFERROR(VLOOKUP(G273,'Cadastro de assessores'!A:B,2,FALSE),"Não Cadastrado")</f>
        <v>12351</v>
      </c>
      <c r="I273" s="505"/>
      <c r="J273" s="505" t="s">
        <v>88</v>
      </c>
      <c r="K273" s="505" t="s">
        <v>88</v>
      </c>
      <c r="L273" s="515" t="s">
        <v>3659</v>
      </c>
      <c r="M273" s="592">
        <v>44733.0</v>
      </c>
      <c r="N273" s="592">
        <v>44733.0</v>
      </c>
      <c r="O273" s="515"/>
      <c r="P273" s="515" t="s">
        <v>3660</v>
      </c>
      <c r="Q273" s="594">
        <v>0.012</v>
      </c>
      <c r="R273" s="625" t="s">
        <v>4483</v>
      </c>
      <c r="S273" s="595"/>
      <c r="T273" s="515"/>
      <c r="U273" s="515" t="s">
        <v>89</v>
      </c>
      <c r="V273" s="483" t="s">
        <v>2494</v>
      </c>
      <c r="W273" s="515" t="s">
        <v>715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3642</v>
      </c>
      <c r="B274" s="79" t="s">
        <v>4484</v>
      </c>
      <c r="C274" s="597" t="s">
        <v>4485</v>
      </c>
      <c r="D274" s="515">
        <v>2864258.0</v>
      </c>
      <c r="E274" s="515" t="s">
        <v>2379</v>
      </c>
      <c r="F274" s="515" t="s">
        <v>29</v>
      </c>
      <c r="G274" s="515" t="s">
        <v>2379</v>
      </c>
      <c r="H274" s="515" t="str">
        <f>IFERROR(VLOOKUP(G274,'Cadastro de assessores'!A:B,2,FALSE),"Não Cadastrado")</f>
        <v>18986</v>
      </c>
      <c r="I274" s="515"/>
      <c r="J274" s="598" t="s">
        <v>2393</v>
      </c>
      <c r="K274" s="515" t="s">
        <v>2393</v>
      </c>
      <c r="L274" s="515" t="s">
        <v>3659</v>
      </c>
      <c r="M274" s="600">
        <v>44070.0</v>
      </c>
      <c r="N274" s="600">
        <v>44070.0</v>
      </c>
      <c r="O274" s="515"/>
      <c r="P274" s="515" t="s">
        <v>3647</v>
      </c>
      <c r="Q274" s="594">
        <v>0.02</v>
      </c>
      <c r="R274" s="625" t="s">
        <v>4486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89</v>
      </c>
      <c r="V274" s="483" t="s">
        <v>2410</v>
      </c>
      <c r="W274" s="515" t="s">
        <v>29</v>
      </c>
      <c r="X274" s="596" t="s">
        <v>3653</v>
      </c>
      <c r="Y274" s="596" t="s">
        <v>3653</v>
      </c>
      <c r="Z274" s="596" t="s">
        <v>3653</v>
      </c>
      <c r="AA274" s="596" t="s">
        <v>3653</v>
      </c>
      <c r="AB274" s="596" t="s">
        <v>3653</v>
      </c>
      <c r="AC274" s="596" t="s">
        <v>3653</v>
      </c>
      <c r="AD274" s="596" t="s">
        <v>3653</v>
      </c>
      <c r="AE274" s="596" t="s">
        <v>3653</v>
      </c>
      <c r="AF274" s="596" t="s">
        <v>3653</v>
      </c>
      <c r="AG274" s="596" t="s">
        <v>3653</v>
      </c>
      <c r="AH274" s="596" t="s">
        <v>4487</v>
      </c>
      <c r="AI274" s="596" t="s">
        <v>4488</v>
      </c>
      <c r="AJ274" s="596" t="s">
        <v>4489</v>
      </c>
      <c r="AK274" s="596" t="s">
        <v>4490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3642</v>
      </c>
      <c r="B275" s="79" t="s">
        <v>1292</v>
      </c>
      <c r="C275" s="626" t="s">
        <v>1289</v>
      </c>
      <c r="D275" s="608">
        <v>6879934.0</v>
      </c>
      <c r="E275" s="505" t="s">
        <v>18</v>
      </c>
      <c r="F275" s="591" t="s">
        <v>19</v>
      </c>
      <c r="G275" s="608" t="s">
        <v>201</v>
      </c>
      <c r="H275" s="505" t="str">
        <f>IFERROR(VLOOKUP(G275,'Cadastro de assessores'!A:B,2,FALSE),"Não Cadastrado")</f>
        <v>18890</v>
      </c>
      <c r="I275" s="505"/>
      <c r="J275" s="505" t="s">
        <v>4491</v>
      </c>
      <c r="K275" s="505" t="s">
        <v>88</v>
      </c>
      <c r="L275" s="515" t="s">
        <v>3646</v>
      </c>
      <c r="M275" s="592">
        <v>44567.0</v>
      </c>
      <c r="N275" s="592">
        <v>44568.0</v>
      </c>
      <c r="O275" s="608"/>
      <c r="P275" s="608" t="s">
        <v>4309</v>
      </c>
      <c r="Q275" s="594">
        <v>0.011</v>
      </c>
      <c r="R275" s="210" t="s">
        <v>4492</v>
      </c>
      <c r="S275" s="595"/>
      <c r="T275" s="515" t="str">
        <f t="shared" si="27"/>
        <v>Não Qualificado</v>
      </c>
      <c r="U275" s="515" t="s">
        <v>89</v>
      </c>
      <c r="V275" s="555" t="s">
        <v>4493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3642</v>
      </c>
      <c r="B276" s="79" t="s">
        <v>4494</v>
      </c>
      <c r="C276" s="597" t="s">
        <v>4495</v>
      </c>
      <c r="D276" s="515">
        <v>4386181.0</v>
      </c>
      <c r="E276" s="515" t="s">
        <v>86</v>
      </c>
      <c r="F276" s="515" t="s">
        <v>29</v>
      </c>
      <c r="G276" s="515" t="s">
        <v>3913</v>
      </c>
      <c r="H276" s="515" t="str">
        <f>IFERROR(VLOOKUP(G276,'Cadastro de assessores'!A:B,2,FALSE),"Não Cadastrado")</f>
        <v>17243</v>
      </c>
      <c r="I276" s="515"/>
      <c r="J276" s="598" t="s">
        <v>2393</v>
      </c>
      <c r="K276" s="515" t="s">
        <v>2393</v>
      </c>
      <c r="L276" s="515" t="s">
        <v>3646</v>
      </c>
      <c r="M276" s="600">
        <v>44067.0</v>
      </c>
      <c r="N276" s="600">
        <v>44067.0</v>
      </c>
      <c r="O276" s="515"/>
      <c r="P276" s="515" t="s">
        <v>3664</v>
      </c>
      <c r="Q276" s="594">
        <v>0.025</v>
      </c>
      <c r="R276" s="601" t="s">
        <v>4496</v>
      </c>
      <c r="S276" s="595"/>
      <c r="T276" s="515" t="str">
        <f t="shared" si="27"/>
        <v>Qualificado</v>
      </c>
      <c r="U276" s="515" t="s">
        <v>89</v>
      </c>
      <c r="V276" s="515" t="s">
        <v>2421</v>
      </c>
      <c r="W276" s="515" t="s">
        <v>29</v>
      </c>
      <c r="X276" s="596" t="s">
        <v>3653</v>
      </c>
      <c r="Y276" s="596" t="s">
        <v>3653</v>
      </c>
      <c r="Z276" s="596" t="s">
        <v>3653</v>
      </c>
      <c r="AA276" s="596" t="s">
        <v>3653</v>
      </c>
      <c r="AB276" s="596" t="s">
        <v>3653</v>
      </c>
      <c r="AC276" s="596" t="s">
        <v>3653</v>
      </c>
      <c r="AD276" s="596" t="s">
        <v>3653</v>
      </c>
      <c r="AE276" s="596" t="s">
        <v>3653</v>
      </c>
      <c r="AF276" s="596" t="s">
        <v>3653</v>
      </c>
      <c r="AG276" s="596" t="s">
        <v>3653</v>
      </c>
      <c r="AH276" s="596" t="s">
        <v>4497</v>
      </c>
      <c r="AI276" s="596" t="s">
        <v>4498</v>
      </c>
      <c r="AJ276" s="596" t="s">
        <v>4499</v>
      </c>
      <c r="AK276" s="596" t="s">
        <v>4500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2396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3642</v>
      </c>
      <c r="B277" s="79" t="s">
        <v>4501</v>
      </c>
      <c r="C277" s="597" t="s">
        <v>4502</v>
      </c>
      <c r="D277" s="515">
        <v>4868468.0</v>
      </c>
      <c r="E277" s="505" t="s">
        <v>86</v>
      </c>
      <c r="F277" s="505" t="s">
        <v>29</v>
      </c>
      <c r="G277" s="505" t="s">
        <v>3486</v>
      </c>
      <c r="H277" s="505" t="str">
        <f>IFERROR(VLOOKUP(G277,'Cadastro de assessores'!A:B,2,FALSE),"Não Cadastrado")</f>
        <v>14574</v>
      </c>
      <c r="I277" s="505"/>
      <c r="J277" s="598" t="s">
        <v>2393</v>
      </c>
      <c r="K277" s="505" t="s">
        <v>88</v>
      </c>
      <c r="L277" s="515" t="s">
        <v>3659</v>
      </c>
      <c r="M277" s="592">
        <v>44246.0</v>
      </c>
      <c r="N277" s="592">
        <v>44246.0</v>
      </c>
      <c r="O277" s="600">
        <v>44896.0</v>
      </c>
      <c r="P277" s="515" t="s">
        <v>3651</v>
      </c>
      <c r="Q277" s="594">
        <v>0.015</v>
      </c>
      <c r="R277" s="601" t="s">
        <v>4503</v>
      </c>
      <c r="S277" s="595"/>
      <c r="T277" s="515" t="str">
        <f t="shared" si="27"/>
        <v/>
      </c>
      <c r="U277" s="515" t="s">
        <v>329</v>
      </c>
      <c r="V277" s="515" t="s">
        <v>3233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4504</v>
      </c>
      <c r="AJ277" s="596" t="s">
        <v>4505</v>
      </c>
      <c r="AK277" s="596" t="s">
        <v>4506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3642</v>
      </c>
      <c r="B278" s="79">
        <v>2.69655417E9</v>
      </c>
      <c r="C278" s="597" t="s">
        <v>4507</v>
      </c>
      <c r="D278" s="515">
        <v>3713246.0</v>
      </c>
      <c r="E278" s="515" t="s">
        <v>2379</v>
      </c>
      <c r="F278" s="515" t="s">
        <v>29</v>
      </c>
      <c r="G278" s="515" t="s">
        <v>2379</v>
      </c>
      <c r="H278" s="515" t="str">
        <f>IFERROR(VLOOKUP(G278,'Cadastro de assessores'!A:B,2,FALSE),"Não Cadastrado")</f>
        <v>18986</v>
      </c>
      <c r="I278" s="515"/>
      <c r="J278" s="598" t="s">
        <v>2393</v>
      </c>
      <c r="K278" s="515" t="s">
        <v>2393</v>
      </c>
      <c r="L278" s="515" t="s">
        <v>3646</v>
      </c>
      <c r="M278" s="600">
        <v>43850.0</v>
      </c>
      <c r="N278" s="600">
        <v>43850.0</v>
      </c>
      <c r="O278" s="600">
        <v>44252.0</v>
      </c>
      <c r="P278" s="515" t="s">
        <v>3660</v>
      </c>
      <c r="Q278" s="594">
        <v>0.01</v>
      </c>
      <c r="R278" s="601" t="s">
        <v>4508</v>
      </c>
      <c r="S278" s="595"/>
      <c r="T278" s="515" t="str">
        <f t="shared" si="27"/>
        <v>Não Qualificado</v>
      </c>
      <c r="U278" s="515" t="s">
        <v>89</v>
      </c>
      <c r="V278" s="515" t="s">
        <v>3313</v>
      </c>
      <c r="W278" s="515" t="s">
        <v>29</v>
      </c>
      <c r="X278" s="596" t="s">
        <v>3653</v>
      </c>
      <c r="Y278" s="596" t="s">
        <v>3653</v>
      </c>
      <c r="Z278" s="596" t="s">
        <v>3653</v>
      </c>
      <c r="AA278" s="596" t="s">
        <v>4509</v>
      </c>
      <c r="AB278" s="596" t="s">
        <v>4510</v>
      </c>
      <c r="AC278" s="596" t="s">
        <v>4511</v>
      </c>
      <c r="AD278" s="596" t="s">
        <v>4512</v>
      </c>
      <c r="AE278" s="596" t="s">
        <v>4513</v>
      </c>
      <c r="AF278" s="596" t="s">
        <v>4514</v>
      </c>
      <c r="AG278" s="596" t="s">
        <v>4515</v>
      </c>
      <c r="AH278" s="596" t="s">
        <v>4516</v>
      </c>
      <c r="AI278" s="596" t="s">
        <v>4517</v>
      </c>
      <c r="AJ278" s="596" t="s">
        <v>4518</v>
      </c>
      <c r="AK278" s="596" t="s">
        <v>4519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2396</v>
      </c>
      <c r="BF278" s="443" t="s">
        <v>2396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3642</v>
      </c>
      <c r="B279" s="79" t="s">
        <v>4520</v>
      </c>
      <c r="C279" s="597" t="s">
        <v>4521</v>
      </c>
      <c r="D279" s="515">
        <v>2310651.0</v>
      </c>
      <c r="E279" s="515" t="s">
        <v>2379</v>
      </c>
      <c r="F279" s="515" t="s">
        <v>29</v>
      </c>
      <c r="G279" s="515" t="s">
        <v>2379</v>
      </c>
      <c r="H279" s="515" t="str">
        <f>IFERROR(VLOOKUP(G279,'Cadastro de assessores'!A:B,2,FALSE),"Não Cadastrado")</f>
        <v>18986</v>
      </c>
      <c r="I279" s="515"/>
      <c r="J279" s="598" t="s">
        <v>2393</v>
      </c>
      <c r="K279" s="515" t="s">
        <v>2393</v>
      </c>
      <c r="L279" s="515" t="s">
        <v>3646</v>
      </c>
      <c r="M279" s="600">
        <v>43872.0</v>
      </c>
      <c r="N279" s="600">
        <v>43872.0</v>
      </c>
      <c r="O279" s="600">
        <v>44369.0</v>
      </c>
      <c r="P279" s="515" t="s">
        <v>3651</v>
      </c>
      <c r="Q279" s="594">
        <v>0.015</v>
      </c>
      <c r="R279" s="601" t="s">
        <v>4522</v>
      </c>
      <c r="S279" s="595"/>
      <c r="T279" s="515" t="str">
        <f t="shared" si="27"/>
        <v/>
      </c>
      <c r="U279" s="515" t="s">
        <v>89</v>
      </c>
      <c r="V279" s="515" t="s">
        <v>3313</v>
      </c>
      <c r="W279" s="515" t="s">
        <v>29</v>
      </c>
      <c r="X279" s="596" t="s">
        <v>3653</v>
      </c>
      <c r="Y279" s="596" t="s">
        <v>3653</v>
      </c>
      <c r="Z279" s="596" t="s">
        <v>3653</v>
      </c>
      <c r="AA279" s="596" t="s">
        <v>4523</v>
      </c>
      <c r="AB279" s="596" t="s">
        <v>4524</v>
      </c>
      <c r="AC279" s="596" t="s">
        <v>4525</v>
      </c>
      <c r="AD279" s="596" t="s">
        <v>4526</v>
      </c>
      <c r="AE279" s="596" t="s">
        <v>4527</v>
      </c>
      <c r="AF279" s="596" t="s">
        <v>4528</v>
      </c>
      <c r="AG279" s="596" t="s">
        <v>4529</v>
      </c>
      <c r="AH279" s="596" t="s">
        <v>4530</v>
      </c>
      <c r="AI279" s="596"/>
      <c r="AJ279" s="596" t="s">
        <v>4531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2396</v>
      </c>
      <c r="BF279" s="443" t="s">
        <v>2396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3642</v>
      </c>
      <c r="B280" s="79" t="s">
        <v>4532</v>
      </c>
      <c r="C280" s="564" t="s">
        <v>4533</v>
      </c>
      <c r="D280" s="555">
        <v>2256294.0</v>
      </c>
      <c r="E280" s="505" t="s">
        <v>18</v>
      </c>
      <c r="F280" s="505" t="s">
        <v>19</v>
      </c>
      <c r="G280" s="505" t="s">
        <v>230</v>
      </c>
      <c r="H280" s="505" t="str">
        <f>IFERROR(VLOOKUP(G280,'Cadastro de assessores'!A:B,2,FALSE),"Não Cadastrado")</f>
        <v>18009</v>
      </c>
      <c r="I280" s="505"/>
      <c r="J280" s="505" t="s">
        <v>88</v>
      </c>
      <c r="K280" s="505" t="s">
        <v>88</v>
      </c>
      <c r="L280" s="515" t="s">
        <v>3659</v>
      </c>
      <c r="M280" s="592">
        <v>44421.0</v>
      </c>
      <c r="N280" s="592">
        <v>44421.0</v>
      </c>
      <c r="O280" s="515"/>
      <c r="P280" s="515" t="s">
        <v>3647</v>
      </c>
      <c r="Q280" s="594">
        <v>0.02</v>
      </c>
      <c r="R280" s="475"/>
      <c r="S280" s="595"/>
      <c r="T280" s="515" t="str">
        <f t="shared" si="27"/>
        <v/>
      </c>
      <c r="U280" s="515" t="s">
        <v>89</v>
      </c>
      <c r="V280" s="555" t="s">
        <v>4025</v>
      </c>
      <c r="W280" s="555" t="s">
        <v>635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3642</v>
      </c>
      <c r="B281" s="79" t="s">
        <v>1334</v>
      </c>
      <c r="C281" s="626" t="s">
        <v>1332</v>
      </c>
      <c r="D281" s="604">
        <v>3643555.0</v>
      </c>
      <c r="E281" s="505" t="s">
        <v>18</v>
      </c>
      <c r="F281" s="505" t="s">
        <v>19</v>
      </c>
      <c r="G281" s="505" t="s">
        <v>201</v>
      </c>
      <c r="H281" s="505" t="str">
        <f>IFERROR(VLOOKUP(G281,'Cadastro de assessores'!A:B,2,FALSE),"Não Cadastrado")</f>
        <v>18890</v>
      </c>
      <c r="I281" s="505"/>
      <c r="J281" s="505" t="s">
        <v>88</v>
      </c>
      <c r="K281" s="505" t="s">
        <v>88</v>
      </c>
      <c r="L281" s="515" t="s">
        <v>3659</v>
      </c>
      <c r="M281" s="593">
        <v>44503.0</v>
      </c>
      <c r="N281" s="593">
        <v>44517.0</v>
      </c>
      <c r="O281" s="555"/>
      <c r="P281" s="555" t="s">
        <v>3651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89</v>
      </c>
      <c r="V281" s="515" t="s">
        <v>2671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3642</v>
      </c>
      <c r="B282" s="79" t="s">
        <v>4534</v>
      </c>
      <c r="C282" s="597" t="s">
        <v>4535</v>
      </c>
      <c r="D282" s="515">
        <v>2851864.0</v>
      </c>
      <c r="E282" s="515" t="s">
        <v>86</v>
      </c>
      <c r="F282" s="515" t="s">
        <v>29</v>
      </c>
      <c r="G282" s="515" t="s">
        <v>3913</v>
      </c>
      <c r="H282" s="515" t="str">
        <f>IFERROR(VLOOKUP(G282,'Cadastro de assessores'!A:B,2,FALSE),"Não Cadastrado")</f>
        <v>17243</v>
      </c>
      <c r="I282" s="515"/>
      <c r="J282" s="598" t="s">
        <v>2393</v>
      </c>
      <c r="K282" s="515" t="s">
        <v>2393</v>
      </c>
      <c r="L282" s="515" t="s">
        <v>3646</v>
      </c>
      <c r="M282" s="599">
        <v>44389.0</v>
      </c>
      <c r="N282" s="599">
        <v>44389.0</v>
      </c>
      <c r="O282" s="600">
        <v>44613.0</v>
      </c>
      <c r="P282" s="515" t="s">
        <v>3647</v>
      </c>
      <c r="Q282" s="594">
        <v>0.02</v>
      </c>
      <c r="R282" s="210" t="s">
        <v>4536</v>
      </c>
      <c r="S282" s="595"/>
      <c r="T282" s="515" t="str">
        <f t="shared" si="27"/>
        <v/>
      </c>
      <c r="U282" s="515" t="s">
        <v>89</v>
      </c>
      <c r="V282" s="515" t="s">
        <v>2410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2396</v>
      </c>
      <c r="BF282" s="443" t="s">
        <v>2396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3642</v>
      </c>
      <c r="B283" s="79" t="s">
        <v>4537</v>
      </c>
      <c r="C283" s="597" t="s">
        <v>4538</v>
      </c>
      <c r="D283" s="515">
        <v>4697985.0</v>
      </c>
      <c r="E283" s="515" t="s">
        <v>86</v>
      </c>
      <c r="F283" s="515" t="s">
        <v>29</v>
      </c>
      <c r="G283" s="515" t="s">
        <v>4314</v>
      </c>
      <c r="H283" s="515" t="str">
        <f>IFERROR(VLOOKUP(G283,'Cadastro de assessores'!A:B,2,FALSE),"Não Cadastrado")</f>
        <v>14244</v>
      </c>
      <c r="I283" s="515"/>
      <c r="J283" s="598" t="s">
        <v>2393</v>
      </c>
      <c r="K283" s="515" t="s">
        <v>2393</v>
      </c>
      <c r="L283" s="515" t="s">
        <v>3646</v>
      </c>
      <c r="M283" s="599">
        <v>44187.0</v>
      </c>
      <c r="N283" s="599">
        <v>44187.0</v>
      </c>
      <c r="O283" s="600">
        <v>44467.0</v>
      </c>
      <c r="P283" s="515" t="s">
        <v>3647</v>
      </c>
      <c r="Q283" s="594">
        <v>0.02</v>
      </c>
      <c r="R283" s="601" t="s">
        <v>4539</v>
      </c>
      <c r="S283" s="595"/>
      <c r="T283" s="515" t="str">
        <f t="shared" si="27"/>
        <v/>
      </c>
      <c r="U283" s="515" t="s">
        <v>89</v>
      </c>
      <c r="V283" s="515" t="s">
        <v>2395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4540</v>
      </c>
      <c r="AJ283" s="596" t="s">
        <v>3653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2396</v>
      </c>
      <c r="BF283" s="443" t="s">
        <v>2396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3642</v>
      </c>
      <c r="B284" s="79" t="s">
        <v>1342</v>
      </c>
      <c r="C284" s="564" t="s">
        <v>4541</v>
      </c>
      <c r="D284" s="604">
        <v>5927535.0</v>
      </c>
      <c r="E284" s="505" t="s">
        <v>18</v>
      </c>
      <c r="F284" s="505" t="s">
        <v>19</v>
      </c>
      <c r="G284" s="505" t="s">
        <v>3829</v>
      </c>
      <c r="H284" s="515">
        <f>IFERROR(VLOOKUP(G284,'Cadastro de assessores'!A:B,2,FALSE),"Não Cadastrado")</f>
        <v>12351</v>
      </c>
      <c r="I284" s="515"/>
      <c r="J284" s="505" t="s">
        <v>88</v>
      </c>
      <c r="K284" s="505" t="s">
        <v>88</v>
      </c>
      <c r="L284" s="515" t="s">
        <v>3659</v>
      </c>
      <c r="M284" s="605">
        <v>44776.0</v>
      </c>
      <c r="N284" s="605">
        <v>44776.0</v>
      </c>
      <c r="O284" s="515"/>
      <c r="P284" s="515" t="s">
        <v>3664</v>
      </c>
      <c r="Q284" s="594">
        <v>0.025</v>
      </c>
      <c r="R284" s="210" t="s">
        <v>4542</v>
      </c>
      <c r="S284" s="595"/>
      <c r="T284" s="515"/>
      <c r="U284" s="515" t="s">
        <v>89</v>
      </c>
      <c r="V284" s="515" t="s">
        <v>2482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3642</v>
      </c>
      <c r="B285" s="79" t="s">
        <v>1356</v>
      </c>
      <c r="C285" s="564" t="s">
        <v>1354</v>
      </c>
      <c r="D285" s="604">
        <v>218909.0</v>
      </c>
      <c r="E285" s="505" t="s">
        <v>18</v>
      </c>
      <c r="F285" s="505" t="s">
        <v>29</v>
      </c>
      <c r="G285" s="505" t="s">
        <v>633</v>
      </c>
      <c r="H285" s="555" t="str">
        <f>IFERROR(VLOOKUP(G285,'Cadastro de assessores'!A:B,2,FALSE),"Não Cadastrado")</f>
        <v>18467</v>
      </c>
      <c r="I285" s="555"/>
      <c r="J285" s="505" t="s">
        <v>88</v>
      </c>
      <c r="K285" s="505" t="s">
        <v>88</v>
      </c>
      <c r="L285" s="515" t="s">
        <v>3659</v>
      </c>
      <c r="M285" s="605">
        <v>44658.0</v>
      </c>
      <c r="N285" s="605">
        <v>44659.0</v>
      </c>
      <c r="O285" s="515"/>
      <c r="P285" s="515" t="s">
        <v>3660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89</v>
      </c>
      <c r="V285" s="515" t="s">
        <v>2421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3642</v>
      </c>
      <c r="B286" s="79" t="s">
        <v>2995</v>
      </c>
      <c r="C286" s="597" t="s">
        <v>2992</v>
      </c>
      <c r="D286" s="515">
        <v>2865175.0</v>
      </c>
      <c r="E286" s="515" t="s">
        <v>2379</v>
      </c>
      <c r="F286" s="515" t="s">
        <v>29</v>
      </c>
      <c r="G286" s="515" t="s">
        <v>2379</v>
      </c>
      <c r="H286" s="515" t="str">
        <f>IFERROR(VLOOKUP(G286,'Cadastro de assessores'!A:B,2,FALSE),"Não Cadastrado")</f>
        <v>18986</v>
      </c>
      <c r="I286" s="515"/>
      <c r="J286" s="598" t="s">
        <v>2393</v>
      </c>
      <c r="K286" s="515" t="s">
        <v>2393</v>
      </c>
      <c r="L286" s="515" t="s">
        <v>3646</v>
      </c>
      <c r="M286" s="600">
        <v>43700.0</v>
      </c>
      <c r="N286" s="600">
        <v>43700.0</v>
      </c>
      <c r="O286" s="660">
        <v>44105.0</v>
      </c>
      <c r="P286" s="515" t="s">
        <v>3651</v>
      </c>
      <c r="Q286" s="594">
        <v>0.01</v>
      </c>
      <c r="R286" s="601" t="s">
        <v>4543</v>
      </c>
      <c r="S286" s="595"/>
      <c r="T286" s="515" t="str">
        <f t="shared" si="28"/>
        <v/>
      </c>
      <c r="U286" s="515" t="s">
        <v>89</v>
      </c>
      <c r="V286" s="515" t="s">
        <v>2395</v>
      </c>
      <c r="W286" s="515" t="s">
        <v>29</v>
      </c>
      <c r="X286" s="596" t="s">
        <v>4544</v>
      </c>
      <c r="Y286" s="596"/>
      <c r="Z286" s="596" t="s">
        <v>4545</v>
      </c>
      <c r="AA286" s="596" t="s">
        <v>4546</v>
      </c>
      <c r="AB286" s="596" t="s">
        <v>4547</v>
      </c>
      <c r="AC286" s="596" t="s">
        <v>4548</v>
      </c>
      <c r="AD286" s="596" t="s">
        <v>4549</v>
      </c>
      <c r="AE286" s="596" t="s">
        <v>4550</v>
      </c>
      <c r="AF286" s="596" t="s">
        <v>4551</v>
      </c>
      <c r="AG286" s="596" t="s">
        <v>4552</v>
      </c>
      <c r="AH286" s="596" t="s">
        <v>4553</v>
      </c>
      <c r="AI286" s="596" t="s">
        <v>3653</v>
      </c>
      <c r="AJ286" s="596" t="s">
        <v>3653</v>
      </c>
      <c r="AK286" s="596" t="s">
        <v>3653</v>
      </c>
      <c r="AL286" s="443">
        <v>332098.88</v>
      </c>
      <c r="AM286" s="443">
        <v>324200.71</v>
      </c>
      <c r="AN286" s="443" t="s">
        <v>2430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2396</v>
      </c>
      <c r="BF286" s="443" t="s">
        <v>2396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3642</v>
      </c>
      <c r="B287" s="79" t="s">
        <v>1360</v>
      </c>
      <c r="C287" s="597" t="s">
        <v>1357</v>
      </c>
      <c r="D287" s="515">
        <v>4954616.0</v>
      </c>
      <c r="E287" s="515" t="s">
        <v>18</v>
      </c>
      <c r="F287" s="515" t="s">
        <v>19</v>
      </c>
      <c r="G287" s="515" t="s">
        <v>201</v>
      </c>
      <c r="H287" s="515"/>
      <c r="I287" s="515"/>
      <c r="J287" s="515"/>
      <c r="K287" s="515"/>
      <c r="L287" s="515" t="s">
        <v>3001</v>
      </c>
      <c r="M287" s="600"/>
      <c r="N287" s="600"/>
      <c r="O287" s="599"/>
      <c r="P287" s="515" t="s">
        <v>3657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3642</v>
      </c>
      <c r="B288" s="573" t="s">
        <v>4554</v>
      </c>
      <c r="C288" s="597" t="s">
        <v>4555</v>
      </c>
      <c r="D288" s="515">
        <v>9398037.0</v>
      </c>
      <c r="E288" s="515" t="s">
        <v>18</v>
      </c>
      <c r="F288" s="515" t="s">
        <v>29</v>
      </c>
      <c r="G288" s="515" t="s">
        <v>761</v>
      </c>
      <c r="H288" s="515"/>
      <c r="I288" s="515"/>
      <c r="J288" s="515"/>
      <c r="K288" s="515"/>
      <c r="L288" s="515" t="s">
        <v>3001</v>
      </c>
      <c r="M288" s="600"/>
      <c r="N288" s="600"/>
      <c r="O288" s="599"/>
      <c r="P288" s="515" t="s">
        <v>3651</v>
      </c>
      <c r="Q288" s="594">
        <v>0.015</v>
      </c>
      <c r="R288" s="601" t="s">
        <v>4556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3642</v>
      </c>
      <c r="B289" s="79" t="s">
        <v>4557</v>
      </c>
      <c r="C289" s="597" t="s">
        <v>4558</v>
      </c>
      <c r="D289" s="515">
        <v>4645513.0</v>
      </c>
      <c r="E289" s="515" t="s">
        <v>86</v>
      </c>
      <c r="F289" s="515" t="s">
        <v>29</v>
      </c>
      <c r="G289" s="515" t="s">
        <v>3901</v>
      </c>
      <c r="H289" s="515" t="str">
        <f>IFERROR(VLOOKUP(G289,'Cadastro de assessores'!A:B,2,FALSE),"Não Cadastrado")</f>
        <v>19634</v>
      </c>
      <c r="I289" s="515"/>
      <c r="J289" s="598" t="s">
        <v>2393</v>
      </c>
      <c r="K289" s="515" t="s">
        <v>2393</v>
      </c>
      <c r="L289" s="515" t="s">
        <v>3646</v>
      </c>
      <c r="M289" s="600">
        <v>44172.0</v>
      </c>
      <c r="N289" s="600">
        <v>44172.0</v>
      </c>
      <c r="O289" s="599">
        <v>44495.0</v>
      </c>
      <c r="P289" s="515" t="s">
        <v>3647</v>
      </c>
      <c r="Q289" s="594">
        <v>0.02</v>
      </c>
      <c r="R289" s="601" t="s">
        <v>4559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89</v>
      </c>
      <c r="V289" s="515" t="s">
        <v>4560</v>
      </c>
      <c r="W289" s="515" t="s">
        <v>19</v>
      </c>
      <c r="X289" s="596" t="s">
        <v>3653</v>
      </c>
      <c r="Y289" s="596" t="s">
        <v>3653</v>
      </c>
      <c r="Z289" s="596" t="s">
        <v>3653</v>
      </c>
      <c r="AA289" s="596" t="s">
        <v>3653</v>
      </c>
      <c r="AB289" s="596" t="s">
        <v>3653</v>
      </c>
      <c r="AC289" s="596" t="s">
        <v>3653</v>
      </c>
      <c r="AD289" s="596" t="s">
        <v>3653</v>
      </c>
      <c r="AE289" s="596" t="s">
        <v>3653</v>
      </c>
      <c r="AF289" s="596" t="s">
        <v>3653</v>
      </c>
      <c r="AG289" s="596" t="s">
        <v>3653</v>
      </c>
      <c r="AH289" s="596" t="s">
        <v>3653</v>
      </c>
      <c r="AI289" s="596" t="s">
        <v>3653</v>
      </c>
      <c r="AJ289" s="596" t="s">
        <v>4561</v>
      </c>
      <c r="AK289" s="596" t="s">
        <v>4562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2396</v>
      </c>
      <c r="BF289" s="443" t="s">
        <v>2396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3642</v>
      </c>
      <c r="B290" s="79" t="s">
        <v>1367</v>
      </c>
      <c r="C290" s="564" t="s">
        <v>3507</v>
      </c>
      <c r="D290" s="555">
        <v>8126020.0</v>
      </c>
      <c r="E290" s="505" t="s">
        <v>18</v>
      </c>
      <c r="F290" s="591" t="s">
        <v>29</v>
      </c>
      <c r="G290" s="555" t="s">
        <v>2052</v>
      </c>
      <c r="H290" s="555"/>
      <c r="I290" s="555"/>
      <c r="J290" s="505" t="s">
        <v>3001</v>
      </c>
      <c r="K290" s="505"/>
      <c r="L290" s="515"/>
      <c r="M290" s="592"/>
      <c r="N290" s="592"/>
      <c r="O290" s="515"/>
      <c r="P290" s="515" t="s">
        <v>3651</v>
      </c>
      <c r="Q290" s="594">
        <v>0.015</v>
      </c>
      <c r="R290" s="210" t="s">
        <v>4563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3642</v>
      </c>
      <c r="B291" s="79" t="s">
        <v>4564</v>
      </c>
      <c r="C291" s="564" t="s">
        <v>4565</v>
      </c>
      <c r="D291" s="555">
        <v>5905556.0</v>
      </c>
      <c r="E291" s="505" t="s">
        <v>18</v>
      </c>
      <c r="F291" s="591" t="s">
        <v>29</v>
      </c>
      <c r="G291" s="555" t="s">
        <v>2633</v>
      </c>
      <c r="H291" s="555" t="str">
        <f>IFERROR(VLOOKUP(G291,'Cadastro de assessores'!A:B,2,FALSE),"Não Cadastrado")</f>
        <v>18236</v>
      </c>
      <c r="I291" s="555"/>
      <c r="J291" s="505" t="s">
        <v>88</v>
      </c>
      <c r="K291" s="505" t="s">
        <v>88</v>
      </c>
      <c r="L291" s="515" t="s">
        <v>3659</v>
      </c>
      <c r="M291" s="592">
        <v>44389.0</v>
      </c>
      <c r="N291" s="592">
        <v>44393.0</v>
      </c>
      <c r="O291" s="515"/>
      <c r="P291" s="515" t="s">
        <v>3647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89</v>
      </c>
      <c r="V291" s="515" t="s">
        <v>2395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3642</v>
      </c>
      <c r="B292" s="79" t="s">
        <v>4566</v>
      </c>
      <c r="C292" s="597" t="s">
        <v>4567</v>
      </c>
      <c r="D292" s="515">
        <v>4554462.0</v>
      </c>
      <c r="E292" s="515" t="s">
        <v>86</v>
      </c>
      <c r="F292" s="515" t="s">
        <v>29</v>
      </c>
      <c r="G292" s="515" t="s">
        <v>4568</v>
      </c>
      <c r="H292" s="515" t="str">
        <f>IFERROR(VLOOKUP(G292,'Cadastro de assessores'!A:B,2,FALSE),"Não Cadastrado")</f>
        <v>12639</v>
      </c>
      <c r="I292" s="515"/>
      <c r="J292" s="598" t="s">
        <v>2393</v>
      </c>
      <c r="K292" s="515" t="s">
        <v>2393</v>
      </c>
      <c r="L292" s="515" t="s">
        <v>3646</v>
      </c>
      <c r="M292" s="599">
        <v>44130.0</v>
      </c>
      <c r="N292" s="599">
        <v>44130.0</v>
      </c>
      <c r="O292" s="600">
        <v>44538.0</v>
      </c>
      <c r="P292" s="515" t="s">
        <v>3651</v>
      </c>
      <c r="Q292" s="594">
        <v>0.015</v>
      </c>
      <c r="R292" s="601" t="s">
        <v>4569</v>
      </c>
      <c r="S292" s="595"/>
      <c r="T292" s="515" t="str">
        <f t="shared" si="29"/>
        <v>Não Qualificado</v>
      </c>
      <c r="U292" s="515" t="s">
        <v>89</v>
      </c>
      <c r="V292" s="515" t="s">
        <v>2453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4570</v>
      </c>
      <c r="AK292" s="596" t="s">
        <v>4562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2396</v>
      </c>
      <c r="BF292" s="443" t="s">
        <v>2396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3642</v>
      </c>
      <c r="B293" s="79" t="s">
        <v>4571</v>
      </c>
      <c r="C293" s="564" t="s">
        <v>4572</v>
      </c>
      <c r="D293" s="591">
        <v>4988368.0</v>
      </c>
      <c r="E293" s="505" t="s">
        <v>18</v>
      </c>
      <c r="F293" s="505" t="s">
        <v>29</v>
      </c>
      <c r="G293" s="505" t="s">
        <v>2760</v>
      </c>
      <c r="H293" s="515" t="str">
        <f>IFERROR(VLOOKUP(G293,'Cadastro de assessores'!A:B,2,FALSE),"Não Cadastrado")</f>
        <v>13444</v>
      </c>
      <c r="I293" s="515"/>
      <c r="J293" s="505" t="s">
        <v>88</v>
      </c>
      <c r="K293" s="505" t="s">
        <v>88</v>
      </c>
      <c r="L293" s="515" t="s">
        <v>3659</v>
      </c>
      <c r="M293" s="654">
        <v>44293.0</v>
      </c>
      <c r="N293" s="654">
        <v>44293.0</v>
      </c>
      <c r="O293" s="555"/>
      <c r="P293" s="555" t="s">
        <v>3693</v>
      </c>
      <c r="Q293" s="556">
        <v>0.008</v>
      </c>
      <c r="R293" s="210"/>
      <c r="S293" s="595"/>
      <c r="T293" s="515" t="str">
        <f t="shared" si="29"/>
        <v>Não Qualificado</v>
      </c>
      <c r="U293" s="515" t="s">
        <v>89</v>
      </c>
      <c r="V293" s="515" t="s">
        <v>2486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3642</v>
      </c>
      <c r="B294" s="79" t="s">
        <v>1374</v>
      </c>
      <c r="C294" s="564" t="s">
        <v>4573</v>
      </c>
      <c r="D294" s="604">
        <v>4823267.0</v>
      </c>
      <c r="E294" s="591" t="s">
        <v>18</v>
      </c>
      <c r="F294" s="591" t="s">
        <v>29</v>
      </c>
      <c r="G294" s="505" t="s">
        <v>137</v>
      </c>
      <c r="H294" s="505"/>
      <c r="I294" s="505"/>
      <c r="J294" s="505" t="s">
        <v>88</v>
      </c>
      <c r="K294" s="505"/>
      <c r="L294" s="515" t="s">
        <v>3659</v>
      </c>
      <c r="M294" s="605"/>
      <c r="N294" s="605">
        <v>44945.0</v>
      </c>
      <c r="O294" s="515"/>
      <c r="P294" s="515" t="s">
        <v>3657</v>
      </c>
      <c r="Q294" s="594">
        <v>0.012</v>
      </c>
      <c r="R294" s="601"/>
      <c r="S294" s="595"/>
      <c r="T294" s="515"/>
      <c r="U294" s="515"/>
      <c r="V294" s="515"/>
      <c r="W294" s="515" t="s">
        <v>180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3642</v>
      </c>
      <c r="B295" s="79" t="s">
        <v>4574</v>
      </c>
      <c r="C295" s="564" t="s">
        <v>4575</v>
      </c>
      <c r="D295" s="604">
        <v>8023410.0</v>
      </c>
      <c r="E295" s="591" t="s">
        <v>18</v>
      </c>
      <c r="F295" s="591" t="s">
        <v>19</v>
      </c>
      <c r="G295" s="505" t="s">
        <v>52</v>
      </c>
      <c r="H295" s="505" t="str">
        <f>IFERROR(VLOOKUP(G295,'Cadastro de assessores'!A:B,2,FALSE),"Não Cadastrado")</f>
        <v>17831</v>
      </c>
      <c r="I295" s="505"/>
      <c r="J295" s="505" t="s">
        <v>88</v>
      </c>
      <c r="K295" s="505" t="s">
        <v>88</v>
      </c>
      <c r="L295" s="515" t="s">
        <v>3659</v>
      </c>
      <c r="M295" s="605">
        <v>44617.0</v>
      </c>
      <c r="N295" s="605">
        <v>44642.0</v>
      </c>
      <c r="O295" s="515"/>
      <c r="P295" s="515" t="s">
        <v>3660</v>
      </c>
      <c r="Q295" s="594">
        <v>0.012</v>
      </c>
      <c r="R295" s="601" t="s">
        <v>4576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89</v>
      </c>
      <c r="V295" s="515" t="s">
        <v>2482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3642</v>
      </c>
      <c r="B296" s="79" t="s">
        <v>4577</v>
      </c>
      <c r="C296" s="597" t="s">
        <v>4578</v>
      </c>
      <c r="D296" s="481">
        <v>2417083.0</v>
      </c>
      <c r="E296" s="505" t="s">
        <v>18</v>
      </c>
      <c r="F296" s="505" t="s">
        <v>19</v>
      </c>
      <c r="G296" s="505" t="s">
        <v>52</v>
      </c>
      <c r="H296" s="505" t="str">
        <f>IFERROR(VLOOKUP(G296,'Cadastro de assessores'!A:B,2,FALSE),"Não Cadastrado")</f>
        <v>17831</v>
      </c>
      <c r="I296" s="505"/>
      <c r="J296" s="598" t="s">
        <v>2393</v>
      </c>
      <c r="K296" s="505" t="s">
        <v>88</v>
      </c>
      <c r="L296" s="515" t="s">
        <v>3659</v>
      </c>
      <c r="M296" s="593">
        <v>44762.0</v>
      </c>
      <c r="N296" s="593">
        <v>44790.0</v>
      </c>
      <c r="O296" s="600">
        <v>44939.0</v>
      </c>
      <c r="P296" s="515" t="s">
        <v>3660</v>
      </c>
      <c r="Q296" s="594">
        <v>0.012</v>
      </c>
      <c r="R296" s="601" t="s">
        <v>4579</v>
      </c>
      <c r="S296" s="595"/>
      <c r="T296" s="515"/>
      <c r="U296" s="515"/>
      <c r="V296" s="515"/>
      <c r="W296" s="515" t="s">
        <v>2430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3642</v>
      </c>
      <c r="B297" s="79" t="s">
        <v>1385</v>
      </c>
      <c r="C297" s="597" t="s">
        <v>4580</v>
      </c>
      <c r="D297" s="515">
        <v>4680314.0</v>
      </c>
      <c r="E297" s="505" t="s">
        <v>18</v>
      </c>
      <c r="F297" s="505" t="s">
        <v>29</v>
      </c>
      <c r="G297" s="505" t="s">
        <v>4581</v>
      </c>
      <c r="H297" s="505">
        <f>IFERROR(VLOOKUP(G297,'Cadastro de assessores'!A:B,2,FALSE),"Não Cadastrado")</f>
        <v>12340</v>
      </c>
      <c r="I297" s="505"/>
      <c r="J297" s="505" t="s">
        <v>88</v>
      </c>
      <c r="K297" s="505" t="s">
        <v>88</v>
      </c>
      <c r="L297" s="515" t="s">
        <v>3659</v>
      </c>
      <c r="M297" s="593">
        <v>44181.0</v>
      </c>
      <c r="N297" s="593">
        <v>44186.0</v>
      </c>
      <c r="O297" s="515"/>
      <c r="P297" s="515" t="s">
        <v>3651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89</v>
      </c>
      <c r="V297" s="515" t="s">
        <v>2444</v>
      </c>
      <c r="W297" s="515" t="s">
        <v>29</v>
      </c>
      <c r="X297" s="596" t="s">
        <v>3653</v>
      </c>
      <c r="Y297" s="596" t="s">
        <v>3653</v>
      </c>
      <c r="Z297" s="596" t="s">
        <v>3653</v>
      </c>
      <c r="AA297" s="596" t="s">
        <v>3653</v>
      </c>
      <c r="AB297" s="596" t="s">
        <v>3653</v>
      </c>
      <c r="AC297" s="596" t="s">
        <v>3653</v>
      </c>
      <c r="AD297" s="596" t="s">
        <v>3653</v>
      </c>
      <c r="AE297" s="596" t="s">
        <v>3653</v>
      </c>
      <c r="AF297" s="596" t="s">
        <v>3653</v>
      </c>
      <c r="AG297" s="596" t="s">
        <v>3653</v>
      </c>
      <c r="AH297" s="596" t="s">
        <v>3653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3642</v>
      </c>
      <c r="B298" s="79" t="s">
        <v>4582</v>
      </c>
      <c r="C298" s="564" t="s">
        <v>4583</v>
      </c>
      <c r="D298" s="604">
        <v>7667659.0</v>
      </c>
      <c r="E298" s="591" t="s">
        <v>18</v>
      </c>
      <c r="F298" s="591" t="s">
        <v>19</v>
      </c>
      <c r="G298" s="505" t="s">
        <v>201</v>
      </c>
      <c r="H298" s="505" t="str">
        <f>IFERROR(VLOOKUP(G298,'Cadastro de assessores'!A:B,2,FALSE),"Não Cadastrado")</f>
        <v>18890</v>
      </c>
      <c r="I298" s="505"/>
      <c r="J298" s="505" t="s">
        <v>88</v>
      </c>
      <c r="K298" s="505" t="s">
        <v>88</v>
      </c>
      <c r="L298" s="515" t="s">
        <v>3659</v>
      </c>
      <c r="M298" s="605">
        <v>44641.0</v>
      </c>
      <c r="N298" s="605">
        <v>44645.0</v>
      </c>
      <c r="O298" s="515"/>
      <c r="P298" s="515" t="s">
        <v>3657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89</v>
      </c>
      <c r="V298" s="515" t="s">
        <v>4584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3642</v>
      </c>
      <c r="B299" s="79" t="s">
        <v>1390</v>
      </c>
      <c r="C299" s="564" t="s">
        <v>4585</v>
      </c>
      <c r="D299" s="481">
        <v>2114710.0</v>
      </c>
      <c r="E299" s="591" t="s">
        <v>18</v>
      </c>
      <c r="F299" s="591" t="s">
        <v>19</v>
      </c>
      <c r="G299" s="661" t="s">
        <v>4586</v>
      </c>
      <c r="H299" s="505" t="str">
        <f>IFERROR(VLOOKUP(G299,'Cadastro de assessores'!A:B,2,FALSE),"Não Cadastrado")</f>
        <v>Não Cadastrado</v>
      </c>
      <c r="I299" s="505"/>
      <c r="J299" s="505" t="s">
        <v>88</v>
      </c>
      <c r="K299" s="505" t="s">
        <v>88</v>
      </c>
      <c r="L299" s="515" t="s">
        <v>3659</v>
      </c>
      <c r="M299" s="605">
        <v>44799.0</v>
      </c>
      <c r="N299" s="605">
        <v>44799.0</v>
      </c>
      <c r="O299" s="515"/>
      <c r="P299" s="515" t="s">
        <v>3660</v>
      </c>
      <c r="Q299" s="594">
        <v>0.012</v>
      </c>
      <c r="R299" s="601" t="s">
        <v>4587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3642</v>
      </c>
      <c r="B300" s="79" t="s">
        <v>1399</v>
      </c>
      <c r="C300" s="564" t="s">
        <v>1397</v>
      </c>
      <c r="D300" s="604">
        <v>7772568.0</v>
      </c>
      <c r="E300" s="591" t="s">
        <v>18</v>
      </c>
      <c r="F300" s="591" t="s">
        <v>29</v>
      </c>
      <c r="G300" s="505" t="s">
        <v>110</v>
      </c>
      <c r="H300" s="505">
        <f>IFERROR(VLOOKUP(G300,'Cadastro de assessores'!A:B,2,FALSE),"Não Cadastrado")</f>
        <v>12332</v>
      </c>
      <c r="I300" s="505"/>
      <c r="J300" s="598" t="s">
        <v>2393</v>
      </c>
      <c r="K300" s="505" t="s">
        <v>88</v>
      </c>
      <c r="L300" s="515" t="s">
        <v>3659</v>
      </c>
      <c r="M300" s="605">
        <v>44636.0</v>
      </c>
      <c r="N300" s="605">
        <v>44637.0</v>
      </c>
      <c r="O300" s="515"/>
      <c r="P300" s="515" t="s">
        <v>3657</v>
      </c>
      <c r="Q300" s="594">
        <v>0.007</v>
      </c>
      <c r="R300" s="601" t="s">
        <v>4588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89</v>
      </c>
      <c r="V300" s="515" t="s">
        <v>4589</v>
      </c>
      <c r="W300" s="515" t="s">
        <v>455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3642</v>
      </c>
      <c r="B301" s="79" t="s">
        <v>1402</v>
      </c>
      <c r="C301" s="564" t="s">
        <v>1400</v>
      </c>
      <c r="D301" s="604">
        <v>5702220.0</v>
      </c>
      <c r="E301" s="505" t="s">
        <v>18</v>
      </c>
      <c r="F301" s="505" t="s">
        <v>29</v>
      </c>
      <c r="G301" s="505" t="s">
        <v>58</v>
      </c>
      <c r="H301" s="505">
        <f>IFERROR(VLOOKUP(G301,'Cadastro de assessores'!A:B,2,FALSE),"Não Cadastrado")</f>
        <v>12359</v>
      </c>
      <c r="I301" s="505"/>
      <c r="J301" s="505" t="s">
        <v>88</v>
      </c>
      <c r="K301" s="505" t="s">
        <v>88</v>
      </c>
      <c r="L301" s="515" t="s">
        <v>3659</v>
      </c>
      <c r="M301" s="605">
        <v>44655.0</v>
      </c>
      <c r="N301" s="605">
        <v>44656.0</v>
      </c>
      <c r="O301" s="515"/>
      <c r="P301" s="515" t="s">
        <v>3647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89</v>
      </c>
      <c r="V301" s="515" t="s">
        <v>2421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2396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3642</v>
      </c>
      <c r="B302" s="79" t="s">
        <v>4590</v>
      </c>
      <c r="C302" s="564" t="s">
        <v>4591</v>
      </c>
      <c r="D302" s="604">
        <v>8450642.0</v>
      </c>
      <c r="E302" s="591" t="s">
        <v>18</v>
      </c>
      <c r="F302" s="591" t="s">
        <v>19</v>
      </c>
      <c r="G302" s="505" t="s">
        <v>230</v>
      </c>
      <c r="H302" s="505" t="str">
        <f>IFERROR(VLOOKUP(G302,'Cadastro de assessores'!A:B,2,FALSE),"Não Cadastrado")</f>
        <v>18009</v>
      </c>
      <c r="I302" s="505"/>
      <c r="J302" s="598" t="s">
        <v>2393</v>
      </c>
      <c r="K302" s="505" t="s">
        <v>88</v>
      </c>
      <c r="L302" s="515" t="s">
        <v>3646</v>
      </c>
      <c r="M302" s="605">
        <v>44671.0</v>
      </c>
      <c r="N302" s="605">
        <v>44679.0</v>
      </c>
      <c r="O302" s="599">
        <v>44890.0</v>
      </c>
      <c r="P302" s="515" t="s">
        <v>3651</v>
      </c>
      <c r="Q302" s="594">
        <v>0.015</v>
      </c>
      <c r="R302" s="662" t="s">
        <v>4592</v>
      </c>
      <c r="S302" s="595"/>
      <c r="T302" s="515" t="str">
        <f t="shared" si="31"/>
        <v>Não Qualificado</v>
      </c>
      <c r="U302" s="515" t="s">
        <v>89</v>
      </c>
      <c r="V302" s="515" t="s">
        <v>2482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3642</v>
      </c>
      <c r="B303" s="79" t="s">
        <v>4593</v>
      </c>
      <c r="C303" s="597" t="s">
        <v>4594</v>
      </c>
      <c r="D303" s="515">
        <v>4859807.0</v>
      </c>
      <c r="E303" s="515" t="s">
        <v>86</v>
      </c>
      <c r="F303" s="515" t="s">
        <v>465</v>
      </c>
      <c r="G303" s="515" t="s">
        <v>4595</v>
      </c>
      <c r="H303" s="515" t="str">
        <f>IFERROR(VLOOKUP(G303,'Cadastro de assessores'!A:B,2,FALSE),"Não Cadastrado")</f>
        <v>1449</v>
      </c>
      <c r="I303" s="515"/>
      <c r="J303" s="598" t="s">
        <v>2393</v>
      </c>
      <c r="K303" s="515" t="s">
        <v>2393</v>
      </c>
      <c r="L303" s="515" t="s">
        <v>3646</v>
      </c>
      <c r="M303" s="600">
        <v>44246.0</v>
      </c>
      <c r="N303" s="600">
        <v>44246.0</v>
      </c>
      <c r="O303" s="600">
        <v>44319.0</v>
      </c>
      <c r="P303" s="515" t="s">
        <v>3647</v>
      </c>
      <c r="Q303" s="594">
        <v>0.02</v>
      </c>
      <c r="R303" s="601" t="s">
        <v>4596</v>
      </c>
      <c r="S303" s="595"/>
      <c r="T303" s="515" t="str">
        <f t="shared" si="31"/>
        <v>Não Qualificado</v>
      </c>
      <c r="U303" s="515" t="s">
        <v>89</v>
      </c>
      <c r="V303" s="515" t="s">
        <v>2453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4597</v>
      </c>
      <c r="AJ303" s="596" t="s">
        <v>4598</v>
      </c>
      <c r="AK303" s="596" t="s">
        <v>4599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2396</v>
      </c>
      <c r="BF303" s="443" t="s">
        <v>2396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3642</v>
      </c>
      <c r="B304" s="79" t="s">
        <v>4600</v>
      </c>
      <c r="C304" s="564" t="s">
        <v>4601</v>
      </c>
      <c r="D304" s="555">
        <v>5627240.0</v>
      </c>
      <c r="E304" s="505" t="s">
        <v>18</v>
      </c>
      <c r="F304" s="591" t="s">
        <v>19</v>
      </c>
      <c r="G304" s="505" t="s">
        <v>230</v>
      </c>
      <c r="H304" s="591" t="str">
        <f>IFERROR(VLOOKUP(G304,'Cadastro de assessores'!A:B,2,FALSE),"Não Cadastrado")</f>
        <v>18009</v>
      </c>
      <c r="I304" s="591"/>
      <c r="J304" s="505" t="s">
        <v>88</v>
      </c>
      <c r="K304" s="505" t="s">
        <v>88</v>
      </c>
      <c r="L304" s="515" t="s">
        <v>3659</v>
      </c>
      <c r="M304" s="592">
        <v>44361.0</v>
      </c>
      <c r="N304" s="592">
        <v>44362.0</v>
      </c>
      <c r="O304" s="555"/>
      <c r="P304" s="555" t="s">
        <v>3657</v>
      </c>
      <c r="Q304" s="594">
        <v>0.012</v>
      </c>
      <c r="R304" s="210" t="s">
        <v>4602</v>
      </c>
      <c r="S304" s="595"/>
      <c r="T304" s="515" t="str">
        <f t="shared" si="31"/>
        <v/>
      </c>
      <c r="U304" s="515" t="s">
        <v>89</v>
      </c>
      <c r="V304" s="515" t="s">
        <v>2449</v>
      </c>
      <c r="W304" s="515" t="s">
        <v>121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3642</v>
      </c>
      <c r="B305" s="79" t="s">
        <v>4603</v>
      </c>
      <c r="C305" s="564" t="s">
        <v>4604</v>
      </c>
      <c r="D305" s="555">
        <v>5634110.0</v>
      </c>
      <c r="E305" s="515" t="s">
        <v>18</v>
      </c>
      <c r="F305" s="504" t="s">
        <v>19</v>
      </c>
      <c r="G305" s="515" t="s">
        <v>230</v>
      </c>
      <c r="H305" s="504" t="str">
        <f>IFERROR(VLOOKUP(G305,'Cadastro de assessores'!A:B,2,FALSE),"Não Cadastrado")</f>
        <v>18009</v>
      </c>
      <c r="I305" s="504"/>
      <c r="J305" s="598" t="s">
        <v>2393</v>
      </c>
      <c r="K305" s="515" t="s">
        <v>2393</v>
      </c>
      <c r="L305" s="515" t="s">
        <v>3659</v>
      </c>
      <c r="M305" s="600">
        <v>44356.0</v>
      </c>
      <c r="N305" s="600">
        <v>44356.0</v>
      </c>
      <c r="O305" s="554">
        <v>44714.0</v>
      </c>
      <c r="P305" s="555" t="s">
        <v>3647</v>
      </c>
      <c r="Q305" s="594">
        <v>0.02</v>
      </c>
      <c r="R305" s="210" t="s">
        <v>4605</v>
      </c>
      <c r="S305" s="595"/>
      <c r="T305" s="515" t="str">
        <f t="shared" si="31"/>
        <v>Não Qualificado</v>
      </c>
      <c r="U305" s="515" t="s">
        <v>89</v>
      </c>
      <c r="V305" s="504" t="s">
        <v>2671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2396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3642</v>
      </c>
      <c r="B306" s="79" t="s">
        <v>1413</v>
      </c>
      <c r="C306" s="597" t="s">
        <v>1411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88</v>
      </c>
      <c r="K306" s="505" t="s">
        <v>88</v>
      </c>
      <c r="L306" s="515" t="s">
        <v>3659</v>
      </c>
      <c r="M306" s="592">
        <v>44000.0</v>
      </c>
      <c r="N306" s="592">
        <v>44000.0</v>
      </c>
      <c r="O306" s="515"/>
      <c r="P306" s="515" t="s">
        <v>3651</v>
      </c>
      <c r="Q306" s="594">
        <v>0.015</v>
      </c>
      <c r="R306" s="601"/>
      <c r="S306" s="595"/>
      <c r="T306" s="515" t="str">
        <f t="shared" si="31"/>
        <v/>
      </c>
      <c r="U306" s="515" t="s">
        <v>89</v>
      </c>
      <c r="V306" s="515" t="s">
        <v>2410</v>
      </c>
      <c r="W306" s="515" t="s">
        <v>29</v>
      </c>
      <c r="X306" s="596" t="s">
        <v>3653</v>
      </c>
      <c r="Y306" s="596" t="s">
        <v>3653</v>
      </c>
      <c r="Z306" s="596" t="s">
        <v>3653</v>
      </c>
      <c r="AA306" s="596" t="s">
        <v>3653</v>
      </c>
      <c r="AB306" s="596" t="s">
        <v>3653</v>
      </c>
      <c r="AC306" s="596" t="s">
        <v>3653</v>
      </c>
      <c r="AD306" s="596" t="s">
        <v>3653</v>
      </c>
      <c r="AE306" s="596" t="s">
        <v>4606</v>
      </c>
      <c r="AF306" s="596" t="s">
        <v>4607</v>
      </c>
      <c r="AG306" s="596" t="s">
        <v>4608</v>
      </c>
      <c r="AH306" s="596" t="s">
        <v>4609</v>
      </c>
      <c r="AI306" s="596" t="s">
        <v>3653</v>
      </c>
      <c r="AJ306" s="596" t="s">
        <v>4610</v>
      </c>
      <c r="AK306" s="596" t="s">
        <v>4611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3642</v>
      </c>
      <c r="B307" s="79" t="s">
        <v>4612</v>
      </c>
      <c r="C307" s="597" t="s">
        <v>4613</v>
      </c>
      <c r="D307" s="663">
        <v>4990009.0</v>
      </c>
      <c r="E307" s="515" t="s">
        <v>18</v>
      </c>
      <c r="F307" s="504" t="s">
        <v>19</v>
      </c>
      <c r="G307" s="515" t="s">
        <v>230</v>
      </c>
      <c r="H307" s="515" t="str">
        <f>IFERROR(VLOOKUP(G307,'Cadastro de assessores'!A:B,2,FALSE),"Não Cadastrado")</f>
        <v>18009</v>
      </c>
      <c r="I307" s="515"/>
      <c r="J307" s="598" t="s">
        <v>2393</v>
      </c>
      <c r="K307" s="515" t="s">
        <v>2393</v>
      </c>
      <c r="L307" s="515" t="s">
        <v>3646</v>
      </c>
      <c r="M307" s="600">
        <v>44274.0</v>
      </c>
      <c r="N307" s="600">
        <v>44274.0</v>
      </c>
      <c r="O307" s="600">
        <v>44649.0</v>
      </c>
      <c r="P307" s="515" t="s">
        <v>3651</v>
      </c>
      <c r="Q307" s="594">
        <v>0.015</v>
      </c>
      <c r="R307" s="601" t="s">
        <v>4614</v>
      </c>
      <c r="S307" s="595"/>
      <c r="T307" s="515" t="str">
        <f t="shared" si="31"/>
        <v/>
      </c>
      <c r="U307" s="515" t="s">
        <v>89</v>
      </c>
      <c r="V307" s="515" t="s">
        <v>2449</v>
      </c>
      <c r="W307" s="515" t="s">
        <v>121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2396</v>
      </c>
      <c r="BF307" s="443" t="s">
        <v>2396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3642</v>
      </c>
      <c r="B308" s="79" t="s">
        <v>4615</v>
      </c>
      <c r="C308" s="597" t="s">
        <v>4616</v>
      </c>
      <c r="D308" s="515">
        <v>4606048.0</v>
      </c>
      <c r="E308" s="505" t="s">
        <v>86</v>
      </c>
      <c r="F308" s="505" t="s">
        <v>29</v>
      </c>
      <c r="G308" s="505" t="s">
        <v>3983</v>
      </c>
      <c r="H308" s="505" t="str">
        <f>IFERROR(VLOOKUP(G308,'Cadastro de assessores'!A:B,2,FALSE),"Não Cadastrado")</f>
        <v>14699</v>
      </c>
      <c r="I308" s="505"/>
      <c r="J308" s="505" t="s">
        <v>88</v>
      </c>
      <c r="K308" s="505" t="s">
        <v>88</v>
      </c>
      <c r="L308" s="515" t="s">
        <v>3659</v>
      </c>
      <c r="M308" s="593">
        <v>44154.0</v>
      </c>
      <c r="N308" s="593">
        <v>44160.0</v>
      </c>
      <c r="O308" s="515"/>
      <c r="P308" s="515" t="s">
        <v>3664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89</v>
      </c>
      <c r="V308" s="515" t="s">
        <v>3313</v>
      </c>
      <c r="W308" s="515" t="s">
        <v>29</v>
      </c>
      <c r="X308" s="596" t="s">
        <v>3653</v>
      </c>
      <c r="Y308" s="596" t="s">
        <v>3653</v>
      </c>
      <c r="Z308" s="596" t="s">
        <v>3653</v>
      </c>
      <c r="AA308" s="596" t="s">
        <v>3653</v>
      </c>
      <c r="AB308" s="596" t="s">
        <v>3653</v>
      </c>
      <c r="AC308" s="596" t="s">
        <v>3653</v>
      </c>
      <c r="AD308" s="596" t="s">
        <v>3653</v>
      </c>
      <c r="AE308" s="596" t="s">
        <v>3653</v>
      </c>
      <c r="AF308" s="596" t="s">
        <v>3653</v>
      </c>
      <c r="AG308" s="596" t="s">
        <v>3653</v>
      </c>
      <c r="AH308" s="596" t="s">
        <v>3653</v>
      </c>
      <c r="AI308" s="596"/>
      <c r="AJ308" s="596"/>
      <c r="AK308" s="596" t="s">
        <v>4611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3642</v>
      </c>
      <c r="B309" s="79" t="s">
        <v>1428</v>
      </c>
      <c r="C309" s="127" t="s">
        <v>1426</v>
      </c>
      <c r="D309" s="608">
        <v>7783008.0</v>
      </c>
      <c r="E309" s="505" t="s">
        <v>18</v>
      </c>
      <c r="F309" s="591" t="s">
        <v>29</v>
      </c>
      <c r="G309" s="505" t="s">
        <v>137</v>
      </c>
      <c r="H309" s="505">
        <f>IFERROR(VLOOKUP(G309,'Cadastro de assessores'!A:B,2,FALSE),"Não Cadastrado")</f>
        <v>12344</v>
      </c>
      <c r="I309" s="505"/>
      <c r="J309" s="505" t="s">
        <v>88</v>
      </c>
      <c r="K309" s="505" t="s">
        <v>88</v>
      </c>
      <c r="L309" s="515" t="s">
        <v>3659</v>
      </c>
      <c r="M309" s="592">
        <v>44587.0</v>
      </c>
      <c r="N309" s="592">
        <v>44594.0</v>
      </c>
      <c r="O309" s="555"/>
      <c r="P309" s="555" t="s">
        <v>3657</v>
      </c>
      <c r="Q309" s="594">
        <v>0.007</v>
      </c>
      <c r="R309" s="210" t="s">
        <v>4617</v>
      </c>
      <c r="S309" s="595"/>
      <c r="T309" s="515" t="str">
        <f t="shared" si="31"/>
        <v/>
      </c>
      <c r="U309" s="515" t="s">
        <v>89</v>
      </c>
      <c r="V309" s="555" t="s">
        <v>2410</v>
      </c>
      <c r="W309" s="555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3642</v>
      </c>
      <c r="B310" s="79" t="s">
        <v>4618</v>
      </c>
      <c r="C310" s="564" t="s">
        <v>4619</v>
      </c>
      <c r="D310" s="555">
        <v>6549214.0</v>
      </c>
      <c r="E310" s="515" t="s">
        <v>18</v>
      </c>
      <c r="F310" s="504" t="s">
        <v>19</v>
      </c>
      <c r="G310" s="515" t="s">
        <v>3978</v>
      </c>
      <c r="H310" s="515" t="str">
        <f>IFERROR(VLOOKUP(G310,'Cadastro de assessores'!A:B,2,FALSE),"Não Cadastrado")</f>
        <v>14294</v>
      </c>
      <c r="I310" s="515"/>
      <c r="J310" s="598" t="s">
        <v>2393</v>
      </c>
      <c r="K310" s="515" t="s">
        <v>2393</v>
      </c>
      <c r="L310" s="505" t="s">
        <v>3646</v>
      </c>
      <c r="M310" s="599">
        <v>44487.0</v>
      </c>
      <c r="N310" s="599">
        <v>44487.0</v>
      </c>
      <c r="O310" s="554">
        <v>44810.0</v>
      </c>
      <c r="P310" s="555" t="s">
        <v>3651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89</v>
      </c>
      <c r="V310" s="555" t="s">
        <v>2426</v>
      </c>
      <c r="W310" s="515" t="s">
        <v>3732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3642</v>
      </c>
      <c r="B311" s="79" t="s">
        <v>1444</v>
      </c>
      <c r="C311" s="626" t="s">
        <v>1442</v>
      </c>
      <c r="D311" s="608">
        <v>3025955.0</v>
      </c>
      <c r="E311" s="505" t="s">
        <v>18</v>
      </c>
      <c r="F311" s="591" t="s">
        <v>19</v>
      </c>
      <c r="G311" s="608" t="s">
        <v>230</v>
      </c>
      <c r="H311" s="505" t="str">
        <f>IFERROR(VLOOKUP(G311,'Cadastro de assessores'!A:B,2,FALSE),"Não Cadastrado")</f>
        <v>18009</v>
      </c>
      <c r="I311" s="505"/>
      <c r="J311" s="505" t="s">
        <v>88</v>
      </c>
      <c r="K311" s="505" t="s">
        <v>88</v>
      </c>
      <c r="L311" s="624" t="s">
        <v>3659</v>
      </c>
      <c r="M311" s="635">
        <v>44565.0</v>
      </c>
      <c r="N311" s="635">
        <v>44557.0</v>
      </c>
      <c r="O311" s="555"/>
      <c r="P311" s="555" t="s">
        <v>4452</v>
      </c>
      <c r="Q311" s="594">
        <v>0.015</v>
      </c>
      <c r="R311" s="210" t="s">
        <v>3920</v>
      </c>
      <c r="S311" s="595"/>
      <c r="T311" s="515" t="str">
        <f t="shared" si="31"/>
        <v>Não Qualificado</v>
      </c>
      <c r="U311" s="515" t="s">
        <v>89</v>
      </c>
      <c r="V311" s="504" t="s">
        <v>2671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3642</v>
      </c>
      <c r="B312" s="79" t="s">
        <v>1447</v>
      </c>
      <c r="C312" s="127" t="s">
        <v>1445</v>
      </c>
      <c r="D312" s="555">
        <v>7443645.0</v>
      </c>
      <c r="E312" s="505" t="s">
        <v>18</v>
      </c>
      <c r="F312" s="591" t="s">
        <v>29</v>
      </c>
      <c r="G312" s="608" t="s">
        <v>761</v>
      </c>
      <c r="H312" s="505">
        <f>IFERROR(VLOOKUP(G312,'Cadastro de assessores'!A:B,2,FALSE),"Não Cadastrado")</f>
        <v>12342</v>
      </c>
      <c r="I312" s="505"/>
      <c r="J312" s="614" t="s">
        <v>2429</v>
      </c>
      <c r="K312" s="515" t="s">
        <v>2430</v>
      </c>
      <c r="L312" s="515" t="s">
        <v>3659</v>
      </c>
      <c r="M312" s="515" t="s">
        <v>2430</v>
      </c>
      <c r="N312" s="614" t="s">
        <v>2429</v>
      </c>
      <c r="O312" s="608"/>
      <c r="P312" s="608" t="s">
        <v>3657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89</v>
      </c>
      <c r="V312" s="515" t="s">
        <v>2453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2396</v>
      </c>
      <c r="BF312" s="443" t="s">
        <v>2396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3642</v>
      </c>
      <c r="B313" s="79" t="s">
        <v>1447</v>
      </c>
      <c r="C313" s="127" t="s">
        <v>1445</v>
      </c>
      <c r="D313" s="555">
        <v>6582735.0</v>
      </c>
      <c r="E313" s="505" t="s">
        <v>18</v>
      </c>
      <c r="F313" s="591" t="s">
        <v>29</v>
      </c>
      <c r="G313" s="608" t="s">
        <v>761</v>
      </c>
      <c r="H313" s="505">
        <f>IFERROR(VLOOKUP(G313,'Cadastro de assessores'!A:B,2,FALSE),"Não Cadastrado")</f>
        <v>12342</v>
      </c>
      <c r="I313" s="505"/>
      <c r="J313" s="505" t="s">
        <v>88</v>
      </c>
      <c r="K313" s="505" t="s">
        <v>88</v>
      </c>
      <c r="L313" s="515" t="s">
        <v>3659</v>
      </c>
      <c r="M313" s="554">
        <v>44579.0</v>
      </c>
      <c r="N313" s="554">
        <v>44579.0</v>
      </c>
      <c r="O313" s="608"/>
      <c r="P313" s="608" t="s">
        <v>3657</v>
      </c>
      <c r="Q313" s="638">
        <v>0.007</v>
      </c>
      <c r="R313" s="210" t="s">
        <v>4620</v>
      </c>
      <c r="S313" s="595"/>
      <c r="T313" s="515" t="str">
        <f t="shared" si="31"/>
        <v>Não Qualificado</v>
      </c>
      <c r="U313" s="515" t="s">
        <v>89</v>
      </c>
      <c r="V313" s="515" t="s">
        <v>2453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3642</v>
      </c>
      <c r="B314" s="79" t="s">
        <v>1451</v>
      </c>
      <c r="C314" s="564" t="s">
        <v>4621</v>
      </c>
      <c r="D314" s="634">
        <v>9215559.0</v>
      </c>
      <c r="E314" s="515" t="s">
        <v>18</v>
      </c>
      <c r="F314" s="504" t="s">
        <v>19</v>
      </c>
      <c r="G314" s="504" t="s">
        <v>201</v>
      </c>
      <c r="H314" s="505" t="str">
        <f>IFERROR(VLOOKUP(G314,'Cadastro de assessores'!A:B,2,FALSE),"Não Cadastrado")</f>
        <v>18890</v>
      </c>
      <c r="I314" s="504"/>
      <c r="J314" s="515" t="s">
        <v>3001</v>
      </c>
      <c r="K314" s="515"/>
      <c r="L314" s="515"/>
      <c r="M314" s="554"/>
      <c r="N314" s="554"/>
      <c r="O314" s="554"/>
      <c r="P314" s="555" t="s">
        <v>3664</v>
      </c>
      <c r="Q314" s="594">
        <v>0.025</v>
      </c>
      <c r="R314" s="601" t="s">
        <v>3757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3642</v>
      </c>
      <c r="B315" s="79" t="s">
        <v>4622</v>
      </c>
      <c r="C315" s="564" t="s">
        <v>4623</v>
      </c>
      <c r="D315" s="555">
        <v>5752123.0</v>
      </c>
      <c r="E315" s="515" t="s">
        <v>18</v>
      </c>
      <c r="F315" s="504" t="s">
        <v>29</v>
      </c>
      <c r="G315" s="504" t="s">
        <v>3650</v>
      </c>
      <c r="H315" s="504" t="str">
        <f>IFERROR(VLOOKUP(G315,'Cadastro de assessores'!A:B,2,FALSE),"Não Cadastrado")</f>
        <v>17679</v>
      </c>
      <c r="I315" s="504"/>
      <c r="J315" s="598" t="s">
        <v>2393</v>
      </c>
      <c r="K315" s="515" t="s">
        <v>2393</v>
      </c>
      <c r="L315" s="515" t="s">
        <v>3646</v>
      </c>
      <c r="M315" s="554">
        <v>44384.0</v>
      </c>
      <c r="N315" s="554">
        <v>44384.0</v>
      </c>
      <c r="O315" s="554">
        <v>44455.0</v>
      </c>
      <c r="P315" s="555" t="s">
        <v>3657</v>
      </c>
      <c r="Q315" s="594">
        <v>0.007</v>
      </c>
      <c r="R315" s="601" t="s">
        <v>4624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89</v>
      </c>
      <c r="V315" s="515" t="s">
        <v>4067</v>
      </c>
      <c r="W315" s="515" t="s">
        <v>3497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2396</v>
      </c>
      <c r="BF315" s="443" t="s">
        <v>2396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3642</v>
      </c>
      <c r="B316" s="79" t="s">
        <v>4625</v>
      </c>
      <c r="C316" s="597" t="s">
        <v>4626</v>
      </c>
      <c r="D316" s="515">
        <v>4636125.0</v>
      </c>
      <c r="E316" s="505" t="s">
        <v>18</v>
      </c>
      <c r="F316" s="505" t="s">
        <v>29</v>
      </c>
      <c r="G316" s="505" t="s">
        <v>58</v>
      </c>
      <c r="H316" s="505">
        <f>IFERROR(VLOOKUP(G316,'Cadastro de assessores'!A:B,2,FALSE),"Não Cadastrado")</f>
        <v>12359</v>
      </c>
      <c r="I316" s="505"/>
      <c r="J316" s="505" t="s">
        <v>88</v>
      </c>
      <c r="K316" s="505" t="s">
        <v>88</v>
      </c>
      <c r="L316" s="515" t="s">
        <v>3659</v>
      </c>
      <c r="M316" s="592">
        <v>44215.0</v>
      </c>
      <c r="N316" s="592">
        <v>44215.0</v>
      </c>
      <c r="O316" s="555"/>
      <c r="P316" s="555" t="s">
        <v>3647</v>
      </c>
      <c r="Q316" s="594">
        <v>0.02</v>
      </c>
      <c r="R316" s="601" t="s">
        <v>3749</v>
      </c>
      <c r="S316" s="595"/>
      <c r="T316" s="515" t="str">
        <f t="shared" si="32"/>
        <v>Não Qualificado</v>
      </c>
      <c r="U316" s="515" t="s">
        <v>89</v>
      </c>
      <c r="V316" s="515" t="s">
        <v>2444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3653</v>
      </c>
      <c r="AJ316" s="596" t="s">
        <v>3653</v>
      </c>
      <c r="AK316" s="596" t="s">
        <v>4627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3642</v>
      </c>
      <c r="B317" s="79" t="s">
        <v>1475</v>
      </c>
      <c r="C317" s="597" t="s">
        <v>1473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88</v>
      </c>
      <c r="K317" s="505" t="s">
        <v>88</v>
      </c>
      <c r="L317" s="515" t="s">
        <v>3659</v>
      </c>
      <c r="M317" s="593">
        <v>44795.0</v>
      </c>
      <c r="N317" s="593">
        <v>44795.0</v>
      </c>
      <c r="O317" s="515"/>
      <c r="P317" s="515" t="s">
        <v>3657</v>
      </c>
      <c r="Q317" s="594">
        <v>0.007</v>
      </c>
      <c r="R317" s="601" t="s">
        <v>4628</v>
      </c>
      <c r="S317" s="595"/>
      <c r="T317" s="515"/>
      <c r="U317" s="515" t="s">
        <v>89</v>
      </c>
      <c r="V317" s="515"/>
      <c r="W317" s="515" t="s">
        <v>121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3642</v>
      </c>
      <c r="B318" s="79" t="s">
        <v>3002</v>
      </c>
      <c r="C318" s="597" t="s">
        <v>2999</v>
      </c>
      <c r="D318" s="515">
        <v>4588112.0</v>
      </c>
      <c r="E318" s="505" t="s">
        <v>18</v>
      </c>
      <c r="F318" s="505" t="s">
        <v>29</v>
      </c>
      <c r="G318" s="505" t="s">
        <v>2435</v>
      </c>
      <c r="H318" s="505" t="str">
        <f>IFERROR(VLOOKUP(G318,'Cadastro de assessores'!A:B,2,FALSE),"Não Cadastrado")</f>
        <v>18836</v>
      </c>
      <c r="I318" s="505"/>
      <c r="J318" s="505" t="s">
        <v>88</v>
      </c>
      <c r="K318" s="505" t="s">
        <v>88</v>
      </c>
      <c r="L318" s="515" t="s">
        <v>3659</v>
      </c>
      <c r="M318" s="593">
        <v>44144.0</v>
      </c>
      <c r="N318" s="593">
        <v>44148.0</v>
      </c>
      <c r="O318" s="515"/>
      <c r="P318" s="515" t="s">
        <v>3660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89</v>
      </c>
      <c r="V318" s="515" t="s">
        <v>2494</v>
      </c>
      <c r="W318" s="515" t="s">
        <v>715</v>
      </c>
      <c r="X318" s="596" t="s">
        <v>3653</v>
      </c>
      <c r="Y318" s="596" t="s">
        <v>3653</v>
      </c>
      <c r="Z318" s="596" t="s">
        <v>3653</v>
      </c>
      <c r="AA318" s="596" t="s">
        <v>3653</v>
      </c>
      <c r="AB318" s="596" t="s">
        <v>3653</v>
      </c>
      <c r="AC318" s="596" t="s">
        <v>3653</v>
      </c>
      <c r="AD318" s="596" t="s">
        <v>3653</v>
      </c>
      <c r="AE318" s="596" t="s">
        <v>3653</v>
      </c>
      <c r="AF318" s="596" t="s">
        <v>3653</v>
      </c>
      <c r="AG318" s="596" t="s">
        <v>3653</v>
      </c>
      <c r="AH318" s="596" t="s">
        <v>3653</v>
      </c>
      <c r="AI318" s="596"/>
      <c r="AJ318" s="596"/>
      <c r="AK318" s="596" t="s">
        <v>4627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3642</v>
      </c>
      <c r="B319" s="79" t="s">
        <v>4629</v>
      </c>
      <c r="C319" s="564" t="s">
        <v>4630</v>
      </c>
      <c r="D319" s="604">
        <v>7046512.0</v>
      </c>
      <c r="E319" s="505" t="s">
        <v>86</v>
      </c>
      <c r="F319" s="505" t="s">
        <v>29</v>
      </c>
      <c r="G319" s="505" t="s">
        <v>3711</v>
      </c>
      <c r="H319" s="505" t="str">
        <f>IFERROR(VLOOKUP(G319,'Cadastro de assessores'!A:B,2,FALSE),"Não Cadastrado")</f>
        <v>1298</v>
      </c>
      <c r="I319" s="505"/>
      <c r="J319" s="598" t="s">
        <v>2393</v>
      </c>
      <c r="K319" s="505" t="s">
        <v>88</v>
      </c>
      <c r="L319" s="515" t="s">
        <v>3659</v>
      </c>
      <c r="M319" s="592">
        <v>44673.0</v>
      </c>
      <c r="N319" s="592">
        <v>44673.0</v>
      </c>
      <c r="O319" s="611">
        <v>44994.0</v>
      </c>
      <c r="P319" s="608" t="s">
        <v>3660</v>
      </c>
      <c r="Q319" s="594">
        <v>0.012</v>
      </c>
      <c r="R319" s="210" t="s">
        <v>4631</v>
      </c>
      <c r="S319" s="595"/>
      <c r="T319" s="515" t="str">
        <f t="shared" si="33"/>
        <v>Não Qualificado</v>
      </c>
      <c r="U319" s="555" t="s">
        <v>329</v>
      </c>
      <c r="V319" s="555" t="s">
        <v>4632</v>
      </c>
      <c r="W319" s="555" t="s">
        <v>121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4"/>
      <c r="AO319" s="664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3642</v>
      </c>
      <c r="B320" s="79" t="s">
        <v>1505</v>
      </c>
      <c r="C320" s="597" t="s">
        <v>4633</v>
      </c>
      <c r="D320" s="515">
        <v>4616618.0</v>
      </c>
      <c r="E320" s="505" t="s">
        <v>86</v>
      </c>
      <c r="F320" s="505" t="s">
        <v>29</v>
      </c>
      <c r="G320" s="505" t="s">
        <v>4293</v>
      </c>
      <c r="H320" s="505" t="str">
        <f>IFERROR(VLOOKUP(G320,'Cadastro de assessores'!A:B,2,FALSE),"Não Cadastrado")</f>
        <v>14091</v>
      </c>
      <c r="I320" s="505"/>
      <c r="J320" s="505" t="s">
        <v>88</v>
      </c>
      <c r="K320" s="505" t="s">
        <v>88</v>
      </c>
      <c r="L320" s="515" t="s">
        <v>3659</v>
      </c>
      <c r="M320" s="593">
        <v>44154.0</v>
      </c>
      <c r="N320" s="593">
        <v>44159.0</v>
      </c>
      <c r="O320" s="515"/>
      <c r="P320" s="515" t="s">
        <v>3660</v>
      </c>
      <c r="Q320" s="594">
        <v>0.012</v>
      </c>
      <c r="R320" s="601" t="s">
        <v>4634</v>
      </c>
      <c r="S320" s="595"/>
      <c r="T320" s="515" t="str">
        <f t="shared" si="33"/>
        <v>Não Qualificado</v>
      </c>
      <c r="U320" s="515" t="s">
        <v>89</v>
      </c>
      <c r="V320" s="515" t="s">
        <v>2444</v>
      </c>
      <c r="W320" s="515" t="s">
        <v>29</v>
      </c>
      <c r="X320" s="596" t="s">
        <v>3653</v>
      </c>
      <c r="Y320" s="596" t="s">
        <v>3653</v>
      </c>
      <c r="Z320" s="596" t="s">
        <v>3653</v>
      </c>
      <c r="AA320" s="596" t="s">
        <v>3653</v>
      </c>
      <c r="AB320" s="596" t="s">
        <v>3653</v>
      </c>
      <c r="AC320" s="596" t="s">
        <v>3653</v>
      </c>
      <c r="AD320" s="596" t="s">
        <v>3653</v>
      </c>
      <c r="AE320" s="596" t="s">
        <v>3653</v>
      </c>
      <c r="AF320" s="596" t="s">
        <v>3653</v>
      </c>
      <c r="AG320" s="596" t="s">
        <v>3653</v>
      </c>
      <c r="AH320" s="596" t="s">
        <v>3653</v>
      </c>
      <c r="AI320" s="596" t="s">
        <v>3653</v>
      </c>
      <c r="AJ320" s="596" t="s">
        <v>3653</v>
      </c>
      <c r="AK320" s="596" t="s">
        <v>4635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3642</v>
      </c>
      <c r="B321" s="79" t="s">
        <v>1505</v>
      </c>
      <c r="C321" s="597" t="s">
        <v>4633</v>
      </c>
      <c r="D321" s="515">
        <v>4859015.0</v>
      </c>
      <c r="E321" s="505" t="s">
        <v>86</v>
      </c>
      <c r="F321" s="505" t="s">
        <v>29</v>
      </c>
      <c r="G321" s="505" t="s">
        <v>4293</v>
      </c>
      <c r="H321" s="505" t="str">
        <f>IFERROR(VLOOKUP(G321,'Cadastro de assessores'!A:B,2,FALSE),"Não Cadastrado")</f>
        <v>14091</v>
      </c>
      <c r="I321" s="505"/>
      <c r="J321" s="505" t="s">
        <v>88</v>
      </c>
      <c r="K321" s="505" t="s">
        <v>88</v>
      </c>
      <c r="L321" s="515" t="s">
        <v>3659</v>
      </c>
      <c r="M321" s="592">
        <v>44239.0</v>
      </c>
      <c r="N321" s="592">
        <v>44239.0</v>
      </c>
      <c r="O321" s="555"/>
      <c r="P321" s="555" t="s">
        <v>3693</v>
      </c>
      <c r="Q321" s="594">
        <v>0.008</v>
      </c>
      <c r="R321" s="601"/>
      <c r="S321" s="595"/>
      <c r="T321" s="515" t="str">
        <f t="shared" si="33"/>
        <v/>
      </c>
      <c r="U321" s="515" t="s">
        <v>89</v>
      </c>
      <c r="V321" s="515" t="s">
        <v>2444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3642</v>
      </c>
      <c r="B322" s="79" t="s">
        <v>4636</v>
      </c>
      <c r="C322" s="564" t="s">
        <v>4637</v>
      </c>
      <c r="D322" s="555">
        <v>5666607.0</v>
      </c>
      <c r="E322" s="629" t="s">
        <v>18</v>
      </c>
      <c r="F322" s="555" t="s">
        <v>19</v>
      </c>
      <c r="G322" s="555" t="s">
        <v>4638</v>
      </c>
      <c r="H322" s="555" t="str">
        <f>IFERROR(VLOOKUP(G322,'Cadastro de assessores'!A:B,2,FALSE),"Não Cadastrado")</f>
        <v>1275</v>
      </c>
      <c r="I322" s="555"/>
      <c r="J322" s="598" t="s">
        <v>2393</v>
      </c>
      <c r="K322" s="515" t="s">
        <v>2393</v>
      </c>
      <c r="L322" s="629" t="s">
        <v>3646</v>
      </c>
      <c r="M322" s="630">
        <v>44376.0</v>
      </c>
      <c r="N322" s="630">
        <v>44376.0</v>
      </c>
      <c r="O322" s="554">
        <v>44775.0</v>
      </c>
      <c r="P322" s="555" t="s">
        <v>3664</v>
      </c>
      <c r="Q322" s="556">
        <v>0.025</v>
      </c>
      <c r="R322" s="210" t="s">
        <v>4639</v>
      </c>
      <c r="S322" s="595"/>
      <c r="T322" s="515" t="str">
        <f t="shared" si="33"/>
        <v>Não Qualificado</v>
      </c>
      <c r="U322" s="515" t="s">
        <v>89</v>
      </c>
      <c r="V322" s="555" t="s">
        <v>2426</v>
      </c>
      <c r="W322" s="515" t="s">
        <v>3732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3642</v>
      </c>
      <c r="B323" s="79" t="s">
        <v>4640</v>
      </c>
      <c r="C323" s="626" t="s">
        <v>4641</v>
      </c>
      <c r="D323" s="604">
        <v>5914962.0</v>
      </c>
      <c r="E323" s="505" t="s">
        <v>18</v>
      </c>
      <c r="F323" s="591" t="s">
        <v>19</v>
      </c>
      <c r="G323" s="505" t="s">
        <v>3978</v>
      </c>
      <c r="H323" s="505" t="str">
        <f>IFERROR(VLOOKUP(G323,'Cadastro de assessores'!A:B,2,FALSE),"Não Cadastrado")</f>
        <v>14294</v>
      </c>
      <c r="I323" s="505"/>
      <c r="J323" s="598" t="s">
        <v>2393</v>
      </c>
      <c r="K323" s="505" t="s">
        <v>88</v>
      </c>
      <c r="L323" s="505" t="s">
        <v>3646</v>
      </c>
      <c r="M323" s="592">
        <v>44454.0</v>
      </c>
      <c r="N323" s="592">
        <v>44461.0</v>
      </c>
      <c r="O323" s="554">
        <v>44830.0</v>
      </c>
      <c r="P323" s="515" t="s">
        <v>3657</v>
      </c>
      <c r="Q323" s="594">
        <v>0.007</v>
      </c>
      <c r="R323" s="210"/>
      <c r="S323" s="595"/>
      <c r="T323" s="515" t="str">
        <f t="shared" si="33"/>
        <v/>
      </c>
      <c r="U323" s="515" t="s">
        <v>89</v>
      </c>
      <c r="V323" s="555" t="s">
        <v>4341</v>
      </c>
      <c r="W323" s="555" t="s">
        <v>180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3642</v>
      </c>
      <c r="B324" s="79" t="s">
        <v>1513</v>
      </c>
      <c r="C324" s="626" t="s">
        <v>1511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88</v>
      </c>
      <c r="K324" s="505" t="s">
        <v>88</v>
      </c>
      <c r="L324" s="515" t="s">
        <v>3659</v>
      </c>
      <c r="M324" s="605">
        <v>44596.0</v>
      </c>
      <c r="N324" s="605">
        <v>44614.0</v>
      </c>
      <c r="O324" s="515"/>
      <c r="P324" s="515" t="s">
        <v>3657</v>
      </c>
      <c r="Q324" s="594">
        <v>0.007</v>
      </c>
      <c r="R324" s="210"/>
      <c r="S324" s="595"/>
      <c r="T324" s="515" t="str">
        <f t="shared" si="33"/>
        <v/>
      </c>
      <c r="U324" s="515" t="s">
        <v>89</v>
      </c>
      <c r="V324" s="555" t="s">
        <v>3141</v>
      </c>
      <c r="W324" s="555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3642</v>
      </c>
      <c r="B325" s="79" t="s">
        <v>4642</v>
      </c>
      <c r="C325" s="597" t="s">
        <v>4643</v>
      </c>
      <c r="D325" s="555">
        <v>4712860.0</v>
      </c>
      <c r="E325" s="515" t="s">
        <v>86</v>
      </c>
      <c r="F325" s="515" t="s">
        <v>29</v>
      </c>
      <c r="G325" s="515" t="s">
        <v>3910</v>
      </c>
      <c r="H325" s="515" t="str">
        <f>IFERROR(VLOOKUP(G325,'Cadastro de assessores'!A:B,2,FALSE),"Não Cadastrado")</f>
        <v>15049</v>
      </c>
      <c r="I325" s="515"/>
      <c r="J325" s="598" t="s">
        <v>2393</v>
      </c>
      <c r="K325" s="515" t="s">
        <v>2393</v>
      </c>
      <c r="L325" s="515" t="s">
        <v>3646</v>
      </c>
      <c r="M325" s="600">
        <v>44203.0</v>
      </c>
      <c r="N325" s="600">
        <v>44203.0</v>
      </c>
      <c r="O325" s="600">
        <v>44418.0</v>
      </c>
      <c r="P325" s="515" t="s">
        <v>3651</v>
      </c>
      <c r="Q325" s="594">
        <v>0.015</v>
      </c>
      <c r="R325" s="601" t="s">
        <v>3867</v>
      </c>
      <c r="S325" s="595"/>
      <c r="T325" s="515" t="str">
        <f t="shared" si="33"/>
        <v>Não Qualificado</v>
      </c>
      <c r="U325" s="515" t="s">
        <v>89</v>
      </c>
      <c r="V325" s="515" t="s">
        <v>2410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2396</v>
      </c>
      <c r="BF325" s="443" t="s">
        <v>2396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3642</v>
      </c>
      <c r="B326" s="79" t="s">
        <v>4644</v>
      </c>
      <c r="C326" s="564" t="s">
        <v>4645</v>
      </c>
      <c r="D326" s="555">
        <v>5661723.0</v>
      </c>
      <c r="E326" s="505" t="s">
        <v>2379</v>
      </c>
      <c r="F326" s="591" t="s">
        <v>29</v>
      </c>
      <c r="G326" s="591" t="s">
        <v>2379</v>
      </c>
      <c r="H326" s="591" t="str">
        <f>IFERROR(VLOOKUP(G326,'Cadastro de assessores'!A:B,2,FALSE),"Não Cadastrado")</f>
        <v>18986</v>
      </c>
      <c r="I326" s="591"/>
      <c r="J326" s="505" t="s">
        <v>3645</v>
      </c>
      <c r="K326" s="515" t="s">
        <v>88</v>
      </c>
      <c r="L326" s="515" t="s">
        <v>3675</v>
      </c>
      <c r="M326" s="592">
        <v>44369.0</v>
      </c>
      <c r="N326" s="592">
        <v>44369.0</v>
      </c>
      <c r="O326" s="515"/>
      <c r="P326" s="515" t="s">
        <v>3651</v>
      </c>
      <c r="Q326" s="594">
        <v>0.015</v>
      </c>
      <c r="R326" s="210"/>
      <c r="S326" s="595"/>
      <c r="T326" s="515" t="str">
        <f t="shared" si="33"/>
        <v/>
      </c>
      <c r="U326" s="515" t="s">
        <v>89</v>
      </c>
      <c r="V326" s="555" t="s">
        <v>2405</v>
      </c>
      <c r="W326" s="555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3642</v>
      </c>
      <c r="B327" s="79" t="s">
        <v>3063</v>
      </c>
      <c r="C327" s="597" t="s">
        <v>3061</v>
      </c>
      <c r="D327" s="515">
        <v>4600625.0</v>
      </c>
      <c r="E327" s="505" t="s">
        <v>18</v>
      </c>
      <c r="F327" s="505" t="s">
        <v>29</v>
      </c>
      <c r="G327" s="505" t="s">
        <v>2052</v>
      </c>
      <c r="H327" s="505" t="str">
        <f>IFERROR(VLOOKUP(G327,'Cadastro de assessores'!A:B,2,FALSE),"Não Cadastrado")</f>
        <v>18256</v>
      </c>
      <c r="I327" s="505"/>
      <c r="J327" s="505" t="s">
        <v>88</v>
      </c>
      <c r="K327" s="505" t="s">
        <v>88</v>
      </c>
      <c r="L327" s="515" t="s">
        <v>3659</v>
      </c>
      <c r="M327" s="593">
        <v>44180.0</v>
      </c>
      <c r="N327" s="593">
        <v>44180.0</v>
      </c>
      <c r="O327" s="515"/>
      <c r="P327" s="515" t="s">
        <v>3664</v>
      </c>
      <c r="Q327" s="594">
        <v>0.025</v>
      </c>
      <c r="R327" s="601" t="s">
        <v>4646</v>
      </c>
      <c r="S327" s="595"/>
      <c r="T327" s="515" t="str">
        <f t="shared" si="33"/>
        <v>Não Qualificado</v>
      </c>
      <c r="U327" s="515" t="s">
        <v>89</v>
      </c>
      <c r="V327" s="515" t="s">
        <v>2444</v>
      </c>
      <c r="W327" s="515" t="s">
        <v>29</v>
      </c>
      <c r="X327" s="596" t="s">
        <v>3653</v>
      </c>
      <c r="Y327" s="596" t="s">
        <v>3653</v>
      </c>
      <c r="Z327" s="596" t="s">
        <v>3653</v>
      </c>
      <c r="AA327" s="596" t="s">
        <v>3653</v>
      </c>
      <c r="AB327" s="596" t="s">
        <v>3653</v>
      </c>
      <c r="AC327" s="596" t="s">
        <v>3653</v>
      </c>
      <c r="AD327" s="596" t="s">
        <v>3653</v>
      </c>
      <c r="AE327" s="596" t="s">
        <v>3653</v>
      </c>
      <c r="AF327" s="596" t="s">
        <v>3653</v>
      </c>
      <c r="AG327" s="596" t="s">
        <v>3653</v>
      </c>
      <c r="AH327" s="596" t="s">
        <v>3653</v>
      </c>
      <c r="AI327" s="596" t="s">
        <v>3653</v>
      </c>
      <c r="AJ327" s="596" t="s">
        <v>3653</v>
      </c>
      <c r="AK327" s="596" t="s">
        <v>3653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3642</v>
      </c>
      <c r="B328" s="79" t="s">
        <v>4647</v>
      </c>
      <c r="C328" s="564" t="s">
        <v>4648</v>
      </c>
      <c r="D328" s="555">
        <v>5630594.0</v>
      </c>
      <c r="E328" s="505" t="s">
        <v>18</v>
      </c>
      <c r="F328" s="591" t="s">
        <v>29</v>
      </c>
      <c r="G328" s="505" t="s">
        <v>4157</v>
      </c>
      <c r="H328" s="591" t="str">
        <f>IFERROR(VLOOKUP(G328,'Cadastro de assessores'!A:B,2,FALSE),"Não Cadastrado")</f>
        <v>13896</v>
      </c>
      <c r="I328" s="591"/>
      <c r="J328" s="505" t="s">
        <v>88</v>
      </c>
      <c r="K328" s="505" t="s">
        <v>88</v>
      </c>
      <c r="L328" s="515" t="s">
        <v>3659</v>
      </c>
      <c r="M328" s="592">
        <v>44356.0</v>
      </c>
      <c r="N328" s="592">
        <v>44356.0</v>
      </c>
      <c r="O328" s="555"/>
      <c r="P328" s="555" t="s">
        <v>3855</v>
      </c>
      <c r="Q328" s="594">
        <v>0.02</v>
      </c>
      <c r="R328" s="210"/>
      <c r="S328" s="595"/>
      <c r="T328" s="515" t="str">
        <f t="shared" si="33"/>
        <v/>
      </c>
      <c r="U328" s="515" t="s">
        <v>89</v>
      </c>
      <c r="V328" s="515" t="s">
        <v>2449</v>
      </c>
      <c r="W328" s="515" t="s">
        <v>121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3642</v>
      </c>
      <c r="B329" s="79" t="s">
        <v>4649</v>
      </c>
      <c r="C329" s="597" t="s">
        <v>4650</v>
      </c>
      <c r="D329" s="515">
        <v>4680045.0</v>
      </c>
      <c r="E329" s="505" t="s">
        <v>86</v>
      </c>
      <c r="F329" s="505" t="s">
        <v>29</v>
      </c>
      <c r="G329" s="505" t="s">
        <v>3910</v>
      </c>
      <c r="H329" s="505" t="str">
        <f>IFERROR(VLOOKUP(G329,'Cadastro de assessores'!A:B,2,FALSE),"Não Cadastrado")</f>
        <v>15049</v>
      </c>
      <c r="I329" s="505"/>
      <c r="J329" s="505" t="s">
        <v>3645</v>
      </c>
      <c r="K329" s="515" t="s">
        <v>116</v>
      </c>
      <c r="L329" s="515" t="s">
        <v>3675</v>
      </c>
      <c r="M329" s="593">
        <v>44182.0</v>
      </c>
      <c r="N329" s="593">
        <v>44183.0</v>
      </c>
      <c r="O329" s="515"/>
      <c r="P329" s="515" t="s">
        <v>3651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89</v>
      </c>
      <c r="V329" s="515" t="s">
        <v>2410</v>
      </c>
      <c r="W329" s="515" t="s">
        <v>29</v>
      </c>
      <c r="X329" s="596" t="s">
        <v>3653</v>
      </c>
      <c r="Y329" s="596" t="s">
        <v>3653</v>
      </c>
      <c r="Z329" s="596" t="s">
        <v>3653</v>
      </c>
      <c r="AA329" s="596" t="s">
        <v>3653</v>
      </c>
      <c r="AB329" s="596" t="s">
        <v>3653</v>
      </c>
      <c r="AC329" s="596" t="s">
        <v>3653</v>
      </c>
      <c r="AD329" s="596" t="s">
        <v>3653</v>
      </c>
      <c r="AE329" s="596" t="s">
        <v>3653</v>
      </c>
      <c r="AF329" s="596" t="s">
        <v>3653</v>
      </c>
      <c r="AG329" s="596" t="s">
        <v>3653</v>
      </c>
      <c r="AH329" s="596" t="s">
        <v>3653</v>
      </c>
      <c r="AI329" s="596" t="s">
        <v>3653</v>
      </c>
      <c r="AJ329" s="596" t="s">
        <v>3653</v>
      </c>
      <c r="AK329" s="596" t="s">
        <v>3653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3642</v>
      </c>
      <c r="B330" s="79" t="s">
        <v>4651</v>
      </c>
      <c r="C330" s="626" t="s">
        <v>4652</v>
      </c>
      <c r="D330" s="515">
        <v>7854925.0</v>
      </c>
      <c r="E330" s="665" t="s">
        <v>18</v>
      </c>
      <c r="F330" s="655" t="s">
        <v>19</v>
      </c>
      <c r="G330" s="505" t="s">
        <v>52</v>
      </c>
      <c r="H330" s="505" t="str">
        <f>IFERROR(VLOOKUP(G330,'Cadastro de assessores'!A:B,2,FALSE),"Não Cadastrado")</f>
        <v>17831</v>
      </c>
      <c r="I330" s="505"/>
      <c r="J330" s="505" t="s">
        <v>88</v>
      </c>
      <c r="K330" s="505" t="s">
        <v>88</v>
      </c>
      <c r="L330" s="515" t="s">
        <v>3659</v>
      </c>
      <c r="M330" s="592">
        <v>44602.0</v>
      </c>
      <c r="N330" s="592">
        <v>44606.0</v>
      </c>
      <c r="O330" s="515"/>
      <c r="P330" s="515" t="s">
        <v>4653</v>
      </c>
      <c r="Q330" s="594">
        <v>0.012</v>
      </c>
      <c r="R330" s="499" t="s">
        <v>4654</v>
      </c>
      <c r="S330" s="595"/>
      <c r="T330" s="515" t="str">
        <f t="shared" si="33"/>
        <v/>
      </c>
      <c r="U330" s="515" t="s">
        <v>89</v>
      </c>
      <c r="V330" s="515" t="s">
        <v>2482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4"/>
      <c r="AP330" s="664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3642</v>
      </c>
      <c r="B331" s="79" t="s">
        <v>4655</v>
      </c>
      <c r="C331" s="597" t="s">
        <v>4656</v>
      </c>
      <c r="D331" s="515">
        <v>4901933.0</v>
      </c>
      <c r="E331" s="515" t="s">
        <v>18</v>
      </c>
      <c r="F331" s="504" t="s">
        <v>19</v>
      </c>
      <c r="G331" s="515" t="s">
        <v>230</v>
      </c>
      <c r="H331" s="515" t="str">
        <f>IFERROR(VLOOKUP(G331,'Cadastro de assessores'!A:B,2,FALSE),"Não Cadastrado")</f>
        <v>18009</v>
      </c>
      <c r="I331" s="515"/>
      <c r="J331" s="598" t="s">
        <v>2393</v>
      </c>
      <c r="K331" s="515" t="s">
        <v>2393</v>
      </c>
      <c r="L331" s="515" t="s">
        <v>3659</v>
      </c>
      <c r="M331" s="600">
        <v>44251.0</v>
      </c>
      <c r="N331" s="600">
        <v>44251.0</v>
      </c>
      <c r="O331" s="600">
        <v>44783.0</v>
      </c>
      <c r="P331" s="515" t="s">
        <v>3651</v>
      </c>
      <c r="Q331" s="594">
        <v>0.015</v>
      </c>
      <c r="R331" s="601" t="s">
        <v>4657</v>
      </c>
      <c r="S331" s="595"/>
      <c r="T331" s="515" t="str">
        <f t="shared" si="33"/>
        <v>Não Qualificado</v>
      </c>
      <c r="U331" s="515" t="s">
        <v>89</v>
      </c>
      <c r="V331" s="515" t="s">
        <v>4135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4">
        <v>197301.5</v>
      </c>
      <c r="AP331" s="664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3642</v>
      </c>
      <c r="B332" s="79" t="s">
        <v>1529</v>
      </c>
      <c r="C332" s="564" t="s">
        <v>1527</v>
      </c>
      <c r="D332" s="555">
        <v>581733.0</v>
      </c>
      <c r="E332" s="505" t="s">
        <v>18</v>
      </c>
      <c r="F332" s="591" t="s">
        <v>29</v>
      </c>
      <c r="G332" s="505" t="s">
        <v>633</v>
      </c>
      <c r="H332" s="505" t="str">
        <f>IFERROR(VLOOKUP(G332,'Cadastro de assessores'!A:B,2,FALSE),"Não Cadastrado")</f>
        <v>18467</v>
      </c>
      <c r="I332" s="505"/>
      <c r="J332" s="505" t="s">
        <v>88</v>
      </c>
      <c r="K332" s="505" t="s">
        <v>88</v>
      </c>
      <c r="L332" s="515" t="s">
        <v>3659</v>
      </c>
      <c r="M332" s="592">
        <v>44452.0</v>
      </c>
      <c r="N332" s="592">
        <v>44453.0</v>
      </c>
      <c r="O332" s="555"/>
      <c r="P332" s="555" t="s">
        <v>3664</v>
      </c>
      <c r="Q332" s="594">
        <v>0.015</v>
      </c>
      <c r="R332" s="210" t="s">
        <v>4658</v>
      </c>
      <c r="S332" s="595"/>
      <c r="T332" s="515" t="str">
        <f t="shared" si="33"/>
        <v>Não Qualificado</v>
      </c>
      <c r="U332" s="515" t="s">
        <v>89</v>
      </c>
      <c r="V332" s="555" t="s">
        <v>2421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3642</v>
      </c>
      <c r="B333" s="79" t="s">
        <v>1529</v>
      </c>
      <c r="C333" s="564" t="s">
        <v>1527</v>
      </c>
      <c r="D333" s="604">
        <v>8089465.0</v>
      </c>
      <c r="E333" s="666" t="s">
        <v>18</v>
      </c>
      <c r="F333" s="591" t="s">
        <v>29</v>
      </c>
      <c r="G333" s="505" t="s">
        <v>633</v>
      </c>
      <c r="H333" s="505" t="str">
        <f>IFERROR(VLOOKUP(G333,'Cadastro de assessores'!A:B,2,FALSE),"Não Cadastrado")</f>
        <v>18467</v>
      </c>
      <c r="I333" s="505"/>
      <c r="J333" s="555" t="s">
        <v>88</v>
      </c>
      <c r="K333" s="555" t="s">
        <v>88</v>
      </c>
      <c r="L333" s="624" t="s">
        <v>3659</v>
      </c>
      <c r="M333" s="667">
        <v>44630.0</v>
      </c>
      <c r="N333" s="667">
        <v>44631.0</v>
      </c>
      <c r="O333" s="555"/>
      <c r="P333" s="555" t="s">
        <v>3657</v>
      </c>
      <c r="Q333" s="556">
        <v>0.007</v>
      </c>
      <c r="R333" s="210" t="s">
        <v>4658</v>
      </c>
      <c r="S333" s="595"/>
      <c r="T333" s="515" t="str">
        <f t="shared" si="33"/>
        <v>Não Qualificado</v>
      </c>
      <c r="U333" s="515" t="s">
        <v>89</v>
      </c>
      <c r="V333" s="555" t="s">
        <v>2421</v>
      </c>
      <c r="W333" s="555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3642</v>
      </c>
      <c r="B334" s="79" t="s">
        <v>1533</v>
      </c>
      <c r="C334" s="564" t="s">
        <v>1531</v>
      </c>
      <c r="D334" s="555">
        <v>5581002.0</v>
      </c>
      <c r="E334" s="505" t="s">
        <v>18</v>
      </c>
      <c r="F334" s="505" t="s">
        <v>29</v>
      </c>
      <c r="G334" s="591" t="s">
        <v>137</v>
      </c>
      <c r="H334" s="591">
        <f>IFERROR(VLOOKUP(G334,'Cadastro de assessores'!A:B,2,FALSE),"Não Cadastrado")</f>
        <v>12344</v>
      </c>
      <c r="I334" s="591"/>
      <c r="J334" s="505" t="s">
        <v>88</v>
      </c>
      <c r="K334" s="505" t="s">
        <v>88</v>
      </c>
      <c r="L334" s="515" t="s">
        <v>3659</v>
      </c>
      <c r="M334" s="592">
        <v>44340.0</v>
      </c>
      <c r="N334" s="592">
        <v>44340.0</v>
      </c>
      <c r="O334" s="555"/>
      <c r="P334" s="555" t="s">
        <v>3664</v>
      </c>
      <c r="Q334" s="594">
        <v>0.025</v>
      </c>
      <c r="R334" s="601" t="s">
        <v>4659</v>
      </c>
      <c r="S334" s="595"/>
      <c r="T334" s="515" t="str">
        <f t="shared" si="33"/>
        <v/>
      </c>
      <c r="U334" s="515" t="s">
        <v>89</v>
      </c>
      <c r="V334" s="515" t="s">
        <v>2453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3642</v>
      </c>
      <c r="B335" s="79" t="s">
        <v>1533</v>
      </c>
      <c r="C335" s="597" t="s">
        <v>1531</v>
      </c>
      <c r="D335" s="648">
        <v>4924154.0</v>
      </c>
      <c r="E335" s="505" t="s">
        <v>18</v>
      </c>
      <c r="F335" s="505" t="s">
        <v>29</v>
      </c>
      <c r="G335" s="505" t="s">
        <v>137</v>
      </c>
      <c r="H335" s="505">
        <f>IFERROR(VLOOKUP(G335,'Cadastro de assessores'!A:B,2,FALSE),"Não Cadastrado")</f>
        <v>12344</v>
      </c>
      <c r="I335" s="505"/>
      <c r="J335" s="505" t="s">
        <v>88</v>
      </c>
      <c r="K335" s="505" t="s">
        <v>88</v>
      </c>
      <c r="L335" s="515" t="s">
        <v>3659</v>
      </c>
      <c r="M335" s="592">
        <v>44265.0</v>
      </c>
      <c r="N335" s="592">
        <v>44265.0</v>
      </c>
      <c r="O335" s="515"/>
      <c r="P335" s="515" t="s">
        <v>3657</v>
      </c>
      <c r="Q335" s="594">
        <v>0.007</v>
      </c>
      <c r="R335" s="601" t="s">
        <v>4660</v>
      </c>
      <c r="S335" s="595"/>
      <c r="T335" s="515" t="str">
        <f t="shared" si="33"/>
        <v>Não Qualificado</v>
      </c>
      <c r="U335" s="515" t="s">
        <v>89</v>
      </c>
      <c r="V335" s="515" t="s">
        <v>2453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2430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3642</v>
      </c>
      <c r="B336" s="79" t="s">
        <v>4661</v>
      </c>
      <c r="C336" s="564" t="s">
        <v>4662</v>
      </c>
      <c r="D336" s="555">
        <v>2580097.0</v>
      </c>
      <c r="E336" s="515" t="s">
        <v>18</v>
      </c>
      <c r="F336" s="515" t="s">
        <v>29</v>
      </c>
      <c r="G336" s="515" t="s">
        <v>3533</v>
      </c>
      <c r="H336" s="515" t="str">
        <f>IFERROR(VLOOKUP(G336,'Cadastro de assessores'!A:B,2,FALSE),"Não Cadastrado")</f>
        <v>18266</v>
      </c>
      <c r="I336" s="515"/>
      <c r="J336" s="598" t="s">
        <v>2393</v>
      </c>
      <c r="K336" s="515" t="s">
        <v>2393</v>
      </c>
      <c r="L336" s="515" t="s">
        <v>3659</v>
      </c>
      <c r="M336" s="554">
        <v>44341.0</v>
      </c>
      <c r="N336" s="554">
        <v>44341.0</v>
      </c>
      <c r="O336" s="600">
        <v>44788.0</v>
      </c>
      <c r="P336" s="555" t="s">
        <v>4663</v>
      </c>
      <c r="Q336" s="594">
        <v>0.025</v>
      </c>
      <c r="R336" s="601" t="s">
        <v>4664</v>
      </c>
      <c r="S336" s="595"/>
      <c r="T336" s="515" t="str">
        <f t="shared" si="33"/>
        <v/>
      </c>
      <c r="U336" s="515" t="s">
        <v>89</v>
      </c>
      <c r="V336" s="515" t="s">
        <v>2453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3642</v>
      </c>
      <c r="B337" s="79" t="s">
        <v>4665</v>
      </c>
      <c r="C337" s="564" t="s">
        <v>4666</v>
      </c>
      <c r="D337" s="555">
        <v>6130739.0</v>
      </c>
      <c r="E337" s="515" t="s">
        <v>18</v>
      </c>
      <c r="F337" s="504" t="s">
        <v>19</v>
      </c>
      <c r="G337" s="555" t="s">
        <v>230</v>
      </c>
      <c r="H337" s="555" t="str">
        <f>IFERROR(VLOOKUP(G337,'Cadastro de assessores'!A:B,2,FALSE),"Não Cadastrado")</f>
        <v>18009</v>
      </c>
      <c r="I337" s="555"/>
      <c r="J337" s="598" t="s">
        <v>2393</v>
      </c>
      <c r="K337" s="515" t="s">
        <v>2393</v>
      </c>
      <c r="L337" s="515" t="s">
        <v>3646</v>
      </c>
      <c r="M337" s="600">
        <v>44424.0</v>
      </c>
      <c r="N337" s="600">
        <v>44424.0</v>
      </c>
      <c r="O337" s="554">
        <v>44642.0</v>
      </c>
      <c r="P337" s="555" t="s">
        <v>3863</v>
      </c>
      <c r="Q337" s="594">
        <v>0.02</v>
      </c>
      <c r="R337" s="601" t="s">
        <v>4667</v>
      </c>
      <c r="S337" s="595"/>
      <c r="T337" s="515" t="str">
        <f t="shared" si="33"/>
        <v>Não Qualificado</v>
      </c>
      <c r="U337" s="515" t="s">
        <v>89</v>
      </c>
      <c r="V337" s="555" t="s">
        <v>2449</v>
      </c>
      <c r="W337" s="555" t="s">
        <v>121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2396</v>
      </c>
      <c r="BF337" s="443" t="s">
        <v>2396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3642</v>
      </c>
      <c r="B338" s="79" t="s">
        <v>1544</v>
      </c>
      <c r="C338" s="564" t="s">
        <v>1542</v>
      </c>
      <c r="D338" s="555">
        <v>511539.0</v>
      </c>
      <c r="E338" s="505" t="s">
        <v>18</v>
      </c>
      <c r="F338" s="591" t="s">
        <v>19</v>
      </c>
      <c r="G338" s="505" t="s">
        <v>230</v>
      </c>
      <c r="H338" s="591" t="str">
        <f>IFERROR(VLOOKUP(G338,'Cadastro de assessores'!A:B,2,FALSE),"Não Cadastrado")</f>
        <v>18009</v>
      </c>
      <c r="I338" s="591"/>
      <c r="J338" s="505" t="s">
        <v>88</v>
      </c>
      <c r="K338" s="505" t="s">
        <v>88</v>
      </c>
      <c r="L338" s="515" t="s">
        <v>3659</v>
      </c>
      <c r="M338" s="592">
        <v>44368.0</v>
      </c>
      <c r="N338" s="592">
        <v>44379.0</v>
      </c>
      <c r="O338" s="555"/>
      <c r="P338" s="555" t="s">
        <v>3824</v>
      </c>
      <c r="Q338" s="594">
        <v>0.02</v>
      </c>
      <c r="R338" s="601" t="s">
        <v>4668</v>
      </c>
      <c r="S338" s="595"/>
      <c r="T338" s="515" t="str">
        <f t="shared" si="33"/>
        <v>Não Qualificado</v>
      </c>
      <c r="U338" s="515" t="s">
        <v>89</v>
      </c>
      <c r="V338" s="555" t="s">
        <v>2449</v>
      </c>
      <c r="W338" s="555" t="s">
        <v>121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3642</v>
      </c>
      <c r="B339" s="79" t="s">
        <v>4669</v>
      </c>
      <c r="C339" s="597" t="s">
        <v>4670</v>
      </c>
      <c r="D339" s="515">
        <v>4687018.0</v>
      </c>
      <c r="E339" s="515" t="s">
        <v>86</v>
      </c>
      <c r="F339" s="515" t="s">
        <v>29</v>
      </c>
      <c r="G339" s="515" t="s">
        <v>4671</v>
      </c>
      <c r="H339" s="515" t="str">
        <f>IFERROR(VLOOKUP(G339,'Cadastro de assessores'!A:B,2,FALSE),"Não Cadastrado")</f>
        <v>1153</v>
      </c>
      <c r="I339" s="515"/>
      <c r="J339" s="598" t="s">
        <v>2393</v>
      </c>
      <c r="K339" s="515" t="s">
        <v>2393</v>
      </c>
      <c r="L339" s="515" t="s">
        <v>3646</v>
      </c>
      <c r="M339" s="600">
        <v>44225.0</v>
      </c>
      <c r="N339" s="600">
        <v>44225.0</v>
      </c>
      <c r="O339" s="600">
        <v>44627.0</v>
      </c>
      <c r="P339" s="515" t="s">
        <v>3664</v>
      </c>
      <c r="Q339" s="594">
        <v>0.025</v>
      </c>
      <c r="R339" s="601" t="s">
        <v>4672</v>
      </c>
      <c r="S339" s="595"/>
      <c r="T339" s="515" t="str">
        <f t="shared" si="33"/>
        <v>Não Qualificado</v>
      </c>
      <c r="U339" s="515" t="s">
        <v>89</v>
      </c>
      <c r="V339" s="515" t="s">
        <v>2432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2396</v>
      </c>
      <c r="BF339" s="443" t="s">
        <v>2396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3642</v>
      </c>
      <c r="B340" s="79" t="s">
        <v>4673</v>
      </c>
      <c r="C340" s="597" t="s">
        <v>4674</v>
      </c>
      <c r="D340" s="515">
        <v>2201017.0</v>
      </c>
      <c r="E340" s="505" t="s">
        <v>86</v>
      </c>
      <c r="F340" s="505" t="s">
        <v>29</v>
      </c>
      <c r="G340" s="505" t="s">
        <v>3697</v>
      </c>
      <c r="H340" s="505"/>
      <c r="I340" s="505"/>
      <c r="J340" s="505" t="s">
        <v>88</v>
      </c>
      <c r="K340" s="505"/>
      <c r="L340" s="515"/>
      <c r="M340" s="592"/>
      <c r="N340" s="592">
        <v>44893.0</v>
      </c>
      <c r="O340" s="515"/>
      <c r="P340" s="515" t="s">
        <v>3657</v>
      </c>
      <c r="Q340" s="594">
        <v>0.01</v>
      </c>
      <c r="R340" s="601" t="s">
        <v>4675</v>
      </c>
      <c r="S340" s="595"/>
      <c r="T340" s="515"/>
      <c r="U340" s="515"/>
      <c r="V340" s="515"/>
      <c r="W340" s="515" t="s">
        <v>180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4"/>
      <c r="AP340" s="664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3642</v>
      </c>
      <c r="B341" s="79" t="s">
        <v>4676</v>
      </c>
      <c r="C341" s="597" t="s">
        <v>4677</v>
      </c>
      <c r="D341" s="515">
        <v>4637696.0</v>
      </c>
      <c r="E341" s="505" t="s">
        <v>18</v>
      </c>
      <c r="F341" s="505" t="s">
        <v>29</v>
      </c>
      <c r="G341" s="505" t="s">
        <v>2052</v>
      </c>
      <c r="H341" s="505" t="str">
        <f>IFERROR(VLOOKUP(G341,'Cadastro de assessores'!A:B,2,FALSE),"Não Cadastrado")</f>
        <v>18256</v>
      </c>
      <c r="I341" s="505"/>
      <c r="J341" s="505" t="s">
        <v>88</v>
      </c>
      <c r="K341" s="505" t="s">
        <v>88</v>
      </c>
      <c r="L341" s="515" t="s">
        <v>3659</v>
      </c>
      <c r="M341" s="592">
        <v>44249.0</v>
      </c>
      <c r="N341" s="592">
        <v>44249.0</v>
      </c>
      <c r="O341" s="515"/>
      <c r="P341" s="515" t="s">
        <v>3651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89</v>
      </c>
      <c r="V341" s="515" t="s">
        <v>2453</v>
      </c>
      <c r="W341" s="515" t="s">
        <v>29</v>
      </c>
      <c r="X341" s="596" t="s">
        <v>3653</v>
      </c>
      <c r="Y341" s="596" t="s">
        <v>3653</v>
      </c>
      <c r="Z341" s="596" t="s">
        <v>3653</v>
      </c>
      <c r="AA341" s="596" t="s">
        <v>3653</v>
      </c>
      <c r="AB341" s="596" t="s">
        <v>3653</v>
      </c>
      <c r="AC341" s="596" t="s">
        <v>3653</v>
      </c>
      <c r="AD341" s="596" t="s">
        <v>3653</v>
      </c>
      <c r="AE341" s="596" t="s">
        <v>3653</v>
      </c>
      <c r="AF341" s="596" t="s">
        <v>3653</v>
      </c>
      <c r="AG341" s="596" t="s">
        <v>3653</v>
      </c>
      <c r="AH341" s="596" t="s">
        <v>3653</v>
      </c>
      <c r="AI341" s="596" t="s">
        <v>3653</v>
      </c>
      <c r="AJ341" s="596" t="s">
        <v>3653</v>
      </c>
      <c r="AK341" s="596" t="s">
        <v>3653</v>
      </c>
      <c r="AL341" s="443" t="s">
        <v>2430</v>
      </c>
      <c r="AM341" s="443"/>
      <c r="AN341" s="443">
        <v>49451.99</v>
      </c>
      <c r="AO341" s="664">
        <v>75248.01</v>
      </c>
      <c r="AP341" s="664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3642</v>
      </c>
      <c r="B342" s="79" t="s">
        <v>4678</v>
      </c>
      <c r="C342" s="597" t="s">
        <v>4679</v>
      </c>
      <c r="D342" s="515">
        <v>4644940.0</v>
      </c>
      <c r="E342" s="505" t="s">
        <v>2379</v>
      </c>
      <c r="F342" s="505" t="s">
        <v>29</v>
      </c>
      <c r="G342" s="505" t="s">
        <v>2379</v>
      </c>
      <c r="H342" s="505" t="str">
        <f>IFERROR(VLOOKUP(G342,'Cadastro de assessores'!A:B,2,FALSE),"Não Cadastrado")</f>
        <v>18986</v>
      </c>
      <c r="I342" s="505"/>
      <c r="J342" s="505" t="s">
        <v>88</v>
      </c>
      <c r="K342" s="505" t="s">
        <v>88</v>
      </c>
      <c r="L342" s="515" t="s">
        <v>3659</v>
      </c>
      <c r="M342" s="593">
        <v>44186.0</v>
      </c>
      <c r="N342" s="593">
        <v>44195.0</v>
      </c>
      <c r="O342" s="515"/>
      <c r="P342" s="515" t="s">
        <v>3660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89</v>
      </c>
      <c r="V342" s="515" t="s">
        <v>2421</v>
      </c>
      <c r="W342" s="515" t="s">
        <v>29</v>
      </c>
      <c r="X342" s="596" t="s">
        <v>3653</v>
      </c>
      <c r="Y342" s="596" t="s">
        <v>3653</v>
      </c>
      <c r="Z342" s="596" t="s">
        <v>3653</v>
      </c>
      <c r="AA342" s="596" t="s">
        <v>3653</v>
      </c>
      <c r="AB342" s="596" t="s">
        <v>3653</v>
      </c>
      <c r="AC342" s="596" t="s">
        <v>3653</v>
      </c>
      <c r="AD342" s="596" t="s">
        <v>3653</v>
      </c>
      <c r="AE342" s="596" t="s">
        <v>3653</v>
      </c>
      <c r="AF342" s="596" t="s">
        <v>3653</v>
      </c>
      <c r="AG342" s="596" t="s">
        <v>3653</v>
      </c>
      <c r="AH342" s="596" t="s">
        <v>3653</v>
      </c>
      <c r="AI342" s="596" t="s">
        <v>3653</v>
      </c>
      <c r="AJ342" s="596" t="s">
        <v>3653</v>
      </c>
      <c r="AK342" s="596" t="s">
        <v>3653</v>
      </c>
      <c r="AL342" s="443">
        <v>219924.3</v>
      </c>
      <c r="AM342" s="443">
        <v>218648.6</v>
      </c>
      <c r="AN342" s="443">
        <v>215302.17</v>
      </c>
      <c r="AO342" s="664">
        <v>215535.41</v>
      </c>
      <c r="AP342" s="664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3642</v>
      </c>
      <c r="B343" s="79" t="s">
        <v>4680</v>
      </c>
      <c r="C343" s="626" t="s">
        <v>1551</v>
      </c>
      <c r="D343" s="604">
        <v>4358218.0</v>
      </c>
      <c r="E343" s="591" t="s">
        <v>18</v>
      </c>
      <c r="F343" s="591" t="s">
        <v>29</v>
      </c>
      <c r="G343" s="505" t="s">
        <v>137</v>
      </c>
      <c r="H343" s="505">
        <f>IFERROR(VLOOKUP(G343,'Cadastro de assessores'!A:B,2,FALSE),"Não Cadastrado")</f>
        <v>12344</v>
      </c>
      <c r="I343" s="505"/>
      <c r="J343" s="505" t="s">
        <v>88</v>
      </c>
      <c r="K343" s="505" t="s">
        <v>88</v>
      </c>
      <c r="L343" s="515" t="s">
        <v>3659</v>
      </c>
      <c r="M343" s="605">
        <v>44782.0</v>
      </c>
      <c r="N343" s="605">
        <v>44774.0</v>
      </c>
      <c r="O343" s="555"/>
      <c r="P343" s="555" t="s">
        <v>3657</v>
      </c>
      <c r="Q343" s="594">
        <v>0.007</v>
      </c>
      <c r="R343" s="601" t="s">
        <v>3657</v>
      </c>
      <c r="S343" s="595"/>
      <c r="T343" s="515"/>
      <c r="U343" s="515" t="s">
        <v>89</v>
      </c>
      <c r="V343" s="515" t="s">
        <v>2453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4"/>
      <c r="AP343" s="664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3642</v>
      </c>
      <c r="B344" s="79" t="s">
        <v>1557</v>
      </c>
      <c r="C344" s="626" t="s">
        <v>1555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88</v>
      </c>
      <c r="K344" s="505" t="s">
        <v>88</v>
      </c>
      <c r="L344" s="515" t="s">
        <v>3659</v>
      </c>
      <c r="M344" s="605">
        <v>44615.0</v>
      </c>
      <c r="N344" s="605">
        <v>44623.0</v>
      </c>
      <c r="O344" s="555"/>
      <c r="P344" s="555" t="s">
        <v>3657</v>
      </c>
      <c r="Q344" s="594">
        <v>0.007</v>
      </c>
      <c r="R344" s="601" t="s">
        <v>4681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89</v>
      </c>
      <c r="V344" s="515" t="s">
        <v>3921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4"/>
      <c r="AP344" s="664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3642</v>
      </c>
      <c r="B345" s="79" t="s">
        <v>4682</v>
      </c>
      <c r="C345" s="597" t="s">
        <v>4683</v>
      </c>
      <c r="D345" s="515">
        <v>4697028.0</v>
      </c>
      <c r="E345" s="505" t="s">
        <v>86</v>
      </c>
      <c r="F345" s="505" t="s">
        <v>29</v>
      </c>
      <c r="G345" s="505" t="s">
        <v>3948</v>
      </c>
      <c r="H345" s="505" t="str">
        <f>IFERROR(VLOOKUP(G345,'Cadastro de assessores'!A:B,2,FALSE),"Não Cadastrado")</f>
        <v>19157</v>
      </c>
      <c r="I345" s="505"/>
      <c r="J345" s="598" t="s">
        <v>2393</v>
      </c>
      <c r="K345" s="505" t="s">
        <v>88</v>
      </c>
      <c r="L345" s="515" t="s">
        <v>3659</v>
      </c>
      <c r="M345" s="593">
        <v>44189.0</v>
      </c>
      <c r="N345" s="593">
        <v>44195.0</v>
      </c>
      <c r="O345" s="515"/>
      <c r="P345" s="515" t="s">
        <v>3647</v>
      </c>
      <c r="Q345" s="594">
        <v>0.02</v>
      </c>
      <c r="R345" s="601"/>
      <c r="S345" s="595"/>
      <c r="T345" s="515" t="str">
        <f t="shared" si="35"/>
        <v/>
      </c>
      <c r="U345" s="515" t="s">
        <v>89</v>
      </c>
      <c r="V345" s="515" t="s">
        <v>2950</v>
      </c>
      <c r="W345" s="515" t="s">
        <v>29</v>
      </c>
      <c r="X345" s="596" t="s">
        <v>3653</v>
      </c>
      <c r="Y345" s="596" t="s">
        <v>3653</v>
      </c>
      <c r="Z345" s="596" t="s">
        <v>3653</v>
      </c>
      <c r="AA345" s="596" t="s">
        <v>3653</v>
      </c>
      <c r="AB345" s="596" t="s">
        <v>3653</v>
      </c>
      <c r="AC345" s="596" t="s">
        <v>3653</v>
      </c>
      <c r="AD345" s="596" t="s">
        <v>3653</v>
      </c>
      <c r="AE345" s="596" t="s">
        <v>3653</v>
      </c>
      <c r="AF345" s="596" t="s">
        <v>3653</v>
      </c>
      <c r="AG345" s="596" t="s">
        <v>3653</v>
      </c>
      <c r="AH345" s="596" t="s">
        <v>3653</v>
      </c>
      <c r="AI345" s="596" t="s">
        <v>3653</v>
      </c>
      <c r="AJ345" s="596" t="s">
        <v>3653</v>
      </c>
      <c r="AK345" s="596" t="s">
        <v>3653</v>
      </c>
      <c r="AL345" s="443">
        <v>203913.24</v>
      </c>
      <c r="AM345" s="443">
        <v>198367.63</v>
      </c>
      <c r="AN345" s="443">
        <v>190710.34</v>
      </c>
      <c r="AO345" s="664">
        <v>190901.3</v>
      </c>
      <c r="AP345" s="664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3642</v>
      </c>
      <c r="B346" s="79" t="s">
        <v>1560</v>
      </c>
      <c r="C346" s="597" t="s">
        <v>1558</v>
      </c>
      <c r="D346" s="515">
        <v>4945025.0</v>
      </c>
      <c r="E346" s="505" t="s">
        <v>18</v>
      </c>
      <c r="F346" s="505" t="s">
        <v>29</v>
      </c>
      <c r="G346" s="505" t="s">
        <v>2633</v>
      </c>
      <c r="H346" s="505" t="str">
        <f>IFERROR(VLOOKUP(G346,'Cadastro de assessores'!A:B,2,FALSE),"Não Cadastrado")</f>
        <v>18236</v>
      </c>
      <c r="I346" s="505"/>
      <c r="J346" s="505" t="s">
        <v>88</v>
      </c>
      <c r="K346" s="505" t="s">
        <v>88</v>
      </c>
      <c r="L346" s="515" t="s">
        <v>3659</v>
      </c>
      <c r="M346" s="592">
        <v>44266.0</v>
      </c>
      <c r="N346" s="592">
        <v>44266.0</v>
      </c>
      <c r="O346" s="515"/>
      <c r="P346" s="515" t="s">
        <v>3660</v>
      </c>
      <c r="Q346" s="594">
        <v>0.012</v>
      </c>
      <c r="R346" s="601" t="s">
        <v>4681</v>
      </c>
      <c r="S346" s="595"/>
      <c r="T346" s="515" t="str">
        <f t="shared" si="35"/>
        <v>Qualificado</v>
      </c>
      <c r="U346" s="515" t="s">
        <v>89</v>
      </c>
      <c r="V346" s="515" t="s">
        <v>3313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4"/>
      <c r="AP346" s="664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3642</v>
      </c>
      <c r="B347" s="79" t="s">
        <v>4684</v>
      </c>
      <c r="C347" s="127" t="s">
        <v>4685</v>
      </c>
      <c r="D347" s="555">
        <v>7438369.0</v>
      </c>
      <c r="E347" s="515" t="s">
        <v>86</v>
      </c>
      <c r="F347" s="504" t="s">
        <v>29</v>
      </c>
      <c r="G347" s="555" t="s">
        <v>3697</v>
      </c>
      <c r="H347" s="515" t="str">
        <f>IFERROR(VLOOKUP(G347,'Cadastro de assessores'!A:B,2,FALSE),"Não Cadastrado")</f>
        <v>12624</v>
      </c>
      <c r="I347" s="515"/>
      <c r="J347" s="598" t="s">
        <v>2393</v>
      </c>
      <c r="K347" s="515" t="s">
        <v>2393</v>
      </c>
      <c r="L347" s="515" t="s">
        <v>3646</v>
      </c>
      <c r="M347" s="668">
        <v>44551.0</v>
      </c>
      <c r="N347" s="668">
        <v>44551.0</v>
      </c>
      <c r="O347" s="669">
        <v>44329.0</v>
      </c>
      <c r="P347" s="555" t="s">
        <v>3664</v>
      </c>
      <c r="Q347" s="594">
        <v>0.025</v>
      </c>
      <c r="R347" s="601" t="s">
        <v>4686</v>
      </c>
      <c r="S347" s="595"/>
      <c r="T347" s="515" t="str">
        <f t="shared" si="35"/>
        <v>Não Qualificado</v>
      </c>
      <c r="U347" s="515" t="s">
        <v>89</v>
      </c>
      <c r="V347" s="515" t="s">
        <v>2453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2396</v>
      </c>
      <c r="BF347" s="443" t="s">
        <v>2396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3642</v>
      </c>
      <c r="B348" s="79" t="s">
        <v>4684</v>
      </c>
      <c r="C348" s="127" t="s">
        <v>4685</v>
      </c>
      <c r="D348" s="555">
        <v>7542389.0</v>
      </c>
      <c r="E348" s="515" t="s">
        <v>86</v>
      </c>
      <c r="F348" s="504" t="s">
        <v>29</v>
      </c>
      <c r="G348" s="555" t="s">
        <v>3697</v>
      </c>
      <c r="H348" s="515" t="str">
        <f>IFERROR(VLOOKUP(G348,'Cadastro de assessores'!A:B,2,FALSE),"Não Cadastrado")</f>
        <v>12624</v>
      </c>
      <c r="I348" s="515"/>
      <c r="J348" s="598" t="s">
        <v>2393</v>
      </c>
      <c r="K348" s="515" t="s">
        <v>2393</v>
      </c>
      <c r="L348" s="515" t="s">
        <v>3646</v>
      </c>
      <c r="M348" s="554">
        <v>44579.0</v>
      </c>
      <c r="N348" s="554">
        <v>44579.0</v>
      </c>
      <c r="O348" s="554">
        <v>44694.0</v>
      </c>
      <c r="P348" s="555" t="s">
        <v>3657</v>
      </c>
      <c r="Q348" s="594">
        <v>0.007</v>
      </c>
      <c r="R348" s="601" t="s">
        <v>4686</v>
      </c>
      <c r="S348" s="595"/>
      <c r="T348" s="515" t="str">
        <f t="shared" si="35"/>
        <v>Não Qualificado</v>
      </c>
      <c r="U348" s="515" t="s">
        <v>89</v>
      </c>
      <c r="V348" s="515" t="s">
        <v>2453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2396</v>
      </c>
      <c r="BF348" s="443" t="s">
        <v>2396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3642</v>
      </c>
      <c r="B349" s="79" t="s">
        <v>4687</v>
      </c>
      <c r="C349" s="597" t="s">
        <v>4688</v>
      </c>
      <c r="D349" s="515">
        <v>4455201.0</v>
      </c>
      <c r="E349" s="515" t="s">
        <v>86</v>
      </c>
      <c r="F349" s="515" t="s">
        <v>29</v>
      </c>
      <c r="G349" s="515" t="s">
        <v>3818</v>
      </c>
      <c r="H349" s="515" t="str">
        <f>IFERROR(VLOOKUP(G349,'Cadastro de assessores'!A:B,2,FALSE),"Não Cadastrado")</f>
        <v>16459</v>
      </c>
      <c r="I349" s="515"/>
      <c r="J349" s="598" t="s">
        <v>2393</v>
      </c>
      <c r="K349" s="515" t="s">
        <v>2393</v>
      </c>
      <c r="L349" s="515" t="s">
        <v>3646</v>
      </c>
      <c r="M349" s="600">
        <v>44097.0</v>
      </c>
      <c r="N349" s="600">
        <v>44097.0</v>
      </c>
      <c r="O349" s="600">
        <v>44210.0</v>
      </c>
      <c r="P349" s="515" t="s">
        <v>3647</v>
      </c>
      <c r="Q349" s="594">
        <v>0.02</v>
      </c>
      <c r="R349" s="601" t="s">
        <v>4689</v>
      </c>
      <c r="S349" s="595"/>
      <c r="T349" s="515" t="str">
        <f t="shared" si="35"/>
        <v/>
      </c>
      <c r="U349" s="515" t="s">
        <v>89</v>
      </c>
      <c r="V349" s="515" t="s">
        <v>2421</v>
      </c>
      <c r="W349" s="515" t="s">
        <v>29</v>
      </c>
      <c r="X349" s="596" t="s">
        <v>3653</v>
      </c>
      <c r="Y349" s="596" t="s">
        <v>3653</v>
      </c>
      <c r="Z349" s="596" t="s">
        <v>3653</v>
      </c>
      <c r="AA349" s="596" t="s">
        <v>3653</v>
      </c>
      <c r="AB349" s="596" t="s">
        <v>3653</v>
      </c>
      <c r="AC349" s="596" t="s">
        <v>3653</v>
      </c>
      <c r="AD349" s="596" t="s">
        <v>3653</v>
      </c>
      <c r="AE349" s="596" t="s">
        <v>3653</v>
      </c>
      <c r="AF349" s="596" t="s">
        <v>3653</v>
      </c>
      <c r="AG349" s="596" t="s">
        <v>3653</v>
      </c>
      <c r="AH349" s="596" t="s">
        <v>3653</v>
      </c>
      <c r="AI349" s="596" t="s">
        <v>4690</v>
      </c>
      <c r="AJ349" s="596" t="s">
        <v>4691</v>
      </c>
      <c r="AK349" s="596" t="s">
        <v>4692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2396</v>
      </c>
      <c r="BF349" s="443" t="s">
        <v>2396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3642</v>
      </c>
      <c r="B350" s="79" t="s">
        <v>1567</v>
      </c>
      <c r="C350" s="564" t="s">
        <v>1565</v>
      </c>
      <c r="D350" s="555">
        <v>8524764.0</v>
      </c>
      <c r="E350" s="505" t="s">
        <v>18</v>
      </c>
      <c r="F350" s="505" t="s">
        <v>29</v>
      </c>
      <c r="G350" s="555" t="s">
        <v>865</v>
      </c>
      <c r="H350" s="591" t="str">
        <f>IFERROR(VLOOKUP(G350,'Cadastro de assessores'!A:B,2,FALSE),"Não Cadastrado")</f>
        <v>14739</v>
      </c>
      <c r="I350" s="591"/>
      <c r="J350" s="505" t="s">
        <v>88</v>
      </c>
      <c r="K350" s="505" t="s">
        <v>88</v>
      </c>
      <c r="L350" s="515" t="s">
        <v>3659</v>
      </c>
      <c r="M350" s="605">
        <v>44691.0</v>
      </c>
      <c r="N350" s="605">
        <v>44698.0</v>
      </c>
      <c r="O350" s="555"/>
      <c r="P350" s="555" t="s">
        <v>3664</v>
      </c>
      <c r="Q350" s="594">
        <v>0.025</v>
      </c>
      <c r="R350" s="601" t="s">
        <v>4693</v>
      </c>
      <c r="S350" s="595"/>
      <c r="T350" s="515" t="str">
        <f t="shared" si="35"/>
        <v>Qualificado</v>
      </c>
      <c r="U350" s="515" t="s">
        <v>89</v>
      </c>
      <c r="V350" s="555" t="s">
        <v>4168</v>
      </c>
      <c r="W350" s="555" t="s">
        <v>121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4"/>
      <c r="AO350" s="664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3642</v>
      </c>
      <c r="B351" s="79" t="s">
        <v>1567</v>
      </c>
      <c r="C351" s="564" t="s">
        <v>1565</v>
      </c>
      <c r="D351" s="555">
        <v>8598875.0</v>
      </c>
      <c r="E351" s="505" t="s">
        <v>18</v>
      </c>
      <c r="F351" s="505" t="s">
        <v>29</v>
      </c>
      <c r="G351" s="555" t="s">
        <v>865</v>
      </c>
      <c r="H351" s="591" t="str">
        <f>IFERROR(VLOOKUP(G351,'Cadastro de assessores'!A:B,2,FALSE),"Não Cadastrado")</f>
        <v>14739</v>
      </c>
      <c r="I351" s="591"/>
      <c r="J351" s="505" t="s">
        <v>88</v>
      </c>
      <c r="K351" s="505" t="s">
        <v>88</v>
      </c>
      <c r="L351" s="515" t="s">
        <v>3659</v>
      </c>
      <c r="M351" s="605">
        <v>44699.0</v>
      </c>
      <c r="N351" s="605">
        <v>44708.0</v>
      </c>
      <c r="O351" s="555"/>
      <c r="P351" s="555" t="s">
        <v>3863</v>
      </c>
      <c r="Q351" s="594">
        <v>0.02</v>
      </c>
      <c r="R351" s="601" t="s">
        <v>4693</v>
      </c>
      <c r="S351" s="595"/>
      <c r="T351" s="515" t="str">
        <f t="shared" si="35"/>
        <v/>
      </c>
      <c r="U351" s="515" t="s">
        <v>89</v>
      </c>
      <c r="V351" s="555" t="s">
        <v>4168</v>
      </c>
      <c r="W351" s="515" t="s">
        <v>121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2396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3642</v>
      </c>
      <c r="B352" s="79" t="s">
        <v>4694</v>
      </c>
      <c r="C352" s="670" t="s">
        <v>4695</v>
      </c>
      <c r="D352" s="671">
        <v>5686058.0</v>
      </c>
      <c r="E352" s="515" t="s">
        <v>18</v>
      </c>
      <c r="F352" s="504" t="s">
        <v>29</v>
      </c>
      <c r="G352" s="504" t="s">
        <v>4185</v>
      </c>
      <c r="H352" s="504" t="str">
        <f>IFERROR(VLOOKUP(G352,'Cadastro de assessores'!A:B,2,FALSE),"Não Cadastrado")</f>
        <v>16130</v>
      </c>
      <c r="I352" s="504"/>
      <c r="J352" s="598" t="s">
        <v>2393</v>
      </c>
      <c r="K352" s="515" t="s">
        <v>2393</v>
      </c>
      <c r="L352" s="515" t="s">
        <v>3646</v>
      </c>
      <c r="M352" s="600">
        <v>44370.0</v>
      </c>
      <c r="N352" s="600">
        <v>44370.0</v>
      </c>
      <c r="O352" s="600">
        <v>44768.0</v>
      </c>
      <c r="P352" s="515" t="s">
        <v>3657</v>
      </c>
      <c r="Q352" s="594">
        <v>0.007</v>
      </c>
      <c r="R352" s="601" t="s">
        <v>4696</v>
      </c>
      <c r="S352" s="595"/>
      <c r="T352" s="515" t="str">
        <f t="shared" si="35"/>
        <v>Não Qualificado</v>
      </c>
      <c r="U352" s="515" t="s">
        <v>89</v>
      </c>
      <c r="V352" s="555" t="s">
        <v>2444</v>
      </c>
      <c r="W352" s="555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3642</v>
      </c>
      <c r="B353" s="79" t="s">
        <v>1575</v>
      </c>
      <c r="C353" s="597" t="s">
        <v>4697</v>
      </c>
      <c r="D353" s="515">
        <v>4899222.0</v>
      </c>
      <c r="E353" s="505" t="s">
        <v>18</v>
      </c>
      <c r="F353" s="505" t="s">
        <v>19</v>
      </c>
      <c r="G353" s="505" t="s">
        <v>52</v>
      </c>
      <c r="H353" s="591" t="str">
        <f>IFERROR(VLOOKUP(G353,'Cadastro de assessores'!A:B,2,FALSE),"Não Cadastrado")</f>
        <v>17831</v>
      </c>
      <c r="I353" s="591"/>
      <c r="J353" s="505" t="s">
        <v>88</v>
      </c>
      <c r="K353" s="505" t="s">
        <v>88</v>
      </c>
      <c r="L353" s="515" t="s">
        <v>3659</v>
      </c>
      <c r="M353" s="605">
        <v>44714.0</v>
      </c>
      <c r="N353" s="605">
        <v>44714.0</v>
      </c>
      <c r="O353" s="555"/>
      <c r="P353" s="555" t="s">
        <v>3664</v>
      </c>
      <c r="Q353" s="594">
        <v>0.025</v>
      </c>
      <c r="R353" s="601" t="s">
        <v>4698</v>
      </c>
      <c r="S353" s="595"/>
      <c r="T353" s="515" t="str">
        <f t="shared" si="35"/>
        <v/>
      </c>
      <c r="U353" s="515" t="s">
        <v>89</v>
      </c>
      <c r="V353" s="515" t="s">
        <v>2482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4"/>
      <c r="AP353" s="664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3642</v>
      </c>
      <c r="B354" s="79" t="s">
        <v>4699</v>
      </c>
      <c r="C354" s="597" t="s">
        <v>4700</v>
      </c>
      <c r="D354" s="515">
        <v>4402972.0</v>
      </c>
      <c r="E354" s="505" t="s">
        <v>2379</v>
      </c>
      <c r="F354" s="505" t="s">
        <v>29</v>
      </c>
      <c r="G354" s="505" t="s">
        <v>2379</v>
      </c>
      <c r="H354" s="505" t="str">
        <f>IFERROR(VLOOKUP(G354,'Cadastro de assessores'!A:B,2,FALSE),"Não Cadastrado")</f>
        <v>18986</v>
      </c>
      <c r="I354" s="505"/>
      <c r="J354" s="505" t="s">
        <v>3645</v>
      </c>
      <c r="K354" s="515" t="s">
        <v>116</v>
      </c>
      <c r="L354" s="515" t="s">
        <v>3646</v>
      </c>
      <c r="M354" s="592">
        <v>44063.0</v>
      </c>
      <c r="N354" s="592">
        <v>44068.0</v>
      </c>
      <c r="O354" s="515"/>
      <c r="P354" s="515" t="s">
        <v>3651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89</v>
      </c>
      <c r="V354" s="515" t="s">
        <v>3708</v>
      </c>
      <c r="W354" s="515" t="s">
        <v>29</v>
      </c>
      <c r="X354" s="596" t="s">
        <v>3653</v>
      </c>
      <c r="Y354" s="596" t="s">
        <v>3653</v>
      </c>
      <c r="Z354" s="596" t="s">
        <v>3653</v>
      </c>
      <c r="AA354" s="596" t="s">
        <v>3653</v>
      </c>
      <c r="AB354" s="596" t="s">
        <v>3653</v>
      </c>
      <c r="AC354" s="596" t="s">
        <v>3653</v>
      </c>
      <c r="AD354" s="596" t="s">
        <v>3653</v>
      </c>
      <c r="AE354" s="596" t="s">
        <v>3653</v>
      </c>
      <c r="AF354" s="596" t="s">
        <v>3653</v>
      </c>
      <c r="AG354" s="596" t="s">
        <v>3653</v>
      </c>
      <c r="AH354" s="596" t="s">
        <v>4701</v>
      </c>
      <c r="AI354" s="596" t="s">
        <v>4702</v>
      </c>
      <c r="AJ354" s="596" t="s">
        <v>4703</v>
      </c>
      <c r="AK354" s="596" t="s">
        <v>4704</v>
      </c>
      <c r="AL354" s="443">
        <v>94454.37</v>
      </c>
      <c r="AM354" s="443">
        <v>73479.28</v>
      </c>
      <c r="AN354" s="443">
        <v>1298.32</v>
      </c>
      <c r="AO354" s="664">
        <v>1226.15</v>
      </c>
      <c r="AP354" s="664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2396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3642</v>
      </c>
      <c r="B355" s="79" t="s">
        <v>4705</v>
      </c>
      <c r="C355" s="597" t="s">
        <v>4706</v>
      </c>
      <c r="D355" s="515">
        <v>4681835.0</v>
      </c>
      <c r="E355" s="515" t="s">
        <v>86</v>
      </c>
      <c r="F355" s="515" t="s">
        <v>29</v>
      </c>
      <c r="G355" s="515" t="s">
        <v>3818</v>
      </c>
      <c r="H355" s="515" t="str">
        <f>IFERROR(VLOOKUP(G355,'Cadastro de assessores'!A:B,2,FALSE),"Não Cadastrado")</f>
        <v>16459</v>
      </c>
      <c r="I355" s="515"/>
      <c r="J355" s="598" t="s">
        <v>2393</v>
      </c>
      <c r="K355" s="515" t="s">
        <v>2393</v>
      </c>
      <c r="L355" s="515" t="s">
        <v>3646</v>
      </c>
      <c r="M355" s="600">
        <v>44204.0</v>
      </c>
      <c r="N355" s="600">
        <v>44204.0</v>
      </c>
      <c r="O355" s="600">
        <v>44713.0</v>
      </c>
      <c r="P355" s="515" t="s">
        <v>3647</v>
      </c>
      <c r="Q355" s="594">
        <v>0.02</v>
      </c>
      <c r="R355" s="601" t="s">
        <v>4707</v>
      </c>
      <c r="S355" s="595"/>
      <c r="T355" s="515" t="str">
        <f t="shared" si="35"/>
        <v>Não Qualificado</v>
      </c>
      <c r="U355" s="515" t="s">
        <v>89</v>
      </c>
      <c r="V355" s="515" t="s">
        <v>2453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2396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3642</v>
      </c>
      <c r="B356" s="79" t="s">
        <v>4708</v>
      </c>
      <c r="C356" s="597" t="s">
        <v>4709</v>
      </c>
      <c r="D356" s="515">
        <v>4557602.0</v>
      </c>
      <c r="E356" s="505" t="s">
        <v>86</v>
      </c>
      <c r="F356" s="505" t="s">
        <v>29</v>
      </c>
      <c r="G356" s="505" t="s">
        <v>3913</v>
      </c>
      <c r="H356" s="505" t="str">
        <f>IFERROR(VLOOKUP(G356,'Cadastro de assessores'!A:B,2,FALSE),"Não Cadastrado")</f>
        <v>17243</v>
      </c>
      <c r="I356" s="505"/>
      <c r="J356" s="505" t="s">
        <v>88</v>
      </c>
      <c r="K356" s="505" t="s">
        <v>88</v>
      </c>
      <c r="L356" s="515" t="s">
        <v>3659</v>
      </c>
      <c r="M356" s="592">
        <v>44165.0</v>
      </c>
      <c r="N356" s="592">
        <v>44169.0</v>
      </c>
      <c r="O356" s="515"/>
      <c r="P356" s="515" t="s">
        <v>3647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89</v>
      </c>
      <c r="V356" s="515" t="s">
        <v>2410</v>
      </c>
      <c r="W356" s="515" t="s">
        <v>29</v>
      </c>
      <c r="X356" s="596" t="s">
        <v>3653</v>
      </c>
      <c r="Y356" s="596" t="s">
        <v>3653</v>
      </c>
      <c r="Z356" s="596" t="s">
        <v>3653</v>
      </c>
      <c r="AA356" s="596" t="s">
        <v>3653</v>
      </c>
      <c r="AB356" s="596" t="s">
        <v>3653</v>
      </c>
      <c r="AC356" s="596" t="s">
        <v>3653</v>
      </c>
      <c r="AD356" s="596" t="s">
        <v>3653</v>
      </c>
      <c r="AE356" s="596" t="s">
        <v>3653</v>
      </c>
      <c r="AF356" s="596" t="s">
        <v>3653</v>
      </c>
      <c r="AG356" s="596" t="s">
        <v>3653</v>
      </c>
      <c r="AH356" s="596" t="s">
        <v>3653</v>
      </c>
      <c r="AI356" s="596" t="s">
        <v>3653</v>
      </c>
      <c r="AJ356" s="596" t="s">
        <v>3653</v>
      </c>
      <c r="AK356" s="596" t="s">
        <v>3653</v>
      </c>
      <c r="AL356" s="443">
        <v>317233.19</v>
      </c>
      <c r="AM356" s="443">
        <v>309671.52</v>
      </c>
      <c r="AN356" s="443">
        <v>293527.47</v>
      </c>
      <c r="AO356" s="664">
        <v>292200.83</v>
      </c>
      <c r="AP356" s="664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3642</v>
      </c>
      <c r="B357" s="79" t="s">
        <v>4710</v>
      </c>
      <c r="C357" s="564" t="s">
        <v>1616</v>
      </c>
      <c r="D357" s="481">
        <v>8688674.0</v>
      </c>
      <c r="E357" s="515" t="s">
        <v>18</v>
      </c>
      <c r="F357" s="504" t="s">
        <v>19</v>
      </c>
      <c r="G357" s="515" t="s">
        <v>201</v>
      </c>
      <c r="H357" s="505" t="str">
        <f>IFERROR(VLOOKUP(G357,'Cadastro de assessores'!A:B,2,FALSE),"Não Cadastrado")</f>
        <v>18890</v>
      </c>
      <c r="I357" s="505"/>
      <c r="J357" s="515" t="s">
        <v>88</v>
      </c>
      <c r="K357" s="515" t="s">
        <v>88</v>
      </c>
      <c r="L357" s="515" t="s">
        <v>3659</v>
      </c>
      <c r="M357" s="600">
        <v>44713.0</v>
      </c>
      <c r="N357" s="600">
        <v>44714.0</v>
      </c>
      <c r="O357" s="554"/>
      <c r="P357" s="555" t="s">
        <v>4309</v>
      </c>
      <c r="Q357" s="594">
        <v>0.012</v>
      </c>
      <c r="R357" s="210" t="s">
        <v>3757</v>
      </c>
      <c r="S357" s="595"/>
      <c r="T357" s="515" t="s">
        <v>95</v>
      </c>
      <c r="U357" s="515" t="s">
        <v>89</v>
      </c>
      <c r="V357" s="483" t="s">
        <v>2482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2396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3642</v>
      </c>
      <c r="B358" s="79" t="s">
        <v>4710</v>
      </c>
      <c r="C358" s="564" t="s">
        <v>1616</v>
      </c>
      <c r="D358" s="653">
        <v>8993002.0</v>
      </c>
      <c r="E358" s="515" t="s">
        <v>18</v>
      </c>
      <c r="F358" s="504" t="s">
        <v>19</v>
      </c>
      <c r="G358" s="515" t="s">
        <v>201</v>
      </c>
      <c r="H358" s="505" t="str">
        <f>IFERROR(VLOOKUP(G358,'Cadastro de assessores'!A:B,2,FALSE),"Não Cadastrado")</f>
        <v>18890</v>
      </c>
      <c r="I358" s="505"/>
      <c r="J358" s="515" t="s">
        <v>88</v>
      </c>
      <c r="K358" s="515" t="s">
        <v>88</v>
      </c>
      <c r="L358" s="515" t="s">
        <v>3659</v>
      </c>
      <c r="M358" s="600">
        <v>44768.0</v>
      </c>
      <c r="N358" s="600">
        <v>44769.0</v>
      </c>
      <c r="O358" s="554"/>
      <c r="P358" s="555" t="s">
        <v>4711</v>
      </c>
      <c r="Q358" s="594">
        <v>0.01</v>
      </c>
      <c r="R358" s="210" t="s">
        <v>3757</v>
      </c>
      <c r="S358" s="595"/>
      <c r="T358" s="515"/>
      <c r="U358" s="515" t="s">
        <v>89</v>
      </c>
      <c r="V358" s="483"/>
      <c r="W358" s="515" t="s">
        <v>149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3642</v>
      </c>
      <c r="B359" s="79" t="s">
        <v>4712</v>
      </c>
      <c r="C359" s="564" t="s">
        <v>4713</v>
      </c>
      <c r="D359" s="555">
        <v>5593800.0</v>
      </c>
      <c r="E359" s="515" t="s">
        <v>18</v>
      </c>
      <c r="F359" s="504" t="s">
        <v>19</v>
      </c>
      <c r="G359" s="515" t="s">
        <v>230</v>
      </c>
      <c r="H359" s="555" t="str">
        <f>IFERROR(VLOOKUP(G359,'Cadastro de assessores'!A:B,2,FALSE),"Não Cadastrado")</f>
        <v>18009</v>
      </c>
      <c r="I359" s="555"/>
      <c r="J359" s="598" t="s">
        <v>2393</v>
      </c>
      <c r="K359" s="515" t="s">
        <v>2393</v>
      </c>
      <c r="L359" s="515" t="s">
        <v>3659</v>
      </c>
      <c r="M359" s="600">
        <v>44344.0</v>
      </c>
      <c r="N359" s="600">
        <v>44344.0</v>
      </c>
      <c r="O359" s="554">
        <v>44711.0</v>
      </c>
      <c r="P359" s="555" t="s">
        <v>3647</v>
      </c>
      <c r="Q359" s="594">
        <v>0.02</v>
      </c>
      <c r="R359" s="210" t="s">
        <v>4714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89</v>
      </c>
      <c r="V359" s="483" t="s">
        <v>2449</v>
      </c>
      <c r="W359" s="515" t="s">
        <v>121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2396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3642</v>
      </c>
      <c r="B360" s="79" t="s">
        <v>4715</v>
      </c>
      <c r="C360" s="564" t="s">
        <v>4716</v>
      </c>
      <c r="D360" s="555">
        <v>6493585.0</v>
      </c>
      <c r="E360" s="505" t="s">
        <v>86</v>
      </c>
      <c r="F360" s="591" t="s">
        <v>29</v>
      </c>
      <c r="G360" s="505" t="s">
        <v>3711</v>
      </c>
      <c r="H360" s="608" t="str">
        <f>IFERROR(VLOOKUP(G360,'Cadastro de assessores'!A:B,2,FALSE),"Não Cadastrado")</f>
        <v>1298</v>
      </c>
      <c r="I360" s="608"/>
      <c r="J360" s="505" t="s">
        <v>88</v>
      </c>
      <c r="K360" s="505" t="s">
        <v>88</v>
      </c>
      <c r="L360" s="515" t="s">
        <v>3659</v>
      </c>
      <c r="M360" s="592">
        <v>44449.0</v>
      </c>
      <c r="N360" s="592">
        <v>44452.0</v>
      </c>
      <c r="O360" s="608"/>
      <c r="P360" s="608" t="s">
        <v>3660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89</v>
      </c>
      <c r="V360" s="471" t="s">
        <v>3938</v>
      </c>
      <c r="W360" s="515" t="s">
        <v>121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3642</v>
      </c>
      <c r="B361" s="79" t="s">
        <v>4717</v>
      </c>
      <c r="C361" s="564" t="s">
        <v>4718</v>
      </c>
      <c r="D361" s="555">
        <v>6980115.0</v>
      </c>
      <c r="E361" s="555" t="s">
        <v>18</v>
      </c>
      <c r="F361" s="555" t="s">
        <v>19</v>
      </c>
      <c r="G361" s="555" t="s">
        <v>3978</v>
      </c>
      <c r="H361" s="555" t="str">
        <f>IFERROR(VLOOKUP(G361,'Cadastro de assessores'!A:B,2,FALSE),"Não Cadastrado")</f>
        <v>14294</v>
      </c>
      <c r="I361" s="555"/>
      <c r="J361" s="598" t="s">
        <v>2393</v>
      </c>
      <c r="K361" s="515" t="s">
        <v>2393</v>
      </c>
      <c r="L361" s="505" t="s">
        <v>3646</v>
      </c>
      <c r="M361" s="599">
        <v>44517.0</v>
      </c>
      <c r="N361" s="599">
        <v>44517.0</v>
      </c>
      <c r="O361" s="554">
        <v>44816.0</v>
      </c>
      <c r="P361" s="555" t="s">
        <v>3693</v>
      </c>
      <c r="Q361" s="594">
        <v>0.008</v>
      </c>
      <c r="R361" s="475" t="s">
        <v>4719</v>
      </c>
      <c r="S361" s="595"/>
      <c r="T361" s="515" t="str">
        <f t="shared" si="36"/>
        <v>Não Qualificado</v>
      </c>
      <c r="U361" s="515" t="s">
        <v>89</v>
      </c>
      <c r="V361" s="471" t="s">
        <v>4720</v>
      </c>
      <c r="W361" s="515" t="s">
        <v>121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3642</v>
      </c>
      <c r="B362" s="79" t="s">
        <v>4721</v>
      </c>
      <c r="C362" s="564" t="s">
        <v>4722</v>
      </c>
      <c r="D362" s="555">
        <v>7719774.0</v>
      </c>
      <c r="E362" s="505" t="s">
        <v>86</v>
      </c>
      <c r="F362" s="591" t="s">
        <v>29</v>
      </c>
      <c r="G362" s="505" t="s">
        <v>3702</v>
      </c>
      <c r="H362" s="608" t="str">
        <f>IFERROR(VLOOKUP(G362,'Cadastro de assessores'!A:B,2,FALSE),"Não Cadastrado")</f>
        <v>1441</v>
      </c>
      <c r="I362" s="608"/>
      <c r="J362" s="598" t="s">
        <v>2393</v>
      </c>
      <c r="K362" s="505" t="s">
        <v>88</v>
      </c>
      <c r="L362" s="515" t="s">
        <v>3646</v>
      </c>
      <c r="M362" s="592">
        <v>44585.0</v>
      </c>
      <c r="N362" s="592">
        <v>44599.0</v>
      </c>
      <c r="O362" s="635">
        <v>44886.0</v>
      </c>
      <c r="P362" s="555" t="s">
        <v>3693</v>
      </c>
      <c r="Q362" s="594">
        <v>0.008</v>
      </c>
      <c r="R362" s="210" t="s">
        <v>4723</v>
      </c>
      <c r="S362" s="595"/>
      <c r="T362" s="515" t="str">
        <f t="shared" si="36"/>
        <v>Não Qualificado</v>
      </c>
      <c r="U362" s="515" t="s">
        <v>89</v>
      </c>
      <c r="V362" s="555" t="s">
        <v>2771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3642</v>
      </c>
      <c r="B363" s="79" t="s">
        <v>1633</v>
      </c>
      <c r="C363" s="564" t="s">
        <v>4724</v>
      </c>
      <c r="D363" s="555">
        <v>6604192.0</v>
      </c>
      <c r="E363" s="505" t="s">
        <v>18</v>
      </c>
      <c r="F363" s="591" t="s">
        <v>29</v>
      </c>
      <c r="G363" s="505" t="s">
        <v>633</v>
      </c>
      <c r="H363" s="505" t="str">
        <f>IFERROR(VLOOKUP(G363,'Cadastro de assessores'!A:B,2,FALSE),"Não Cadastrado")</f>
        <v>18467</v>
      </c>
      <c r="I363" s="505"/>
      <c r="J363" s="505" t="s">
        <v>88</v>
      </c>
      <c r="K363" s="505" t="s">
        <v>88</v>
      </c>
      <c r="L363" s="515" t="s">
        <v>3659</v>
      </c>
      <c r="M363" s="592">
        <v>44460.0</v>
      </c>
      <c r="N363" s="592">
        <v>44460.0</v>
      </c>
      <c r="O363" s="555"/>
      <c r="P363" s="555" t="s">
        <v>3657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89</v>
      </c>
      <c r="V363" s="555" t="s">
        <v>4725</v>
      </c>
      <c r="W363" s="515" t="s">
        <v>121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3642</v>
      </c>
      <c r="B364" s="79" t="s">
        <v>1639</v>
      </c>
      <c r="C364" s="564" t="s">
        <v>4726</v>
      </c>
      <c r="D364" s="555">
        <v>6065019.0</v>
      </c>
      <c r="E364" s="505" t="s">
        <v>18</v>
      </c>
      <c r="F364" s="504" t="s">
        <v>19</v>
      </c>
      <c r="G364" s="515" t="s">
        <v>201</v>
      </c>
      <c r="H364" s="505" t="str">
        <f>IFERROR(VLOOKUP(G364,'Cadastro de assessores'!A:B,2,FALSE),"Não Cadastrado")</f>
        <v>18890</v>
      </c>
      <c r="I364" s="505"/>
      <c r="J364" s="515" t="s">
        <v>88</v>
      </c>
      <c r="K364" s="515" t="s">
        <v>88</v>
      </c>
      <c r="L364" s="515" t="s">
        <v>3659</v>
      </c>
      <c r="M364" s="600">
        <v>44746.0</v>
      </c>
      <c r="N364" s="600">
        <v>44749.0</v>
      </c>
      <c r="O364" s="515"/>
      <c r="P364" s="515" t="s">
        <v>3657</v>
      </c>
      <c r="Q364" s="594">
        <v>0.007</v>
      </c>
      <c r="R364" s="601" t="s">
        <v>3757</v>
      </c>
      <c r="S364" s="595"/>
      <c r="T364" s="515" t="s">
        <v>95</v>
      </c>
      <c r="U364" s="515" t="s">
        <v>89</v>
      </c>
      <c r="V364" s="515" t="s">
        <v>2482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2396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3642</v>
      </c>
      <c r="B365" s="79" t="s">
        <v>1644</v>
      </c>
      <c r="C365" s="564" t="s">
        <v>1640</v>
      </c>
      <c r="D365" s="555">
        <v>8688629.0</v>
      </c>
      <c r="E365" s="515" t="s">
        <v>18</v>
      </c>
      <c r="F365" s="504" t="s">
        <v>19</v>
      </c>
      <c r="G365" s="515" t="s">
        <v>201</v>
      </c>
      <c r="H365" s="505" t="str">
        <f>IFERROR(VLOOKUP(G365,'Cadastro de assessores'!A:B,2,FALSE),"Não Cadastrado")</f>
        <v>18890</v>
      </c>
      <c r="I365" s="505"/>
      <c r="J365" s="515" t="s">
        <v>88</v>
      </c>
      <c r="K365" s="515" t="s">
        <v>88</v>
      </c>
      <c r="L365" s="515" t="s">
        <v>3659</v>
      </c>
      <c r="M365" s="600">
        <v>44712.0</v>
      </c>
      <c r="N365" s="600">
        <v>44714.0</v>
      </c>
      <c r="O365" s="515"/>
      <c r="P365" s="515" t="s">
        <v>4309</v>
      </c>
      <c r="Q365" s="594">
        <v>0.012</v>
      </c>
      <c r="R365" s="601" t="s">
        <v>3757</v>
      </c>
      <c r="S365" s="595"/>
      <c r="T365" s="515"/>
      <c r="U365" s="515" t="s">
        <v>89</v>
      </c>
      <c r="V365" s="515" t="s">
        <v>2482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2396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3642</v>
      </c>
      <c r="B366" s="79" t="s">
        <v>1649</v>
      </c>
      <c r="C366" s="597" t="s">
        <v>1646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88</v>
      </c>
      <c r="K366" s="515"/>
      <c r="L366" s="515" t="s">
        <v>3659</v>
      </c>
      <c r="M366" s="600">
        <v>44826.0</v>
      </c>
      <c r="N366" s="600">
        <v>44832.0</v>
      </c>
      <c r="O366" s="515"/>
      <c r="P366" s="515" t="s">
        <v>3657</v>
      </c>
      <c r="Q366" s="594">
        <v>0.01</v>
      </c>
      <c r="R366" s="601" t="s">
        <v>4727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3642</v>
      </c>
      <c r="B367" s="79" t="s">
        <v>4728</v>
      </c>
      <c r="C367" s="597" t="s">
        <v>4729</v>
      </c>
      <c r="D367" s="515">
        <v>4488691.0</v>
      </c>
      <c r="E367" s="505" t="s">
        <v>18</v>
      </c>
      <c r="F367" s="505" t="s">
        <v>29</v>
      </c>
      <c r="G367" s="505" t="s">
        <v>3650</v>
      </c>
      <c r="H367" s="505" t="str">
        <f>IFERROR(VLOOKUP(G367,'Cadastro de assessores'!A:B,2,FALSE),"Não Cadastrado")</f>
        <v>17679</v>
      </c>
      <c r="I367" s="505"/>
      <c r="J367" s="614" t="s">
        <v>4024</v>
      </c>
      <c r="K367" s="515" t="s">
        <v>116</v>
      </c>
      <c r="L367" s="515" t="s">
        <v>3659</v>
      </c>
      <c r="M367" s="515" t="s">
        <v>2430</v>
      </c>
      <c r="N367" s="614" t="s">
        <v>4024</v>
      </c>
      <c r="O367" s="515"/>
      <c r="P367" s="515" t="s">
        <v>3660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89</v>
      </c>
      <c r="V367" s="515" t="s">
        <v>2432</v>
      </c>
      <c r="W367" s="515" t="s">
        <v>29</v>
      </c>
      <c r="X367" s="596" t="s">
        <v>3653</v>
      </c>
      <c r="Y367" s="596" t="s">
        <v>3653</v>
      </c>
      <c r="Z367" s="596" t="s">
        <v>3653</v>
      </c>
      <c r="AA367" s="596" t="s">
        <v>3653</v>
      </c>
      <c r="AB367" s="596" t="s">
        <v>3653</v>
      </c>
      <c r="AC367" s="596" t="s">
        <v>3653</v>
      </c>
      <c r="AD367" s="596" t="s">
        <v>3653</v>
      </c>
      <c r="AE367" s="596" t="s">
        <v>3653</v>
      </c>
      <c r="AF367" s="596" t="s">
        <v>3653</v>
      </c>
      <c r="AG367" s="596" t="s">
        <v>3653</v>
      </c>
      <c r="AH367" s="596" t="s">
        <v>3653</v>
      </c>
      <c r="AI367" s="596" t="s">
        <v>3653</v>
      </c>
      <c r="AJ367" s="596" t="s">
        <v>3653</v>
      </c>
      <c r="AK367" s="596" t="s">
        <v>3653</v>
      </c>
      <c r="AL367" s="443" t="s">
        <v>2430</v>
      </c>
      <c r="AM367" s="443"/>
      <c r="AN367" s="443" t="s">
        <v>2430</v>
      </c>
      <c r="AO367" s="443" t="s">
        <v>2430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2396</v>
      </c>
      <c r="BF367" s="443" t="s">
        <v>2396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3642</v>
      </c>
      <c r="B368" s="79" t="s">
        <v>1665</v>
      </c>
      <c r="C368" s="597" t="s">
        <v>4730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88</v>
      </c>
      <c r="K368" s="505" t="s">
        <v>88</v>
      </c>
      <c r="L368" s="515" t="s">
        <v>3659</v>
      </c>
      <c r="M368" s="592">
        <v>44673.0</v>
      </c>
      <c r="N368" s="592">
        <v>44673.0</v>
      </c>
      <c r="O368" s="555"/>
      <c r="P368" s="555" t="s">
        <v>3660</v>
      </c>
      <c r="Q368" s="594">
        <v>0.012</v>
      </c>
      <c r="R368" s="475" t="s">
        <v>4731</v>
      </c>
      <c r="S368" s="595"/>
      <c r="T368" s="515" t="str">
        <f t="shared" si="37"/>
        <v>Não Qualificado</v>
      </c>
      <c r="U368" s="515" t="s">
        <v>89</v>
      </c>
      <c r="V368" s="555" t="s">
        <v>2482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3642</v>
      </c>
      <c r="B369" s="79" t="s">
        <v>1677</v>
      </c>
      <c r="C369" s="564" t="s">
        <v>4732</v>
      </c>
      <c r="D369" s="555">
        <v>6000381.0</v>
      </c>
      <c r="E369" s="505" t="s">
        <v>86</v>
      </c>
      <c r="F369" s="505" t="s">
        <v>29</v>
      </c>
      <c r="G369" s="505" t="s">
        <v>137</v>
      </c>
      <c r="H369" s="505">
        <f>IFERROR(VLOOKUP(G369,'Cadastro de assessores'!A:B,2,FALSE),"Não Cadastrado")</f>
        <v>12344</v>
      </c>
      <c r="I369" s="505"/>
      <c r="J369" s="505" t="s">
        <v>88</v>
      </c>
      <c r="K369" s="505" t="s">
        <v>88</v>
      </c>
      <c r="L369" s="515" t="s">
        <v>3659</v>
      </c>
      <c r="M369" s="592">
        <v>44404.0</v>
      </c>
      <c r="N369" s="592">
        <v>44404.0</v>
      </c>
      <c r="O369" s="515"/>
      <c r="P369" s="515" t="s">
        <v>3660</v>
      </c>
      <c r="Q369" s="594">
        <v>0.012</v>
      </c>
      <c r="R369" s="210" t="s">
        <v>4733</v>
      </c>
      <c r="S369" s="595"/>
      <c r="T369" s="515" t="str">
        <f t="shared" si="37"/>
        <v>Não Qualificado</v>
      </c>
      <c r="U369" s="515" t="s">
        <v>89</v>
      </c>
      <c r="V369" s="555" t="s">
        <v>2444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4"/>
      <c r="AO369" s="664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3642</v>
      </c>
      <c r="B370" s="79" t="s">
        <v>4734</v>
      </c>
      <c r="C370" s="564" t="s">
        <v>4735</v>
      </c>
      <c r="D370" s="555">
        <v>3081966.0</v>
      </c>
      <c r="E370" s="505" t="s">
        <v>18</v>
      </c>
      <c r="F370" s="505" t="s">
        <v>29</v>
      </c>
      <c r="G370" s="505" t="s">
        <v>333</v>
      </c>
      <c r="H370" s="555" t="str">
        <f>IFERROR(VLOOKUP(G370,'Cadastro de assessores'!A:B,2,FALSE),"Não Cadastrado")</f>
        <v>18993</v>
      </c>
      <c r="I370" s="555"/>
      <c r="J370" s="505" t="s">
        <v>88</v>
      </c>
      <c r="K370" s="505" t="s">
        <v>88</v>
      </c>
      <c r="L370" s="515" t="s">
        <v>3659</v>
      </c>
      <c r="M370" s="593">
        <v>44488.0</v>
      </c>
      <c r="N370" s="593">
        <v>44498.0</v>
      </c>
      <c r="O370" s="555"/>
      <c r="P370" s="555" t="s">
        <v>3657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89</v>
      </c>
      <c r="V370" s="555" t="s">
        <v>2494</v>
      </c>
      <c r="W370" s="515" t="s">
        <v>715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3642</v>
      </c>
      <c r="B371" s="79" t="s">
        <v>4736</v>
      </c>
      <c r="C371" s="602" t="s">
        <v>4737</v>
      </c>
      <c r="D371" s="505">
        <v>4848711.0</v>
      </c>
      <c r="E371" s="505" t="s">
        <v>86</v>
      </c>
      <c r="F371" s="505" t="s">
        <v>29</v>
      </c>
      <c r="G371" s="505" t="s">
        <v>3910</v>
      </c>
      <c r="H371" s="505" t="str">
        <f>IFERROR(VLOOKUP(G371,'Cadastro de assessores'!A:B,2,FALSE),"Não Cadastrado")</f>
        <v>15049</v>
      </c>
      <c r="I371" s="505"/>
      <c r="J371" s="505" t="s">
        <v>88</v>
      </c>
      <c r="K371" s="505" t="s">
        <v>88</v>
      </c>
      <c r="L371" s="515" t="s">
        <v>3659</v>
      </c>
      <c r="M371" s="592">
        <v>44236.0</v>
      </c>
      <c r="N371" s="592">
        <v>44236.0</v>
      </c>
      <c r="O371" s="515"/>
      <c r="P371" s="515" t="s">
        <v>3660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89</v>
      </c>
      <c r="V371" s="515" t="s">
        <v>2432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3653</v>
      </c>
      <c r="AK371" s="596"/>
      <c r="AL371" s="443"/>
      <c r="AM371" s="443"/>
      <c r="AN371" s="443">
        <v>154879.93</v>
      </c>
      <c r="AO371" s="664">
        <v>155088.12</v>
      </c>
      <c r="AP371" s="664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3642</v>
      </c>
      <c r="B372" s="79" t="s">
        <v>3518</v>
      </c>
      <c r="C372" s="597" t="s">
        <v>3516</v>
      </c>
      <c r="D372" s="515">
        <v>3064790.0</v>
      </c>
      <c r="E372" s="515" t="s">
        <v>18</v>
      </c>
      <c r="F372" s="515" t="s">
        <v>29</v>
      </c>
      <c r="G372" s="515" t="s">
        <v>633</v>
      </c>
      <c r="H372" s="515" t="str">
        <f>IFERROR(VLOOKUP(G372,'Cadastro de assessores'!A:B,2,FALSE),"Não Cadastrado")</f>
        <v>18467</v>
      </c>
      <c r="I372" s="515"/>
      <c r="J372" s="598" t="s">
        <v>2393</v>
      </c>
      <c r="K372" s="515" t="s">
        <v>2393</v>
      </c>
      <c r="L372" s="515" t="s">
        <v>3646</v>
      </c>
      <c r="M372" s="600">
        <v>43699.0</v>
      </c>
      <c r="N372" s="600">
        <v>43699.0</v>
      </c>
      <c r="O372" s="515"/>
      <c r="P372" s="515" t="s">
        <v>3651</v>
      </c>
      <c r="Q372" s="594">
        <v>0.015</v>
      </c>
      <c r="R372" s="601" t="s">
        <v>4738</v>
      </c>
      <c r="S372" s="595"/>
      <c r="T372" s="515" t="str">
        <f t="shared" si="37"/>
        <v>Não Qualificado</v>
      </c>
      <c r="U372" s="515" t="s">
        <v>89</v>
      </c>
      <c r="V372" s="515" t="s">
        <v>2671</v>
      </c>
      <c r="W372" s="515" t="s">
        <v>19</v>
      </c>
      <c r="X372" s="596" t="s">
        <v>4739</v>
      </c>
      <c r="Y372" s="596"/>
      <c r="Z372" s="596" t="s">
        <v>4740</v>
      </c>
      <c r="AA372" s="596" t="s">
        <v>3653</v>
      </c>
      <c r="AB372" s="596" t="s">
        <v>3653</v>
      </c>
      <c r="AC372" s="596" t="s">
        <v>3653</v>
      </c>
      <c r="AD372" s="596" t="s">
        <v>3653</v>
      </c>
      <c r="AE372" s="596" t="s">
        <v>3653</v>
      </c>
      <c r="AF372" s="596" t="s">
        <v>3653</v>
      </c>
      <c r="AG372" s="596" t="s">
        <v>3653</v>
      </c>
      <c r="AH372" s="596" t="s">
        <v>3653</v>
      </c>
      <c r="AI372" s="596"/>
      <c r="AJ372" s="596"/>
      <c r="AK372" s="596"/>
      <c r="AL372" s="443"/>
      <c r="AM372" s="443"/>
      <c r="AN372" s="443" t="s">
        <v>2430</v>
      </c>
      <c r="AO372" s="443" t="s">
        <v>2430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2396</v>
      </c>
      <c r="BF372" s="443" t="s">
        <v>2396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3642</v>
      </c>
      <c r="B373" s="79" t="s">
        <v>1681</v>
      </c>
      <c r="C373" s="626" t="s">
        <v>4741</v>
      </c>
      <c r="D373" s="604">
        <v>188081.0</v>
      </c>
      <c r="E373" s="591" t="s">
        <v>18</v>
      </c>
      <c r="F373" s="591" t="s">
        <v>29</v>
      </c>
      <c r="G373" s="505" t="s">
        <v>110</v>
      </c>
      <c r="H373" s="515">
        <f>IFERROR(VLOOKUP(G373,'Cadastro de assessores'!A:B,2,FALSE),"Não Cadastrado")</f>
        <v>12332</v>
      </c>
      <c r="I373" s="515"/>
      <c r="J373" s="505" t="s">
        <v>88</v>
      </c>
      <c r="K373" s="505" t="s">
        <v>88</v>
      </c>
      <c r="L373" s="515" t="s">
        <v>3659</v>
      </c>
      <c r="M373" s="600">
        <v>44770.0</v>
      </c>
      <c r="N373" s="600">
        <v>44774.0</v>
      </c>
      <c r="O373" s="515"/>
      <c r="P373" s="515" t="s">
        <v>3657</v>
      </c>
      <c r="Q373" s="594">
        <v>0.007</v>
      </c>
      <c r="R373" s="633"/>
      <c r="S373" s="595"/>
      <c r="T373" s="515"/>
      <c r="U373" s="515"/>
      <c r="V373" s="515"/>
      <c r="W373" s="515" t="s">
        <v>121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4"/>
      <c r="AP373" s="664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3642</v>
      </c>
      <c r="B374" s="79" t="s">
        <v>1685</v>
      </c>
      <c r="C374" s="626" t="s">
        <v>1682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88</v>
      </c>
      <c r="K374" s="505" t="s">
        <v>88</v>
      </c>
      <c r="L374" s="515" t="s">
        <v>3659</v>
      </c>
      <c r="M374" s="600">
        <v>44596.0</v>
      </c>
      <c r="N374" s="600">
        <v>44614.0</v>
      </c>
      <c r="O374" s="515"/>
      <c r="P374" s="515" t="s">
        <v>3651</v>
      </c>
      <c r="Q374" s="594">
        <v>0.015</v>
      </c>
      <c r="R374" s="601" t="s">
        <v>4742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89</v>
      </c>
      <c r="V374" s="515" t="s">
        <v>2482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4"/>
      <c r="AP374" s="664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3642</v>
      </c>
      <c r="B375" s="79">
        <v>7.31212665E9</v>
      </c>
      <c r="C375" s="597" t="s">
        <v>4743</v>
      </c>
      <c r="D375" s="515">
        <v>4854627.0</v>
      </c>
      <c r="E375" s="515" t="s">
        <v>18</v>
      </c>
      <c r="F375" s="515" t="s">
        <v>19</v>
      </c>
      <c r="G375" s="515" t="s">
        <v>230</v>
      </c>
      <c r="H375" s="515" t="str">
        <f>IFERROR(VLOOKUP(G375,'Cadastro de assessores'!A:B,2,FALSE),"Não Cadastrado")</f>
        <v>18009</v>
      </c>
      <c r="I375" s="515"/>
      <c r="J375" s="598" t="s">
        <v>2393</v>
      </c>
      <c r="K375" s="515" t="s">
        <v>2393</v>
      </c>
      <c r="L375" s="515" t="s">
        <v>3646</v>
      </c>
      <c r="M375" s="600">
        <v>44237.0</v>
      </c>
      <c r="N375" s="600">
        <v>44237.0</v>
      </c>
      <c r="O375" s="600">
        <v>44613.0</v>
      </c>
      <c r="P375" s="515" t="s">
        <v>3651</v>
      </c>
      <c r="Q375" s="594">
        <v>0.015</v>
      </c>
      <c r="R375" s="601" t="s">
        <v>4744</v>
      </c>
      <c r="S375" s="595"/>
      <c r="T375" s="515" t="str">
        <f t="shared" si="38"/>
        <v/>
      </c>
      <c r="U375" s="515" t="s">
        <v>89</v>
      </c>
      <c r="V375" s="515" t="s">
        <v>2449</v>
      </c>
      <c r="W375" s="515" t="s">
        <v>121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2396</v>
      </c>
      <c r="BF375" s="443" t="s">
        <v>2396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3642</v>
      </c>
      <c r="B376" s="79" t="s">
        <v>4745</v>
      </c>
      <c r="C376" s="564" t="s">
        <v>4746</v>
      </c>
      <c r="D376" s="555">
        <v>5378763.0</v>
      </c>
      <c r="E376" s="515" t="s">
        <v>18</v>
      </c>
      <c r="F376" s="504" t="s">
        <v>19</v>
      </c>
      <c r="G376" s="515" t="s">
        <v>230</v>
      </c>
      <c r="H376" s="504" t="str">
        <f>IFERROR(VLOOKUP(G376,'Cadastro de assessores'!A:B,2,FALSE),"Não Cadastrado")</f>
        <v>18009</v>
      </c>
      <c r="I376" s="504"/>
      <c r="J376" s="598" t="s">
        <v>2393</v>
      </c>
      <c r="K376" s="515" t="s">
        <v>2393</v>
      </c>
      <c r="L376" s="515" t="s">
        <v>3659</v>
      </c>
      <c r="M376" s="515" t="s">
        <v>2430</v>
      </c>
      <c r="N376" s="515" t="s">
        <v>2430</v>
      </c>
      <c r="O376" s="600">
        <v>44619.0</v>
      </c>
      <c r="P376" s="515" t="s">
        <v>3664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89</v>
      </c>
      <c r="V376" s="515" t="s">
        <v>2449</v>
      </c>
      <c r="W376" s="515" t="s">
        <v>121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2396</v>
      </c>
      <c r="BF376" s="443" t="s">
        <v>2396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3642</v>
      </c>
      <c r="B377" s="79" t="s">
        <v>4747</v>
      </c>
      <c r="C377" s="564" t="s">
        <v>4748</v>
      </c>
      <c r="D377" s="555">
        <v>5947531.0</v>
      </c>
      <c r="E377" s="505" t="s">
        <v>18</v>
      </c>
      <c r="F377" s="591" t="s">
        <v>19</v>
      </c>
      <c r="G377" s="505" t="s">
        <v>230</v>
      </c>
      <c r="H377" s="591" t="str">
        <f>IFERROR(VLOOKUP(G377,'Cadastro de assessores'!A:B,2,FALSE),"Não Cadastrado")</f>
        <v>18009</v>
      </c>
      <c r="I377" s="591"/>
      <c r="J377" s="614" t="s">
        <v>4024</v>
      </c>
      <c r="K377" s="515" t="s">
        <v>116</v>
      </c>
      <c r="L377" s="515" t="s">
        <v>3659</v>
      </c>
      <c r="M377" s="515" t="s">
        <v>2430</v>
      </c>
      <c r="N377" s="614" t="s">
        <v>4024</v>
      </c>
      <c r="O377" s="555"/>
      <c r="P377" s="555" t="s">
        <v>3664</v>
      </c>
      <c r="Q377" s="594">
        <v>0.025</v>
      </c>
      <c r="R377" s="475"/>
      <c r="S377" s="595"/>
      <c r="T377" s="515" t="str">
        <f t="shared" si="38"/>
        <v/>
      </c>
      <c r="U377" s="515" t="s">
        <v>89</v>
      </c>
      <c r="V377" s="515" t="s">
        <v>2449</v>
      </c>
      <c r="W377" s="515" t="s">
        <v>121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2396</v>
      </c>
      <c r="BF377" s="443" t="s">
        <v>2396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3642</v>
      </c>
      <c r="B378" s="79" t="s">
        <v>4749</v>
      </c>
      <c r="C378" s="564" t="s">
        <v>4750</v>
      </c>
      <c r="D378" s="555">
        <v>5655163.0</v>
      </c>
      <c r="E378" s="515" t="s">
        <v>18</v>
      </c>
      <c r="F378" s="504" t="s">
        <v>19</v>
      </c>
      <c r="G378" s="504" t="s">
        <v>230</v>
      </c>
      <c r="H378" s="504" t="str">
        <f>IFERROR(VLOOKUP(G378,'Cadastro de assessores'!A:B,2,FALSE),"Não Cadastrado")</f>
        <v>18009</v>
      </c>
      <c r="I378" s="504"/>
      <c r="J378" s="598" t="s">
        <v>2393</v>
      </c>
      <c r="K378" s="515" t="s">
        <v>2393</v>
      </c>
      <c r="L378" s="515" t="s">
        <v>3646</v>
      </c>
      <c r="M378" s="600"/>
      <c r="N378" s="600">
        <v>44369.0</v>
      </c>
      <c r="O378" s="635">
        <v>44545.0</v>
      </c>
      <c r="P378" s="555" t="s">
        <v>3664</v>
      </c>
      <c r="Q378" s="594">
        <v>0.025</v>
      </c>
      <c r="R378" s="625" t="s">
        <v>4751</v>
      </c>
      <c r="S378" s="595"/>
      <c r="T378" s="515" t="str">
        <f t="shared" si="38"/>
        <v>Não Qualificado</v>
      </c>
      <c r="U378" s="515" t="s">
        <v>89</v>
      </c>
      <c r="V378" s="471" t="s">
        <v>4752</v>
      </c>
      <c r="W378" s="515" t="s">
        <v>121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2396</v>
      </c>
      <c r="BF378" s="443" t="s">
        <v>2396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3642</v>
      </c>
      <c r="B379" s="79" t="s">
        <v>4753</v>
      </c>
      <c r="C379" s="626" t="s">
        <v>4754</v>
      </c>
      <c r="D379" s="608">
        <v>7048589.0</v>
      </c>
      <c r="E379" s="505" t="s">
        <v>18</v>
      </c>
      <c r="F379" s="591" t="s">
        <v>19</v>
      </c>
      <c r="G379" s="505" t="s">
        <v>52</v>
      </c>
      <c r="H379" s="591" t="str">
        <f>IFERROR(VLOOKUP(G379,'Cadastro de assessores'!A:B,2,FALSE),"Não Cadastrado")</f>
        <v>17831</v>
      </c>
      <c r="I379" s="591"/>
      <c r="J379" s="505" t="s">
        <v>3645</v>
      </c>
      <c r="K379" s="515" t="s">
        <v>88</v>
      </c>
      <c r="L379" s="515" t="s">
        <v>3646</v>
      </c>
      <c r="M379" s="592">
        <v>44508.0</v>
      </c>
      <c r="N379" s="592">
        <v>44508.0</v>
      </c>
      <c r="O379" s="555"/>
      <c r="P379" s="555" t="s">
        <v>3660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89</v>
      </c>
      <c r="V379" s="515" t="s">
        <v>2671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3642</v>
      </c>
      <c r="B380" s="79" t="s">
        <v>4755</v>
      </c>
      <c r="C380" s="626" t="s">
        <v>4756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3001</v>
      </c>
      <c r="K380" s="515"/>
      <c r="L380" s="515"/>
      <c r="M380" s="593"/>
      <c r="N380" s="505"/>
      <c r="O380" s="555"/>
      <c r="P380" s="555" t="s">
        <v>3651</v>
      </c>
      <c r="Q380" s="594">
        <v>0.015</v>
      </c>
      <c r="R380" s="210"/>
      <c r="S380" s="595"/>
      <c r="T380" s="515"/>
      <c r="U380" s="515"/>
      <c r="V380" s="555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3642</v>
      </c>
      <c r="B381" s="79" t="s">
        <v>4757</v>
      </c>
      <c r="C381" s="626" t="s">
        <v>4758</v>
      </c>
      <c r="D381" s="591">
        <v>9281869.0</v>
      </c>
      <c r="E381" s="505" t="s">
        <v>18</v>
      </c>
      <c r="F381" s="591" t="s">
        <v>145</v>
      </c>
      <c r="G381" s="505" t="s">
        <v>4759</v>
      </c>
      <c r="H381" s="591">
        <f>IFERROR(VLOOKUP(G381,'Cadastro de assessores'!A:B,2,FALSE),"Não Cadastrado")</f>
        <v>12360</v>
      </c>
      <c r="I381" s="591"/>
      <c r="J381" s="598" t="s">
        <v>2393</v>
      </c>
      <c r="K381" s="515"/>
      <c r="L381" s="515" t="s">
        <v>3659</v>
      </c>
      <c r="M381" s="593">
        <v>44831.0</v>
      </c>
      <c r="N381" s="593">
        <v>44831.0</v>
      </c>
      <c r="O381" s="555"/>
      <c r="P381" s="555" t="s">
        <v>3664</v>
      </c>
      <c r="Q381" s="594">
        <v>0.025</v>
      </c>
      <c r="R381" s="210" t="s">
        <v>4760</v>
      </c>
      <c r="S381" s="595"/>
      <c r="T381" s="515"/>
      <c r="U381" s="515"/>
      <c r="V381" s="555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3642</v>
      </c>
      <c r="B382" s="79" t="s">
        <v>1697</v>
      </c>
      <c r="C382" s="626" t="s">
        <v>1695</v>
      </c>
      <c r="D382" s="591">
        <v>4006849.0</v>
      </c>
      <c r="E382" s="505" t="s">
        <v>18</v>
      </c>
      <c r="F382" s="591" t="s">
        <v>19</v>
      </c>
      <c r="G382" s="505" t="s">
        <v>230</v>
      </c>
      <c r="H382" s="591" t="str">
        <f>IFERROR(VLOOKUP(G382,'Cadastro de assessores'!A:B,2,FALSE),"Não Cadastrado")</f>
        <v>18009</v>
      </c>
      <c r="I382" s="591"/>
      <c r="J382" s="505" t="s">
        <v>88</v>
      </c>
      <c r="K382" s="515" t="s">
        <v>88</v>
      </c>
      <c r="L382" s="515" t="s">
        <v>3659</v>
      </c>
      <c r="M382" s="593">
        <v>44517.0</v>
      </c>
      <c r="N382" s="593">
        <v>44517.0</v>
      </c>
      <c r="O382" s="555"/>
      <c r="P382" s="555" t="s">
        <v>3651</v>
      </c>
      <c r="Q382" s="594">
        <v>0.015</v>
      </c>
      <c r="R382" s="210" t="s">
        <v>3920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89</v>
      </c>
      <c r="V382" s="555" t="s">
        <v>3921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3642</v>
      </c>
      <c r="B383" s="79" t="s">
        <v>4761</v>
      </c>
      <c r="C383" s="597" t="s">
        <v>4762</v>
      </c>
      <c r="D383" s="515">
        <v>4017894.0</v>
      </c>
      <c r="E383" s="515" t="s">
        <v>18</v>
      </c>
      <c r="F383" s="515" t="s">
        <v>29</v>
      </c>
      <c r="G383" s="515" t="s">
        <v>4143</v>
      </c>
      <c r="H383" s="515" t="str">
        <f>IFERROR(VLOOKUP(G383,'Cadastro de assessores'!A:B,2,FALSE),"Não Cadastrado")</f>
        <v>12846</v>
      </c>
      <c r="I383" s="515"/>
      <c r="J383" s="598" t="s">
        <v>2393</v>
      </c>
      <c r="K383" s="515" t="s">
        <v>2393</v>
      </c>
      <c r="L383" s="515" t="s">
        <v>3646</v>
      </c>
      <c r="M383" s="600"/>
      <c r="N383" s="600">
        <v>44291.0</v>
      </c>
      <c r="O383" s="600">
        <v>44378.0</v>
      </c>
      <c r="P383" s="515" t="s">
        <v>3664</v>
      </c>
      <c r="Q383" s="594">
        <v>0.01</v>
      </c>
      <c r="R383" s="601" t="s">
        <v>4144</v>
      </c>
      <c r="S383" s="595"/>
      <c r="T383" s="515" t="str">
        <f t="shared" si="39"/>
        <v>Não Qualificado</v>
      </c>
      <c r="U383" s="515" t="s">
        <v>89</v>
      </c>
      <c r="V383" s="515" t="s">
        <v>2671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2396</v>
      </c>
      <c r="BF383" s="443" t="s">
        <v>2396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3642</v>
      </c>
      <c r="B384" s="79" t="s">
        <v>2644</v>
      </c>
      <c r="C384" s="597" t="s">
        <v>4763</v>
      </c>
      <c r="D384" s="515">
        <v>2172838.0</v>
      </c>
      <c r="E384" s="515" t="s">
        <v>18</v>
      </c>
      <c r="F384" s="515" t="s">
        <v>29</v>
      </c>
      <c r="G384" s="515" t="s">
        <v>2633</v>
      </c>
      <c r="H384" s="515" t="str">
        <f>IFERROR(VLOOKUP(G384,'Cadastro de assessores'!A:B,2,FALSE),"Não Cadastrado")</f>
        <v>18236</v>
      </c>
      <c r="I384" s="515"/>
      <c r="J384" s="598" t="s">
        <v>2393</v>
      </c>
      <c r="K384" s="515" t="s">
        <v>2393</v>
      </c>
      <c r="L384" s="515" t="s">
        <v>3646</v>
      </c>
      <c r="M384" s="600"/>
      <c r="N384" s="600">
        <v>43671.0</v>
      </c>
      <c r="O384" s="515" t="s">
        <v>3739</v>
      </c>
      <c r="P384" s="515" t="s">
        <v>3664</v>
      </c>
      <c r="Q384" s="594">
        <v>1.0E-4</v>
      </c>
      <c r="R384" s="517" t="s">
        <v>3740</v>
      </c>
      <c r="S384" s="595"/>
      <c r="T384" s="515" t="str">
        <f t="shared" si="39"/>
        <v>Não Qualificado</v>
      </c>
      <c r="U384" s="515" t="s">
        <v>329</v>
      </c>
      <c r="V384" s="515" t="s">
        <v>2432</v>
      </c>
      <c r="W384" s="515" t="s">
        <v>29</v>
      </c>
      <c r="X384" s="596" t="s">
        <v>4764</v>
      </c>
      <c r="Y384" s="596"/>
      <c r="Z384" s="596" t="s">
        <v>4765</v>
      </c>
      <c r="AA384" s="596" t="s">
        <v>3653</v>
      </c>
      <c r="AB384" s="596" t="s">
        <v>3653</v>
      </c>
      <c r="AC384" s="596" t="s">
        <v>3653</v>
      </c>
      <c r="AD384" s="596" t="s">
        <v>3653</v>
      </c>
      <c r="AE384" s="596" t="s">
        <v>3653</v>
      </c>
      <c r="AF384" s="596" t="s">
        <v>3653</v>
      </c>
      <c r="AG384" s="596" t="s">
        <v>3653</v>
      </c>
      <c r="AH384" s="596" t="s">
        <v>3653</v>
      </c>
      <c r="AI384" s="596"/>
      <c r="AJ384" s="596" t="s">
        <v>3653</v>
      </c>
      <c r="AK384" s="596"/>
      <c r="AL384" s="443"/>
      <c r="AM384" s="443"/>
      <c r="AN384" s="443" t="s">
        <v>2430</v>
      </c>
      <c r="AO384" s="443" t="s">
        <v>2430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2396</v>
      </c>
      <c r="BF384" s="443" t="s">
        <v>2396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3642</v>
      </c>
      <c r="B385" s="79" t="s">
        <v>4766</v>
      </c>
      <c r="C385" s="597" t="s">
        <v>4767</v>
      </c>
      <c r="D385" s="515">
        <v>6683617.0</v>
      </c>
      <c r="E385" s="515" t="s">
        <v>18</v>
      </c>
      <c r="F385" s="515" t="s">
        <v>19</v>
      </c>
      <c r="G385" s="504" t="s">
        <v>230</v>
      </c>
      <c r="H385" s="515" t="str">
        <f>IFERROR(VLOOKUP(G385,'Cadastro de assessores'!A:B,2,FALSE),"Não Cadastrado")</f>
        <v>18009</v>
      </c>
      <c r="I385" s="515"/>
      <c r="J385" s="598" t="s">
        <v>2393</v>
      </c>
      <c r="K385" s="515" t="s">
        <v>2393</v>
      </c>
      <c r="L385" s="515" t="s">
        <v>3646</v>
      </c>
      <c r="M385" s="600"/>
      <c r="N385" s="600">
        <v>44463.0</v>
      </c>
      <c r="O385" s="600">
        <v>44678.0</v>
      </c>
      <c r="P385" s="515" t="s">
        <v>3863</v>
      </c>
      <c r="Q385" s="594">
        <v>0.02</v>
      </c>
      <c r="R385" s="210" t="s">
        <v>4768</v>
      </c>
      <c r="S385" s="595"/>
      <c r="T385" s="515" t="str">
        <f t="shared" si="39"/>
        <v>Não Qualificado</v>
      </c>
      <c r="U385" s="515" t="s">
        <v>89</v>
      </c>
      <c r="V385" s="555" t="s">
        <v>4769</v>
      </c>
      <c r="W385" s="515" t="s">
        <v>3732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2396</v>
      </c>
      <c r="BF385" s="443" t="s">
        <v>2396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3642</v>
      </c>
      <c r="B386" s="79" t="s">
        <v>1703</v>
      </c>
      <c r="C386" s="597" t="s">
        <v>4770</v>
      </c>
      <c r="D386" s="515">
        <v>2587496.0</v>
      </c>
      <c r="E386" s="515" t="s">
        <v>18</v>
      </c>
      <c r="F386" s="515" t="s">
        <v>19</v>
      </c>
      <c r="G386" s="504" t="s">
        <v>52</v>
      </c>
      <c r="H386" s="515"/>
      <c r="I386" s="515"/>
      <c r="J386" s="505" t="s">
        <v>88</v>
      </c>
      <c r="K386" s="515"/>
      <c r="L386" s="515"/>
      <c r="M386" s="600"/>
      <c r="N386" s="600">
        <v>44861.0</v>
      </c>
      <c r="O386" s="600"/>
      <c r="P386" s="515" t="s">
        <v>4771</v>
      </c>
      <c r="Q386" s="594">
        <v>0.01</v>
      </c>
      <c r="R386" s="601"/>
      <c r="S386" s="595"/>
      <c r="T386" s="515"/>
      <c r="U386" s="515"/>
      <c r="V386" s="555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3642</v>
      </c>
      <c r="B387" s="79" t="s">
        <v>4772</v>
      </c>
      <c r="C387" s="597" t="s">
        <v>4773</v>
      </c>
      <c r="D387" s="515">
        <v>4742129.0</v>
      </c>
      <c r="E387" s="515" t="s">
        <v>18</v>
      </c>
      <c r="F387" s="515" t="s">
        <v>465</v>
      </c>
      <c r="G387" s="504" t="s">
        <v>230</v>
      </c>
      <c r="H387" s="515" t="str">
        <f>IFERROR(VLOOKUP(G387,'Cadastro de assessores'!A:B,2,FALSE),"Não Cadastrado")</f>
        <v>18009</v>
      </c>
      <c r="I387" s="515"/>
      <c r="J387" s="598" t="s">
        <v>2393</v>
      </c>
      <c r="K387" s="515" t="s">
        <v>2393</v>
      </c>
      <c r="L387" s="515" t="s">
        <v>3646</v>
      </c>
      <c r="M387" s="600"/>
      <c r="N387" s="600">
        <v>44207.0</v>
      </c>
      <c r="O387" s="600">
        <v>44648.0</v>
      </c>
      <c r="P387" s="515" t="s">
        <v>3855</v>
      </c>
      <c r="Q387" s="594">
        <v>0.02</v>
      </c>
      <c r="R387" s="601" t="s">
        <v>4774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89</v>
      </c>
      <c r="V387" s="555" t="s">
        <v>2449</v>
      </c>
      <c r="W387" s="515" t="s">
        <v>121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2396</v>
      </c>
      <c r="BF387" s="443" t="s">
        <v>2396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3642</v>
      </c>
      <c r="B388" s="79" t="s">
        <v>4772</v>
      </c>
      <c r="C388" s="597" t="s">
        <v>4773</v>
      </c>
      <c r="D388" s="515">
        <v>4782053.0</v>
      </c>
      <c r="E388" s="515" t="s">
        <v>18</v>
      </c>
      <c r="F388" s="515" t="s">
        <v>465</v>
      </c>
      <c r="G388" s="504" t="s">
        <v>230</v>
      </c>
      <c r="H388" s="515" t="str">
        <f>IFERROR(VLOOKUP(G388,'Cadastro de assessores'!A:B,2,FALSE),"Não Cadastrado")</f>
        <v>18009</v>
      </c>
      <c r="I388" s="515"/>
      <c r="J388" s="598" t="s">
        <v>2393</v>
      </c>
      <c r="K388" s="515" t="s">
        <v>2393</v>
      </c>
      <c r="L388" s="515" t="s">
        <v>3646</v>
      </c>
      <c r="M388" s="600"/>
      <c r="N388" s="600">
        <v>44216.0</v>
      </c>
      <c r="O388" s="600">
        <v>44648.0</v>
      </c>
      <c r="P388" s="515" t="s">
        <v>3693</v>
      </c>
      <c r="Q388" s="594">
        <v>0.008</v>
      </c>
      <c r="R388" s="601" t="s">
        <v>4775</v>
      </c>
      <c r="S388" s="595"/>
      <c r="T388" s="515" t="str">
        <f t="shared" si="40"/>
        <v/>
      </c>
      <c r="U388" s="515" t="s">
        <v>89</v>
      </c>
      <c r="V388" s="555" t="s">
        <v>2449</v>
      </c>
      <c r="W388" s="515" t="s">
        <v>121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2396</v>
      </c>
      <c r="BF388" s="443" t="s">
        <v>2396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3642</v>
      </c>
      <c r="B389" s="79" t="s">
        <v>1709</v>
      </c>
      <c r="C389" s="597" t="s">
        <v>4776</v>
      </c>
      <c r="D389" s="604">
        <v>7878590.0</v>
      </c>
      <c r="E389" s="591" t="s">
        <v>18</v>
      </c>
      <c r="F389" s="591" t="s">
        <v>29</v>
      </c>
      <c r="G389" s="505" t="s">
        <v>137</v>
      </c>
      <c r="H389" s="505">
        <f>IFERROR(VLOOKUP(G389,'Cadastro de assessores'!A:B,2,FALSE),"Não Cadastrado")</f>
        <v>12344</v>
      </c>
      <c r="I389" s="505"/>
      <c r="J389" s="614" t="s">
        <v>4024</v>
      </c>
      <c r="K389" s="515" t="s">
        <v>116</v>
      </c>
      <c r="L389" s="515" t="s">
        <v>3659</v>
      </c>
      <c r="M389" s="515" t="s">
        <v>2430</v>
      </c>
      <c r="N389" s="614" t="s">
        <v>4024</v>
      </c>
      <c r="O389" s="555"/>
      <c r="P389" s="555" t="s">
        <v>4777</v>
      </c>
      <c r="Q389" s="594">
        <v>0.01</v>
      </c>
      <c r="R389" s="475" t="s">
        <v>4778</v>
      </c>
      <c r="S389" s="595"/>
      <c r="T389" s="515" t="str">
        <f t="shared" si="40"/>
        <v>Não Qualificado</v>
      </c>
      <c r="U389" s="515" t="s">
        <v>89</v>
      </c>
      <c r="V389" s="555" t="s">
        <v>2421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4"/>
      <c r="AO389" s="664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2396</v>
      </c>
      <c r="BF389" s="443" t="s">
        <v>2396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3642</v>
      </c>
      <c r="B390" s="79" t="s">
        <v>1709</v>
      </c>
      <c r="C390" s="597" t="s">
        <v>4776</v>
      </c>
      <c r="D390" s="591">
        <v>5663320.0</v>
      </c>
      <c r="E390" s="505" t="s">
        <v>18</v>
      </c>
      <c r="F390" s="591" t="s">
        <v>29</v>
      </c>
      <c r="G390" s="591" t="s">
        <v>4779</v>
      </c>
      <c r="H390" s="591">
        <f>IFERROR(VLOOKUP(G390,'Cadastro de assessores'!A:B,2,FALSE),"Não Cadastrado")</f>
        <v>12338</v>
      </c>
      <c r="I390" s="591"/>
      <c r="J390" s="505" t="s">
        <v>88</v>
      </c>
      <c r="K390" s="505" t="s">
        <v>88</v>
      </c>
      <c r="L390" s="515" t="s">
        <v>3659</v>
      </c>
      <c r="M390" s="592">
        <v>44385.0</v>
      </c>
      <c r="N390" s="592">
        <v>44385.0</v>
      </c>
      <c r="O390" s="555"/>
      <c r="P390" s="555" t="s">
        <v>3693</v>
      </c>
      <c r="Q390" s="594">
        <v>0.008</v>
      </c>
      <c r="R390" s="475" t="s">
        <v>4778</v>
      </c>
      <c r="S390" s="595"/>
      <c r="T390" s="515" t="str">
        <f t="shared" si="40"/>
        <v>Não Qualificado</v>
      </c>
      <c r="U390" s="515" t="s">
        <v>89</v>
      </c>
      <c r="V390" s="555" t="s">
        <v>2421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4"/>
      <c r="AO390" s="664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3642</v>
      </c>
      <c r="B391" s="79" t="s">
        <v>1709</v>
      </c>
      <c r="C391" s="597" t="s">
        <v>4776</v>
      </c>
      <c r="D391" s="515">
        <v>2660830.0</v>
      </c>
      <c r="E391" s="505" t="s">
        <v>18</v>
      </c>
      <c r="F391" s="505" t="s">
        <v>29</v>
      </c>
      <c r="G391" s="505" t="s">
        <v>137</v>
      </c>
      <c r="H391" s="505">
        <f>IFERROR(VLOOKUP(G391,'Cadastro de assessores'!A:B,2,FALSE),"Não Cadastrado")</f>
        <v>12344</v>
      </c>
      <c r="I391" s="505"/>
      <c r="J391" s="505" t="s">
        <v>88</v>
      </c>
      <c r="K391" s="505" t="s">
        <v>88</v>
      </c>
      <c r="L391" s="515" t="s">
        <v>3659</v>
      </c>
      <c r="M391" s="592">
        <v>43741.0</v>
      </c>
      <c r="N391" s="592">
        <v>43741.0</v>
      </c>
      <c r="O391" s="515"/>
      <c r="P391" s="515" t="s">
        <v>4336</v>
      </c>
      <c r="Q391" s="594">
        <v>0.007</v>
      </c>
      <c r="R391" s="475" t="s">
        <v>4778</v>
      </c>
      <c r="S391" s="595"/>
      <c r="T391" s="515" t="str">
        <f t="shared" si="40"/>
        <v>Não Qualificado</v>
      </c>
      <c r="U391" s="515" t="s">
        <v>89</v>
      </c>
      <c r="V391" s="555" t="s">
        <v>2421</v>
      </c>
      <c r="W391" s="515" t="s">
        <v>29</v>
      </c>
      <c r="X391" s="596" t="s">
        <v>4780</v>
      </c>
      <c r="Y391" s="461"/>
      <c r="Z391" s="596" t="s">
        <v>4781</v>
      </c>
      <c r="AA391" s="596" t="s">
        <v>4782</v>
      </c>
      <c r="AB391" s="596" t="s">
        <v>4783</v>
      </c>
      <c r="AC391" s="596" t="s">
        <v>4784</v>
      </c>
      <c r="AD391" s="596" t="s">
        <v>4785</v>
      </c>
      <c r="AE391" s="596" t="s">
        <v>4786</v>
      </c>
      <c r="AF391" s="596" t="s">
        <v>4787</v>
      </c>
      <c r="AG391" s="596" t="s">
        <v>4788</v>
      </c>
      <c r="AH391" s="596" t="s">
        <v>4789</v>
      </c>
      <c r="AI391" s="596" t="s">
        <v>4790</v>
      </c>
      <c r="AJ391" s="596" t="s">
        <v>4791</v>
      </c>
      <c r="AK391" s="596" t="s">
        <v>4792</v>
      </c>
      <c r="AL391" s="443">
        <v>728345.95</v>
      </c>
      <c r="AM391" s="443">
        <v>718046.08</v>
      </c>
      <c r="AN391" s="443">
        <v>699729.73</v>
      </c>
      <c r="AO391" s="664">
        <v>699544.75</v>
      </c>
      <c r="AP391" s="664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3642</v>
      </c>
      <c r="B392" s="79" t="s">
        <v>1714</v>
      </c>
      <c r="C392" s="626" t="s">
        <v>4793</v>
      </c>
      <c r="D392" s="608">
        <v>7273700.0</v>
      </c>
      <c r="E392" s="505" t="s">
        <v>18</v>
      </c>
      <c r="F392" s="591" t="s">
        <v>19</v>
      </c>
      <c r="G392" s="608" t="s">
        <v>230</v>
      </c>
      <c r="H392" s="591" t="str">
        <f>IFERROR(VLOOKUP(G392,'Cadastro de assessores'!A:B,2,FALSE),"Não Cadastrado")</f>
        <v>18009</v>
      </c>
      <c r="I392" s="591"/>
      <c r="J392" s="505" t="s">
        <v>88</v>
      </c>
      <c r="K392" s="505" t="s">
        <v>88</v>
      </c>
      <c r="L392" s="515" t="s">
        <v>3659</v>
      </c>
      <c r="M392" s="592">
        <v>44532.0</v>
      </c>
      <c r="N392" s="592">
        <v>44536.0</v>
      </c>
      <c r="O392" s="608"/>
      <c r="P392" s="608" t="s">
        <v>3657</v>
      </c>
      <c r="Q392" s="594">
        <v>0.007</v>
      </c>
      <c r="R392" s="210" t="s">
        <v>4794</v>
      </c>
      <c r="S392" s="595"/>
      <c r="T392" s="515" t="str">
        <f t="shared" si="40"/>
        <v/>
      </c>
      <c r="U392" s="515" t="s">
        <v>329</v>
      </c>
      <c r="V392" s="555" t="s">
        <v>4311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4"/>
      <c r="AO392" s="664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3642</v>
      </c>
      <c r="B393" s="79" t="s">
        <v>4795</v>
      </c>
      <c r="C393" s="597" t="s">
        <v>4796</v>
      </c>
      <c r="D393" s="515">
        <v>4461414.0</v>
      </c>
      <c r="E393" s="515" t="s">
        <v>86</v>
      </c>
      <c r="F393" s="515" t="s">
        <v>29</v>
      </c>
      <c r="G393" s="515" t="s">
        <v>3486</v>
      </c>
      <c r="H393" s="515" t="str">
        <f>IFERROR(VLOOKUP(G393,'Cadastro de assessores'!A:B,2,FALSE),"Não Cadastrado")</f>
        <v>14574</v>
      </c>
      <c r="I393" s="515"/>
      <c r="J393" s="598" t="s">
        <v>2393</v>
      </c>
      <c r="K393" s="515" t="s">
        <v>2393</v>
      </c>
      <c r="L393" s="515" t="s">
        <v>3646</v>
      </c>
      <c r="M393" s="600">
        <v>44090.0</v>
      </c>
      <c r="N393" s="600">
        <v>44090.0</v>
      </c>
      <c r="O393" s="600">
        <v>44408.0</v>
      </c>
      <c r="P393" s="515" t="s">
        <v>3660</v>
      </c>
      <c r="Q393" s="594">
        <v>0.012</v>
      </c>
      <c r="R393" s="625" t="s">
        <v>4797</v>
      </c>
      <c r="S393" s="595"/>
      <c r="T393" s="515" t="str">
        <f t="shared" si="40"/>
        <v/>
      </c>
      <c r="U393" s="515" t="s">
        <v>329</v>
      </c>
      <c r="V393" s="515" t="s">
        <v>2641</v>
      </c>
      <c r="W393" s="515" t="s">
        <v>29</v>
      </c>
      <c r="X393" s="596" t="s">
        <v>3653</v>
      </c>
      <c r="Y393" s="596" t="s">
        <v>3653</v>
      </c>
      <c r="Z393" s="596" t="s">
        <v>3653</v>
      </c>
      <c r="AA393" s="596" t="s">
        <v>3653</v>
      </c>
      <c r="AB393" s="596" t="s">
        <v>3653</v>
      </c>
      <c r="AC393" s="596" t="s">
        <v>3653</v>
      </c>
      <c r="AD393" s="596" t="s">
        <v>3653</v>
      </c>
      <c r="AE393" s="596" t="s">
        <v>3653</v>
      </c>
      <c r="AF393" s="596" t="s">
        <v>3653</v>
      </c>
      <c r="AG393" s="596" t="s">
        <v>3653</v>
      </c>
      <c r="AH393" s="596" t="s">
        <v>3653</v>
      </c>
      <c r="AI393" s="596" t="s">
        <v>4798</v>
      </c>
      <c r="AJ393" s="596" t="s">
        <v>4799</v>
      </c>
      <c r="AK393" s="596" t="s">
        <v>4800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2396</v>
      </c>
      <c r="BF393" s="443" t="s">
        <v>2396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3642</v>
      </c>
      <c r="B394" s="79" t="s">
        <v>1733</v>
      </c>
      <c r="C394" s="626" t="s">
        <v>1729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88</v>
      </c>
      <c r="K394" s="505" t="s">
        <v>88</v>
      </c>
      <c r="L394" s="515" t="s">
        <v>3659</v>
      </c>
      <c r="M394" s="605">
        <v>44613.0</v>
      </c>
      <c r="N394" s="605">
        <v>44613.0</v>
      </c>
      <c r="O394" s="483"/>
      <c r="P394" s="608" t="s">
        <v>3860</v>
      </c>
      <c r="Q394" s="594">
        <v>0.012</v>
      </c>
      <c r="R394" s="210" t="s">
        <v>4801</v>
      </c>
      <c r="S394" s="595"/>
      <c r="T394" s="515" t="str">
        <f t="shared" si="40"/>
        <v/>
      </c>
      <c r="U394" s="515" t="s">
        <v>89</v>
      </c>
      <c r="V394" s="515" t="s">
        <v>2482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3642</v>
      </c>
      <c r="B395" s="79" t="s">
        <v>1733</v>
      </c>
      <c r="C395" s="564" t="s">
        <v>1729</v>
      </c>
      <c r="D395" s="672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88</v>
      </c>
      <c r="K395" s="515" t="s">
        <v>88</v>
      </c>
      <c r="L395" s="515" t="s">
        <v>3646</v>
      </c>
      <c r="M395" s="673">
        <v>44682.0</v>
      </c>
      <c r="N395" s="673">
        <v>44682.0</v>
      </c>
      <c r="O395" s="504"/>
      <c r="P395" s="504" t="s">
        <v>3760</v>
      </c>
      <c r="Q395" s="594">
        <v>0.008</v>
      </c>
      <c r="R395" s="210" t="s">
        <v>4802</v>
      </c>
      <c r="S395" s="595"/>
      <c r="T395" s="515" t="str">
        <f t="shared" si="40"/>
        <v/>
      </c>
      <c r="U395" s="515" t="s">
        <v>89</v>
      </c>
      <c r="V395" s="515" t="s">
        <v>2482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3642</v>
      </c>
      <c r="B396" s="79" t="s">
        <v>1736</v>
      </c>
      <c r="C396" s="564" t="s">
        <v>4803</v>
      </c>
      <c r="D396" s="591">
        <v>5682953.0</v>
      </c>
      <c r="E396" s="505" t="s">
        <v>18</v>
      </c>
      <c r="F396" s="591" t="s">
        <v>29</v>
      </c>
      <c r="G396" s="591" t="s">
        <v>865</v>
      </c>
      <c r="H396" s="591" t="str">
        <f>IFERROR(VLOOKUP(G396,'Cadastro de assessores'!A:B,2,FALSE),"Não Cadastrado")</f>
        <v>14739</v>
      </c>
      <c r="I396" s="591"/>
      <c r="J396" s="515" t="s">
        <v>88</v>
      </c>
      <c r="K396" s="505" t="s">
        <v>88</v>
      </c>
      <c r="L396" s="515" t="s">
        <v>3659</v>
      </c>
      <c r="M396" s="592">
        <v>44453.0</v>
      </c>
      <c r="N396" s="592">
        <v>44424.0</v>
      </c>
      <c r="O396" s="515"/>
      <c r="P396" s="515" t="s">
        <v>3660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89</v>
      </c>
      <c r="V396" s="555" t="s">
        <v>3708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4"/>
      <c r="AO396" s="664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3642</v>
      </c>
      <c r="B397" s="79" t="s">
        <v>4804</v>
      </c>
      <c r="C397" s="597" t="s">
        <v>4805</v>
      </c>
      <c r="D397" s="515">
        <v>4719236.0</v>
      </c>
      <c r="E397" s="515" t="s">
        <v>18</v>
      </c>
      <c r="F397" s="515" t="s">
        <v>29</v>
      </c>
      <c r="G397" s="515" t="s">
        <v>3650</v>
      </c>
      <c r="H397" s="515" t="str">
        <f>IFERROR(VLOOKUP(G397,'Cadastro de assessores'!A:B,2,FALSE),"Não Cadastrado")</f>
        <v>17679</v>
      </c>
      <c r="I397" s="515"/>
      <c r="J397" s="598" t="s">
        <v>2393</v>
      </c>
      <c r="K397" s="515" t="s">
        <v>2393</v>
      </c>
      <c r="L397" s="515" t="s">
        <v>3646</v>
      </c>
      <c r="M397" s="599">
        <v>44196.0</v>
      </c>
      <c r="N397" s="599">
        <v>44196.0</v>
      </c>
      <c r="O397" s="600">
        <v>44428.0</v>
      </c>
      <c r="P397" s="515" t="s">
        <v>3657</v>
      </c>
      <c r="Q397" s="594">
        <v>0.007</v>
      </c>
      <c r="R397" s="601" t="s">
        <v>4806</v>
      </c>
      <c r="S397" s="595"/>
      <c r="T397" s="515" t="str">
        <f t="shared" si="40"/>
        <v>Não Qualificado</v>
      </c>
      <c r="U397" s="515" t="s">
        <v>89</v>
      </c>
      <c r="V397" s="515" t="s">
        <v>4067</v>
      </c>
      <c r="W397" s="515" t="s">
        <v>3497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2396</v>
      </c>
      <c r="BF397" s="443" t="s">
        <v>2396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3642</v>
      </c>
      <c r="B398" s="79" t="s">
        <v>4807</v>
      </c>
      <c r="C398" s="597" t="s">
        <v>4808</v>
      </c>
      <c r="D398" s="515">
        <v>2749522.0</v>
      </c>
      <c r="E398" s="515" t="s">
        <v>86</v>
      </c>
      <c r="F398" s="515" t="s">
        <v>29</v>
      </c>
      <c r="G398" s="515" t="s">
        <v>3697</v>
      </c>
      <c r="H398" s="515" t="str">
        <f>IFERROR(VLOOKUP(G398,'Cadastro de assessores'!A:B,2,FALSE),"Não Cadastrado")</f>
        <v>12624</v>
      </c>
      <c r="I398" s="515"/>
      <c r="J398" s="515" t="s">
        <v>88</v>
      </c>
      <c r="K398" s="515" t="s">
        <v>88</v>
      </c>
      <c r="L398" s="515" t="s">
        <v>3659</v>
      </c>
      <c r="M398" s="599">
        <v>44771.0</v>
      </c>
      <c r="N398" s="599">
        <v>44771.0</v>
      </c>
      <c r="O398" s="600"/>
      <c r="P398" s="515" t="s">
        <v>3657</v>
      </c>
      <c r="Q398" s="594">
        <v>0.007</v>
      </c>
      <c r="R398" s="601"/>
      <c r="S398" s="595"/>
      <c r="T398" s="515"/>
      <c r="U398" s="515" t="s">
        <v>89</v>
      </c>
      <c r="V398" s="515" t="s">
        <v>2771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3642</v>
      </c>
      <c r="B399" s="79" t="s">
        <v>4809</v>
      </c>
      <c r="C399" s="564" t="s">
        <v>4810</v>
      </c>
      <c r="D399" s="504">
        <v>5606475.0</v>
      </c>
      <c r="E399" s="515" t="s">
        <v>18</v>
      </c>
      <c r="F399" s="504" t="s">
        <v>19</v>
      </c>
      <c r="G399" s="555" t="s">
        <v>4638</v>
      </c>
      <c r="H399" s="555" t="str">
        <f>IFERROR(VLOOKUP(G399,'Cadastro de assessores'!A:B,2,FALSE),"Não Cadastrado")</f>
        <v>1275</v>
      </c>
      <c r="I399" s="555"/>
      <c r="J399" s="598" t="s">
        <v>2393</v>
      </c>
      <c r="K399" s="515" t="s">
        <v>2393</v>
      </c>
      <c r="L399" s="515" t="s">
        <v>3659</v>
      </c>
      <c r="M399" s="600">
        <v>44364.0</v>
      </c>
      <c r="N399" s="600">
        <v>44364.0</v>
      </c>
      <c r="O399" s="600">
        <v>44803.0</v>
      </c>
      <c r="P399" s="515" t="s">
        <v>3651</v>
      </c>
      <c r="Q399" s="594">
        <v>0.015</v>
      </c>
      <c r="R399" s="210" t="s">
        <v>3961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89</v>
      </c>
      <c r="V399" s="555" t="s">
        <v>4811</v>
      </c>
      <c r="W399" s="555" t="s">
        <v>180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3642</v>
      </c>
      <c r="B400" s="79" t="s">
        <v>4812</v>
      </c>
      <c r="C400" s="597" t="s">
        <v>4813</v>
      </c>
      <c r="D400" s="515">
        <v>2214585.0</v>
      </c>
      <c r="E400" s="505" t="s">
        <v>86</v>
      </c>
      <c r="F400" s="505" t="s">
        <v>29</v>
      </c>
      <c r="G400" s="505" t="s">
        <v>3818</v>
      </c>
      <c r="H400" s="505" t="str">
        <f>IFERROR(VLOOKUP(G400,'Cadastro de assessores'!A:B,2,FALSE),"Não Cadastrado")</f>
        <v>16459</v>
      </c>
      <c r="I400" s="505"/>
      <c r="J400" s="505" t="s">
        <v>3645</v>
      </c>
      <c r="K400" s="515" t="s">
        <v>88</v>
      </c>
      <c r="L400" s="515" t="s">
        <v>3675</v>
      </c>
      <c r="M400" s="592">
        <v>44085.0</v>
      </c>
      <c r="N400" s="592">
        <v>44085.0</v>
      </c>
      <c r="O400" s="515"/>
      <c r="P400" s="515" t="s">
        <v>3647</v>
      </c>
      <c r="Q400" s="594">
        <v>0.02</v>
      </c>
      <c r="R400" s="210"/>
      <c r="S400" s="595"/>
      <c r="T400" s="515" t="str">
        <f t="shared" si="41"/>
        <v/>
      </c>
      <c r="U400" s="515" t="s">
        <v>89</v>
      </c>
      <c r="V400" s="515" t="s">
        <v>2410</v>
      </c>
      <c r="W400" s="515" t="s">
        <v>29</v>
      </c>
      <c r="X400" s="596" t="s">
        <v>3653</v>
      </c>
      <c r="Y400" s="596" t="s">
        <v>3653</v>
      </c>
      <c r="Z400" s="596" t="s">
        <v>3653</v>
      </c>
      <c r="AA400" s="596" t="s">
        <v>3653</v>
      </c>
      <c r="AB400" s="596" t="s">
        <v>3653</v>
      </c>
      <c r="AC400" s="596" t="s">
        <v>3653</v>
      </c>
      <c r="AD400" s="596" t="s">
        <v>3653</v>
      </c>
      <c r="AE400" s="596" t="s">
        <v>3653</v>
      </c>
      <c r="AF400" s="596" t="s">
        <v>3653</v>
      </c>
      <c r="AG400" s="596" t="s">
        <v>3653</v>
      </c>
      <c r="AH400" s="596" t="s">
        <v>3653</v>
      </c>
      <c r="AI400" s="596" t="s">
        <v>4814</v>
      </c>
      <c r="AJ400" s="596" t="s">
        <v>4815</v>
      </c>
      <c r="AK400" s="596" t="s">
        <v>4816</v>
      </c>
      <c r="AL400" s="443">
        <v>329541.59</v>
      </c>
      <c r="AM400" s="443">
        <v>323910.37</v>
      </c>
      <c r="AN400" s="443">
        <v>305618.18</v>
      </c>
      <c r="AO400" s="664">
        <v>304591.92</v>
      </c>
      <c r="AP400" s="664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3642</v>
      </c>
      <c r="B401" s="79" t="s">
        <v>4817</v>
      </c>
      <c r="C401" s="597" t="s">
        <v>4818</v>
      </c>
      <c r="D401" s="515">
        <v>4911406.0</v>
      </c>
      <c r="E401" s="505" t="s">
        <v>86</v>
      </c>
      <c r="F401" s="505" t="s">
        <v>29</v>
      </c>
      <c r="G401" s="505" t="s">
        <v>3486</v>
      </c>
      <c r="H401" s="505" t="str">
        <f>IFERROR(VLOOKUP(G401,'Cadastro de assessores'!A:B,2,FALSE),"Não Cadastrado")</f>
        <v>14574</v>
      </c>
      <c r="I401" s="505"/>
      <c r="J401" s="614" t="s">
        <v>2429</v>
      </c>
      <c r="K401" s="515" t="s">
        <v>116</v>
      </c>
      <c r="L401" s="515" t="s">
        <v>3659</v>
      </c>
      <c r="M401" s="515" t="s">
        <v>2430</v>
      </c>
      <c r="N401" s="614" t="s">
        <v>2429</v>
      </c>
      <c r="O401" s="555"/>
      <c r="P401" s="555" t="s">
        <v>3693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89</v>
      </c>
      <c r="V401" s="515" t="s">
        <v>2410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2430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2396</v>
      </c>
      <c r="BF401" s="443" t="s">
        <v>2396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3642</v>
      </c>
      <c r="B402" s="79" t="s">
        <v>4817</v>
      </c>
      <c r="C402" s="597" t="s">
        <v>4818</v>
      </c>
      <c r="D402" s="515">
        <v>4886679.0</v>
      </c>
      <c r="E402" s="515" t="s">
        <v>86</v>
      </c>
      <c r="F402" s="515" t="s">
        <v>29</v>
      </c>
      <c r="G402" s="515" t="s">
        <v>3486</v>
      </c>
      <c r="H402" s="515" t="str">
        <f>IFERROR(VLOOKUP(G402,'Cadastro de assessores'!A:B,2,FALSE),"Não Cadastrado")</f>
        <v>14574</v>
      </c>
      <c r="I402" s="515"/>
      <c r="J402" s="598" t="s">
        <v>2393</v>
      </c>
      <c r="K402" s="515" t="s">
        <v>2393</v>
      </c>
      <c r="L402" s="515" t="s">
        <v>3646</v>
      </c>
      <c r="M402" s="600">
        <v>44256.0</v>
      </c>
      <c r="N402" s="600">
        <v>44256.0</v>
      </c>
      <c r="O402" s="600">
        <v>44691.0</v>
      </c>
      <c r="P402" s="515" t="s">
        <v>3651</v>
      </c>
      <c r="Q402" s="594">
        <v>0.015</v>
      </c>
      <c r="R402" s="210" t="s">
        <v>4819</v>
      </c>
      <c r="S402" s="595"/>
      <c r="T402" s="515" t="str">
        <f t="shared" si="41"/>
        <v/>
      </c>
      <c r="U402" s="515" t="s">
        <v>89</v>
      </c>
      <c r="V402" s="515" t="s">
        <v>2410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2396</v>
      </c>
      <c r="BF402" s="443" t="s">
        <v>2396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3642</v>
      </c>
      <c r="B403" s="79" t="s">
        <v>1769</v>
      </c>
      <c r="C403" s="564" t="s">
        <v>1766</v>
      </c>
      <c r="D403" s="555">
        <v>6675462.0</v>
      </c>
      <c r="E403" s="505" t="s">
        <v>18</v>
      </c>
      <c r="F403" s="505" t="s">
        <v>19</v>
      </c>
      <c r="G403" s="555" t="s">
        <v>201</v>
      </c>
      <c r="H403" s="505" t="str">
        <f>IFERROR(VLOOKUP(G403,'Cadastro de assessores'!A:B,2,FALSE),"Não Cadastrado")</f>
        <v>18890</v>
      </c>
      <c r="I403" s="505"/>
      <c r="J403" s="505" t="s">
        <v>88</v>
      </c>
      <c r="K403" s="515" t="s">
        <v>88</v>
      </c>
      <c r="L403" s="515" t="s">
        <v>3659</v>
      </c>
      <c r="M403" s="592">
        <v>44684.0</v>
      </c>
      <c r="N403" s="592">
        <v>44686.0</v>
      </c>
      <c r="O403" s="555"/>
      <c r="P403" s="555" t="s">
        <v>3660</v>
      </c>
      <c r="Q403" s="594">
        <v>0.012</v>
      </c>
      <c r="R403" s="210" t="s">
        <v>3757</v>
      </c>
      <c r="S403" s="595"/>
      <c r="T403" s="515" t="str">
        <f t="shared" si="41"/>
        <v>Não Qualificado</v>
      </c>
      <c r="U403" s="515" t="s">
        <v>89</v>
      </c>
      <c r="V403" s="515" t="s">
        <v>2482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4"/>
      <c r="AP403" s="664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3642</v>
      </c>
      <c r="B404" s="79" t="s">
        <v>3181</v>
      </c>
      <c r="C404" s="597" t="s">
        <v>3179</v>
      </c>
      <c r="D404" s="515">
        <v>4457777.0</v>
      </c>
      <c r="E404" s="515" t="s">
        <v>2379</v>
      </c>
      <c r="F404" s="515" t="s">
        <v>29</v>
      </c>
      <c r="G404" s="515" t="s">
        <v>2379</v>
      </c>
      <c r="H404" s="515" t="str">
        <f>IFERROR(VLOOKUP(G404,'Cadastro de assessores'!A:B,2,FALSE),"Não Cadastrado")</f>
        <v>18986</v>
      </c>
      <c r="I404" s="515"/>
      <c r="J404" s="598" t="s">
        <v>2393</v>
      </c>
      <c r="K404" s="515" t="s">
        <v>2393</v>
      </c>
      <c r="L404" s="515" t="s">
        <v>3646</v>
      </c>
      <c r="M404" s="599">
        <v>44151.0</v>
      </c>
      <c r="N404" s="599">
        <v>44151.0</v>
      </c>
      <c r="O404" s="599">
        <v>44543.0</v>
      </c>
      <c r="P404" s="515" t="s">
        <v>3651</v>
      </c>
      <c r="Q404" s="594">
        <v>0.015</v>
      </c>
      <c r="R404" s="210" t="s">
        <v>4820</v>
      </c>
      <c r="S404" s="595"/>
      <c r="T404" s="515" t="str">
        <f t="shared" si="41"/>
        <v>Não Qualificado</v>
      </c>
      <c r="U404" s="515" t="s">
        <v>89</v>
      </c>
      <c r="V404" s="515" t="s">
        <v>3182</v>
      </c>
      <c r="W404" s="515" t="s">
        <v>19</v>
      </c>
      <c r="X404" s="596" t="s">
        <v>3653</v>
      </c>
      <c r="Y404" s="596" t="s">
        <v>3653</v>
      </c>
      <c r="Z404" s="596" t="s">
        <v>3653</v>
      </c>
      <c r="AA404" s="596" t="s">
        <v>3653</v>
      </c>
      <c r="AB404" s="596" t="s">
        <v>3653</v>
      </c>
      <c r="AC404" s="596" t="s">
        <v>3653</v>
      </c>
      <c r="AD404" s="596" t="s">
        <v>3653</v>
      </c>
      <c r="AE404" s="596" t="s">
        <v>3653</v>
      </c>
      <c r="AF404" s="596" t="s">
        <v>3653</v>
      </c>
      <c r="AG404" s="596" t="s">
        <v>3653</v>
      </c>
      <c r="AH404" s="596" t="s">
        <v>3653</v>
      </c>
      <c r="AI404" s="596" t="s">
        <v>3653</v>
      </c>
      <c r="AJ404" s="596" t="s">
        <v>3653</v>
      </c>
      <c r="AK404" s="596" t="s">
        <v>4821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2396</v>
      </c>
      <c r="BF404" s="443" t="s">
        <v>2396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3642</v>
      </c>
      <c r="B405" s="79" t="s">
        <v>1785</v>
      </c>
      <c r="C405" s="626" t="s">
        <v>1783</v>
      </c>
      <c r="D405" s="555">
        <v>7514118.0</v>
      </c>
      <c r="E405" s="505" t="s">
        <v>18</v>
      </c>
      <c r="F405" s="591" t="s">
        <v>19</v>
      </c>
      <c r="G405" s="608" t="s">
        <v>230</v>
      </c>
      <c r="H405" s="555" t="str">
        <f>IFERROR(VLOOKUP(G405,'Cadastro de assessores'!A:B,2,FALSE),"Não Cadastrado")</f>
        <v>18009</v>
      </c>
      <c r="I405" s="555"/>
      <c r="J405" s="505" t="s">
        <v>88</v>
      </c>
      <c r="K405" s="515" t="s">
        <v>88</v>
      </c>
      <c r="L405" s="515" t="s">
        <v>3659</v>
      </c>
      <c r="M405" s="592">
        <v>44564.0</v>
      </c>
      <c r="N405" s="592">
        <v>44572.0</v>
      </c>
      <c r="O405" s="555"/>
      <c r="P405" s="555" t="s">
        <v>3657</v>
      </c>
      <c r="Q405" s="594">
        <v>0.007</v>
      </c>
      <c r="R405" s="210"/>
      <c r="S405" s="595"/>
      <c r="T405" s="515" t="str">
        <f t="shared" si="41"/>
        <v/>
      </c>
      <c r="U405" s="515" t="s">
        <v>329</v>
      </c>
      <c r="V405" s="515" t="s">
        <v>2482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4"/>
      <c r="AN405" s="664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3642</v>
      </c>
      <c r="B406" s="79" t="s">
        <v>1785</v>
      </c>
      <c r="C406" s="564" t="s">
        <v>1783</v>
      </c>
      <c r="D406" s="604">
        <v>7605641.0</v>
      </c>
      <c r="E406" s="505" t="s">
        <v>18</v>
      </c>
      <c r="F406" s="591" t="s">
        <v>19</v>
      </c>
      <c r="G406" s="608" t="s">
        <v>230</v>
      </c>
      <c r="H406" s="555" t="str">
        <f>IFERROR(VLOOKUP(G406,'Cadastro de assessores'!A:B,2,FALSE),"Não Cadastrado")</f>
        <v>18009</v>
      </c>
      <c r="I406" s="555"/>
      <c r="J406" s="505" t="s">
        <v>88</v>
      </c>
      <c r="K406" s="515" t="s">
        <v>88</v>
      </c>
      <c r="L406" s="515" t="s">
        <v>3659</v>
      </c>
      <c r="M406" s="605">
        <v>44669.0</v>
      </c>
      <c r="N406" s="605">
        <v>44669.0</v>
      </c>
      <c r="O406" s="555"/>
      <c r="P406" s="555" t="s">
        <v>3657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329</v>
      </c>
      <c r="V406" s="515" t="s">
        <v>2482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4"/>
      <c r="AO406" s="664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3642</v>
      </c>
      <c r="B407" s="79" t="s">
        <v>4822</v>
      </c>
      <c r="C407" s="564" t="s">
        <v>4823</v>
      </c>
      <c r="D407" s="555">
        <v>515215.0</v>
      </c>
      <c r="E407" s="505" t="s">
        <v>18</v>
      </c>
      <c r="F407" s="591" t="s">
        <v>19</v>
      </c>
      <c r="G407" s="505" t="s">
        <v>230</v>
      </c>
      <c r="H407" s="555" t="str">
        <f>IFERROR(VLOOKUP(G407,'Cadastro de assessores'!A:B,2,FALSE),"Não Cadastrado")</f>
        <v>18009</v>
      </c>
      <c r="I407" s="555"/>
      <c r="J407" s="505" t="s">
        <v>3645</v>
      </c>
      <c r="K407" s="515" t="s">
        <v>116</v>
      </c>
      <c r="L407" s="515" t="s">
        <v>3646</v>
      </c>
      <c r="M407" s="592">
        <v>44349.0</v>
      </c>
      <c r="N407" s="592">
        <v>44349.0</v>
      </c>
      <c r="O407" s="515"/>
      <c r="P407" s="515" t="s">
        <v>3855</v>
      </c>
      <c r="Q407" s="594">
        <v>0.02</v>
      </c>
      <c r="R407" s="210" t="s">
        <v>4824</v>
      </c>
      <c r="S407" s="595"/>
      <c r="T407" s="515" t="str">
        <f t="shared" si="41"/>
        <v/>
      </c>
      <c r="U407" s="555" t="s">
        <v>89</v>
      </c>
      <c r="V407" s="555" t="s">
        <v>3938</v>
      </c>
      <c r="W407" s="555" t="s">
        <v>121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4"/>
      <c r="AO407" s="664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2396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3642</v>
      </c>
      <c r="B408" s="79" t="s">
        <v>4825</v>
      </c>
      <c r="C408" s="564" t="s">
        <v>4826</v>
      </c>
      <c r="D408" s="555">
        <v>6403193.0</v>
      </c>
      <c r="E408" s="515" t="s">
        <v>18</v>
      </c>
      <c r="F408" s="504" t="s">
        <v>29</v>
      </c>
      <c r="G408" s="504" t="s">
        <v>4185</v>
      </c>
      <c r="H408" s="504" t="str">
        <f>IFERROR(VLOOKUP(G408,'Cadastro de assessores'!A:B,2,FALSE),"Não Cadastrado")</f>
        <v>16130</v>
      </c>
      <c r="I408" s="504"/>
      <c r="J408" s="598" t="s">
        <v>2393</v>
      </c>
      <c r="K408" s="515" t="s">
        <v>2393</v>
      </c>
      <c r="L408" s="515" t="s">
        <v>3659</v>
      </c>
      <c r="M408" s="554">
        <v>44434.0</v>
      </c>
      <c r="N408" s="554">
        <v>44434.0</v>
      </c>
      <c r="O408" s="554">
        <v>44764.0</v>
      </c>
      <c r="P408" s="555" t="s">
        <v>3657</v>
      </c>
      <c r="Q408" s="594">
        <v>0.007</v>
      </c>
      <c r="R408" s="210" t="s">
        <v>4827</v>
      </c>
      <c r="S408" s="595"/>
      <c r="T408" s="515" t="str">
        <f t="shared" si="41"/>
        <v>Qualificado</v>
      </c>
      <c r="U408" s="555" t="s">
        <v>89</v>
      </c>
      <c r="V408" s="555" t="s">
        <v>2444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3642</v>
      </c>
      <c r="B409" s="79" t="s">
        <v>3186</v>
      </c>
      <c r="C409" s="597" t="s">
        <v>3183</v>
      </c>
      <c r="D409" s="515">
        <v>490973.0</v>
      </c>
      <c r="E409" s="505" t="s">
        <v>18</v>
      </c>
      <c r="F409" s="505" t="s">
        <v>29</v>
      </c>
      <c r="G409" s="505" t="s">
        <v>633</v>
      </c>
      <c r="H409" s="505" t="str">
        <f>IFERROR(VLOOKUP(G409,'Cadastro de assessores'!A:B,2,FALSE),"Não Cadastrado")</f>
        <v>18467</v>
      </c>
      <c r="I409" s="505"/>
      <c r="J409" s="505" t="s">
        <v>88</v>
      </c>
      <c r="K409" s="515" t="s">
        <v>88</v>
      </c>
      <c r="L409" s="515" t="s">
        <v>3659</v>
      </c>
      <c r="M409" s="592">
        <v>43685.0</v>
      </c>
      <c r="N409" s="592">
        <v>43690.0</v>
      </c>
      <c r="O409" s="515"/>
      <c r="P409" s="515" t="s">
        <v>3647</v>
      </c>
      <c r="Q409" s="594">
        <v>0.02</v>
      </c>
      <c r="R409" s="601" t="s">
        <v>4828</v>
      </c>
      <c r="S409" s="595"/>
      <c r="T409" s="515" t="str">
        <f t="shared" si="41"/>
        <v/>
      </c>
      <c r="U409" s="515" t="s">
        <v>89</v>
      </c>
      <c r="V409" s="515" t="s">
        <v>2671</v>
      </c>
      <c r="W409" s="515" t="s">
        <v>19</v>
      </c>
      <c r="X409" s="596" t="s">
        <v>4829</v>
      </c>
      <c r="Y409" s="596"/>
      <c r="Z409" s="596" t="s">
        <v>4830</v>
      </c>
      <c r="AA409" s="596" t="s">
        <v>4831</v>
      </c>
      <c r="AB409" s="596" t="s">
        <v>4832</v>
      </c>
      <c r="AC409" s="596" t="s">
        <v>4833</v>
      </c>
      <c r="AD409" s="596" t="s">
        <v>4834</v>
      </c>
      <c r="AE409" s="596" t="s">
        <v>4835</v>
      </c>
      <c r="AF409" s="596" t="s">
        <v>4836</v>
      </c>
      <c r="AG409" s="596" t="s">
        <v>4837</v>
      </c>
      <c r="AH409" s="596" t="s">
        <v>4838</v>
      </c>
      <c r="AI409" s="596" t="s">
        <v>4839</v>
      </c>
      <c r="AJ409" s="596" t="s">
        <v>4840</v>
      </c>
      <c r="AK409" s="596" t="s">
        <v>4841</v>
      </c>
      <c r="AL409" s="443">
        <v>377277.63</v>
      </c>
      <c r="AM409" s="443">
        <v>372342.05</v>
      </c>
      <c r="AN409" s="443">
        <v>365886.79</v>
      </c>
      <c r="AO409" s="664">
        <v>367375.02</v>
      </c>
      <c r="AP409" s="664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3642</v>
      </c>
      <c r="B410" s="79" t="s">
        <v>4842</v>
      </c>
      <c r="C410" s="597" t="s">
        <v>4843</v>
      </c>
      <c r="D410" s="555">
        <v>3318900.0</v>
      </c>
      <c r="E410" s="505" t="s">
        <v>2379</v>
      </c>
      <c r="F410" s="505" t="s">
        <v>29</v>
      </c>
      <c r="G410" s="505" t="s">
        <v>2379</v>
      </c>
      <c r="H410" s="505" t="str">
        <f>IFERROR(VLOOKUP(G410,'Cadastro de assessores'!A:B,2,FALSE),"Não Cadastrado")</f>
        <v>18986</v>
      </c>
      <c r="I410" s="505"/>
      <c r="J410" s="505" t="s">
        <v>88</v>
      </c>
      <c r="K410" s="515" t="s">
        <v>88</v>
      </c>
      <c r="L410" s="515" t="s">
        <v>3659</v>
      </c>
      <c r="M410" s="592">
        <v>44449.0</v>
      </c>
      <c r="N410" s="592">
        <v>44452.0</v>
      </c>
      <c r="O410" s="555"/>
      <c r="P410" s="555" t="s">
        <v>3651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89</v>
      </c>
      <c r="V410" s="555" t="s">
        <v>2395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4"/>
      <c r="AO410" s="664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3642</v>
      </c>
      <c r="B411" s="79" t="s">
        <v>1800</v>
      </c>
      <c r="C411" s="597" t="s">
        <v>4844</v>
      </c>
      <c r="D411" s="515">
        <v>4634086.0</v>
      </c>
      <c r="E411" s="505" t="s">
        <v>86</v>
      </c>
      <c r="F411" s="505" t="s">
        <v>29</v>
      </c>
      <c r="G411" s="505" t="s">
        <v>3913</v>
      </c>
      <c r="H411" s="505" t="str">
        <f>IFERROR(VLOOKUP(G411,'Cadastro de assessores'!A:B,2,FALSE),"Não Cadastrado")</f>
        <v>17243</v>
      </c>
      <c r="I411" s="505"/>
      <c r="J411" s="505" t="s">
        <v>88</v>
      </c>
      <c r="K411" s="515" t="s">
        <v>88</v>
      </c>
      <c r="L411" s="515" t="s">
        <v>3659</v>
      </c>
      <c r="M411" s="592">
        <v>44167.0</v>
      </c>
      <c r="N411" s="592">
        <v>44167.0</v>
      </c>
      <c r="O411" s="515"/>
      <c r="P411" s="515" t="s">
        <v>3660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89</v>
      </c>
      <c r="V411" s="483" t="s">
        <v>2453</v>
      </c>
      <c r="W411" s="515" t="s">
        <v>29</v>
      </c>
      <c r="X411" s="596" t="s">
        <v>3653</v>
      </c>
      <c r="Y411" s="596" t="s">
        <v>3653</v>
      </c>
      <c r="Z411" s="596" t="s">
        <v>3653</v>
      </c>
      <c r="AA411" s="596" t="s">
        <v>3653</v>
      </c>
      <c r="AB411" s="596" t="s">
        <v>3653</v>
      </c>
      <c r="AC411" s="596" t="s">
        <v>3653</v>
      </c>
      <c r="AD411" s="596" t="s">
        <v>3653</v>
      </c>
      <c r="AE411" s="596" t="s">
        <v>3653</v>
      </c>
      <c r="AF411" s="596" t="s">
        <v>3653</v>
      </c>
      <c r="AG411" s="596" t="s">
        <v>3653</v>
      </c>
      <c r="AH411" s="596" t="s">
        <v>3653</v>
      </c>
      <c r="AI411" s="596" t="s">
        <v>3653</v>
      </c>
      <c r="AJ411" s="596" t="s">
        <v>3653</v>
      </c>
      <c r="AK411" s="596" t="s">
        <v>3653</v>
      </c>
      <c r="AL411" s="443">
        <v>301774.78</v>
      </c>
      <c r="AM411" s="443">
        <v>299630.37</v>
      </c>
      <c r="AN411" s="443">
        <v>295142.77</v>
      </c>
      <c r="AO411" s="664">
        <v>294852.26</v>
      </c>
      <c r="AP411" s="664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3642</v>
      </c>
      <c r="B412" s="79" t="s">
        <v>1808</v>
      </c>
      <c r="C412" s="127" t="s">
        <v>1805</v>
      </c>
      <c r="D412" s="608">
        <v>7047969.0</v>
      </c>
      <c r="E412" s="505" t="s">
        <v>18</v>
      </c>
      <c r="F412" s="505" t="s">
        <v>29</v>
      </c>
      <c r="G412" s="505" t="s">
        <v>1807</v>
      </c>
      <c r="H412" s="505">
        <f>IFERROR(VLOOKUP(G412,'Cadastro de assessores'!A:B,2,FALSE),"Não Cadastrado")</f>
        <v>12343</v>
      </c>
      <c r="I412" s="505"/>
      <c r="J412" s="505" t="s">
        <v>88</v>
      </c>
      <c r="K412" s="515" t="s">
        <v>88</v>
      </c>
      <c r="L412" s="515" t="s">
        <v>3659</v>
      </c>
      <c r="M412" s="593">
        <v>44510.0</v>
      </c>
      <c r="N412" s="593">
        <v>44511.0</v>
      </c>
      <c r="O412" s="555"/>
      <c r="P412" s="555" t="s">
        <v>3657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89</v>
      </c>
      <c r="V412" s="471" t="s">
        <v>2421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3642</v>
      </c>
      <c r="B413" s="79" t="s">
        <v>3212</v>
      </c>
      <c r="C413" s="597" t="s">
        <v>3210</v>
      </c>
      <c r="D413" s="515">
        <v>2096281.0</v>
      </c>
      <c r="E413" s="505" t="s">
        <v>18</v>
      </c>
      <c r="F413" s="505" t="s">
        <v>29</v>
      </c>
      <c r="G413" s="505" t="s">
        <v>2633</v>
      </c>
      <c r="H413" s="505" t="str">
        <f>IFERROR(VLOOKUP(G413,'Cadastro de assessores'!A:B,2,FALSE),"Não Cadastrado")</f>
        <v>18236</v>
      </c>
      <c r="I413" s="505"/>
      <c r="J413" s="505" t="s">
        <v>88</v>
      </c>
      <c r="K413" s="515" t="s">
        <v>88</v>
      </c>
      <c r="L413" s="515" t="s">
        <v>3659</v>
      </c>
      <c r="M413" s="592">
        <v>44294.0</v>
      </c>
      <c r="N413" s="592">
        <v>44294.0</v>
      </c>
      <c r="O413" s="515"/>
      <c r="P413" s="515" t="s">
        <v>3664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89</v>
      </c>
      <c r="V413" s="515" t="s">
        <v>2453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4">
        <v>3752150.03</v>
      </c>
      <c r="AP413" s="664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3642</v>
      </c>
      <c r="B414" s="79" t="s">
        <v>3212</v>
      </c>
      <c r="C414" s="597" t="s">
        <v>3210</v>
      </c>
      <c r="D414" s="515">
        <v>4679169.0</v>
      </c>
      <c r="E414" s="505" t="s">
        <v>18</v>
      </c>
      <c r="F414" s="505" t="s">
        <v>29</v>
      </c>
      <c r="G414" s="505" t="s">
        <v>2633</v>
      </c>
      <c r="H414" s="505" t="str">
        <f>IFERROR(VLOOKUP(G414,'Cadastro de assessores'!A:B,2,FALSE),"Não Cadastrado")</f>
        <v>18236</v>
      </c>
      <c r="I414" s="505"/>
      <c r="J414" s="614" t="s">
        <v>4024</v>
      </c>
      <c r="K414" s="515" t="s">
        <v>116</v>
      </c>
      <c r="L414" s="515" t="s">
        <v>3659</v>
      </c>
      <c r="M414" s="515" t="s">
        <v>2430</v>
      </c>
      <c r="N414" s="614" t="s">
        <v>4024</v>
      </c>
      <c r="O414" s="555"/>
      <c r="P414" s="555" t="s">
        <v>3693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89</v>
      </c>
      <c r="V414" s="515" t="s">
        <v>2453</v>
      </c>
      <c r="W414" s="515" t="s">
        <v>29</v>
      </c>
      <c r="X414" s="596" t="s">
        <v>3653</v>
      </c>
      <c r="Y414" s="596" t="s">
        <v>3653</v>
      </c>
      <c r="Z414" s="596" t="s">
        <v>3653</v>
      </c>
      <c r="AA414" s="596" t="s">
        <v>3653</v>
      </c>
      <c r="AB414" s="596" t="s">
        <v>3653</v>
      </c>
      <c r="AC414" s="596" t="s">
        <v>3653</v>
      </c>
      <c r="AD414" s="596" t="s">
        <v>3653</v>
      </c>
      <c r="AE414" s="596" t="s">
        <v>3653</v>
      </c>
      <c r="AF414" s="596" t="s">
        <v>3653</v>
      </c>
      <c r="AG414" s="596" t="s">
        <v>3653</v>
      </c>
      <c r="AH414" s="596" t="s">
        <v>3653</v>
      </c>
      <c r="AI414" s="596" t="s">
        <v>3653</v>
      </c>
      <c r="AJ414" s="596" t="s">
        <v>3653</v>
      </c>
      <c r="AK414" s="596" t="s">
        <v>3653</v>
      </c>
      <c r="AL414" s="443" t="s">
        <v>2430</v>
      </c>
      <c r="AM414" s="443"/>
      <c r="AN414" s="443" t="s">
        <v>2430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2396</v>
      </c>
      <c r="BF414" s="443" t="s">
        <v>2396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3642</v>
      </c>
      <c r="B415" s="79" t="s">
        <v>1837</v>
      </c>
      <c r="C415" s="597" t="s">
        <v>1835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88</v>
      </c>
      <c r="K415" s="515"/>
      <c r="L415" s="515" t="s">
        <v>3659</v>
      </c>
      <c r="M415" s="599"/>
      <c r="N415" s="599">
        <v>44851.0</v>
      </c>
      <c r="O415" s="600"/>
      <c r="P415" s="515" t="s">
        <v>3651</v>
      </c>
      <c r="Q415" s="594">
        <v>0.015</v>
      </c>
      <c r="R415" s="601" t="s">
        <v>3923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3642</v>
      </c>
      <c r="B416" s="79" t="s">
        <v>4845</v>
      </c>
      <c r="C416" s="597" t="s">
        <v>4846</v>
      </c>
      <c r="D416" s="515">
        <v>528568.0</v>
      </c>
      <c r="E416" s="515" t="s">
        <v>86</v>
      </c>
      <c r="F416" s="515" t="s">
        <v>29</v>
      </c>
      <c r="G416" s="515" t="s">
        <v>3823</v>
      </c>
      <c r="H416" s="515" t="str">
        <f>IFERROR(VLOOKUP(G416,'Cadastro de assessores'!A:B,2,FALSE),"Não Cadastrado")</f>
        <v>17896</v>
      </c>
      <c r="I416" s="515"/>
      <c r="J416" s="598" t="s">
        <v>2393</v>
      </c>
      <c r="K416" s="515" t="s">
        <v>2393</v>
      </c>
      <c r="L416" s="515" t="s">
        <v>3646</v>
      </c>
      <c r="M416" s="599">
        <v>44183.0</v>
      </c>
      <c r="N416" s="599">
        <v>44183.0</v>
      </c>
      <c r="O416" s="600">
        <v>44315.0</v>
      </c>
      <c r="P416" s="515" t="s">
        <v>3647</v>
      </c>
      <c r="Q416" s="594">
        <v>0.02</v>
      </c>
      <c r="R416" s="601" t="s">
        <v>4847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89</v>
      </c>
      <c r="V416" s="515" t="s">
        <v>2453</v>
      </c>
      <c r="W416" s="515" t="s">
        <v>29</v>
      </c>
      <c r="X416" s="596" t="s">
        <v>3653</v>
      </c>
      <c r="Y416" s="596" t="s">
        <v>3653</v>
      </c>
      <c r="Z416" s="596" t="s">
        <v>3653</v>
      </c>
      <c r="AA416" s="596" t="s">
        <v>3653</v>
      </c>
      <c r="AB416" s="596" t="s">
        <v>3653</v>
      </c>
      <c r="AC416" s="596" t="s">
        <v>3653</v>
      </c>
      <c r="AD416" s="596" t="s">
        <v>3653</v>
      </c>
      <c r="AE416" s="596" t="s">
        <v>3653</v>
      </c>
      <c r="AF416" s="596" t="s">
        <v>3653</v>
      </c>
      <c r="AG416" s="596" t="s">
        <v>3653</v>
      </c>
      <c r="AH416" s="596" t="s">
        <v>3653</v>
      </c>
      <c r="AI416" s="596" t="s">
        <v>3653</v>
      </c>
      <c r="AJ416" s="596" t="s">
        <v>3653</v>
      </c>
      <c r="AK416" s="596" t="s">
        <v>3653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2396</v>
      </c>
      <c r="BF416" s="443" t="s">
        <v>2396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3642</v>
      </c>
      <c r="B417" s="79" t="s">
        <v>4848</v>
      </c>
      <c r="C417" s="564" t="s">
        <v>4849</v>
      </c>
      <c r="D417" s="555">
        <v>7388997.0</v>
      </c>
      <c r="E417" s="505" t="s">
        <v>18</v>
      </c>
      <c r="F417" s="591" t="s">
        <v>29</v>
      </c>
      <c r="G417" s="608" t="s">
        <v>761</v>
      </c>
      <c r="H417" s="505">
        <f>IFERROR(VLOOKUP(G417,'Cadastro de assessores'!A:B,2,FALSE),"Não Cadastrado")</f>
        <v>12342</v>
      </c>
      <c r="I417" s="505"/>
      <c r="J417" s="505" t="s">
        <v>88</v>
      </c>
      <c r="K417" s="515" t="s">
        <v>88</v>
      </c>
      <c r="L417" s="515" t="s">
        <v>3659</v>
      </c>
      <c r="M417" s="593">
        <v>44539.0</v>
      </c>
      <c r="N417" s="593">
        <v>44543.0</v>
      </c>
      <c r="O417" s="608"/>
      <c r="P417" s="608" t="s">
        <v>3657</v>
      </c>
      <c r="Q417" s="594">
        <v>0.007</v>
      </c>
      <c r="R417" s="475"/>
      <c r="S417" s="595"/>
      <c r="T417" s="515" t="str">
        <f t="shared" si="42"/>
        <v/>
      </c>
      <c r="U417" s="515" t="s">
        <v>89</v>
      </c>
      <c r="V417" s="515" t="s">
        <v>2494</v>
      </c>
      <c r="W417" s="515" t="s">
        <v>715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4"/>
      <c r="AO417" s="664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3642</v>
      </c>
      <c r="B418" s="79" t="s">
        <v>4850</v>
      </c>
      <c r="C418" s="597" t="s">
        <v>4851</v>
      </c>
      <c r="D418" s="515">
        <v>3445098.0</v>
      </c>
      <c r="E418" s="505" t="s">
        <v>2379</v>
      </c>
      <c r="F418" s="505" t="s">
        <v>29</v>
      </c>
      <c r="G418" s="505" t="s">
        <v>2379</v>
      </c>
      <c r="H418" s="505" t="str">
        <f>IFERROR(VLOOKUP(G418,'Cadastro de assessores'!A:B,2,FALSE),"Não Cadastrado")</f>
        <v>18986</v>
      </c>
      <c r="I418" s="505"/>
      <c r="J418" s="505" t="s">
        <v>3645</v>
      </c>
      <c r="K418" s="515" t="s">
        <v>116</v>
      </c>
      <c r="L418" s="515" t="s">
        <v>3646</v>
      </c>
      <c r="M418" s="592">
        <v>44036.0</v>
      </c>
      <c r="N418" s="592">
        <v>44043.0</v>
      </c>
      <c r="O418" s="515"/>
      <c r="P418" s="515" t="s">
        <v>3651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89</v>
      </c>
      <c r="V418" s="515" t="s">
        <v>2671</v>
      </c>
      <c r="W418" s="515" t="s">
        <v>19</v>
      </c>
      <c r="X418" s="596" t="s">
        <v>3653</v>
      </c>
      <c r="Y418" s="596" t="s">
        <v>3653</v>
      </c>
      <c r="Z418" s="596" t="s">
        <v>3653</v>
      </c>
      <c r="AA418" s="596" t="s">
        <v>3653</v>
      </c>
      <c r="AB418" s="596" t="s">
        <v>3653</v>
      </c>
      <c r="AC418" s="596" t="s">
        <v>3653</v>
      </c>
      <c r="AD418" s="596" t="s">
        <v>3653</v>
      </c>
      <c r="AE418" s="596" t="s">
        <v>3653</v>
      </c>
      <c r="AF418" s="596" t="s">
        <v>3653</v>
      </c>
      <c r="AG418" s="596" t="s">
        <v>4852</v>
      </c>
      <c r="AH418" s="596" t="s">
        <v>4853</v>
      </c>
      <c r="AI418" s="596" t="s">
        <v>4854</v>
      </c>
      <c r="AJ418" s="596" t="s">
        <v>4855</v>
      </c>
      <c r="AK418" s="596" t="s">
        <v>4856</v>
      </c>
      <c r="AL418" s="443">
        <v>230034.47</v>
      </c>
      <c r="AM418" s="443">
        <v>164120.99</v>
      </c>
      <c r="AN418" s="443">
        <v>49992.45</v>
      </c>
      <c r="AO418" s="664">
        <v>9340.95</v>
      </c>
      <c r="AP418" s="664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3642</v>
      </c>
      <c r="B419" s="79" t="s">
        <v>4857</v>
      </c>
      <c r="C419" s="564" t="s">
        <v>4858</v>
      </c>
      <c r="D419" s="617">
        <v>7709062.0</v>
      </c>
      <c r="E419" s="504" t="s">
        <v>18</v>
      </c>
      <c r="F419" s="504" t="s">
        <v>19</v>
      </c>
      <c r="G419" s="515" t="s">
        <v>4859</v>
      </c>
      <c r="H419" s="515" t="str">
        <f>IFERROR(VLOOKUP(G419,'Cadastro de assessores'!A:B,2,FALSE),"Não Cadastrado")</f>
        <v>15544</v>
      </c>
      <c r="I419" s="515"/>
      <c r="J419" s="598" t="s">
        <v>2393</v>
      </c>
      <c r="K419" s="515" t="s">
        <v>116</v>
      </c>
      <c r="L419" s="505" t="s">
        <v>3646</v>
      </c>
      <c r="M419" s="600">
        <v>44615.0</v>
      </c>
      <c r="N419" s="600">
        <v>44623.0</v>
      </c>
      <c r="O419" s="554">
        <v>44820.0</v>
      </c>
      <c r="P419" s="555" t="s">
        <v>3995</v>
      </c>
      <c r="Q419" s="594">
        <v>0.01</v>
      </c>
      <c r="R419" s="601" t="s">
        <v>4860</v>
      </c>
      <c r="S419" s="595"/>
      <c r="T419" s="515" t="str">
        <f t="shared" si="42"/>
        <v>Não Qualificado</v>
      </c>
      <c r="U419" s="515" t="s">
        <v>89</v>
      </c>
      <c r="V419" s="515" t="s">
        <v>2482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3642</v>
      </c>
      <c r="B420" s="79" t="s">
        <v>4861</v>
      </c>
      <c r="C420" s="564" t="s">
        <v>4862</v>
      </c>
      <c r="D420" s="481">
        <v>5577.0</v>
      </c>
      <c r="E420" s="505" t="s">
        <v>18</v>
      </c>
      <c r="F420" s="505" t="s">
        <v>29</v>
      </c>
      <c r="G420" s="505" t="s">
        <v>137</v>
      </c>
      <c r="H420" s="505">
        <f>IFERROR(VLOOKUP(G420,'Cadastro de assessores'!A:B,2,FALSE),"Não Cadastrado")</f>
        <v>12344</v>
      </c>
      <c r="I420" s="505"/>
      <c r="J420" s="505" t="s">
        <v>88</v>
      </c>
      <c r="K420" s="505" t="s">
        <v>88</v>
      </c>
      <c r="L420" s="515" t="s">
        <v>3659</v>
      </c>
      <c r="M420" s="605">
        <v>44760.0</v>
      </c>
      <c r="N420" s="605">
        <v>44764.0</v>
      </c>
      <c r="O420" s="555"/>
      <c r="P420" s="555" t="s">
        <v>3660</v>
      </c>
      <c r="Q420" s="594">
        <v>0.012</v>
      </c>
      <c r="R420" s="210"/>
      <c r="S420" s="595"/>
      <c r="T420" s="515"/>
      <c r="U420" s="515" t="s">
        <v>89</v>
      </c>
      <c r="V420" s="555"/>
      <c r="W420" s="555" t="s">
        <v>180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4"/>
      <c r="AO420" s="664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3642</v>
      </c>
      <c r="B421" s="79" t="s">
        <v>1850</v>
      </c>
      <c r="C421" s="564" t="s">
        <v>4863</v>
      </c>
      <c r="D421" s="604">
        <v>2284049.0</v>
      </c>
      <c r="E421" s="505" t="s">
        <v>18</v>
      </c>
      <c r="F421" s="505" t="s">
        <v>29</v>
      </c>
      <c r="G421" s="505" t="s">
        <v>137</v>
      </c>
      <c r="H421" s="505">
        <f>IFERROR(VLOOKUP(G421,'Cadastro de assessores'!A:B,2,FALSE),"Não Cadastrado")</f>
        <v>12344</v>
      </c>
      <c r="I421" s="505"/>
      <c r="J421" s="505" t="s">
        <v>88</v>
      </c>
      <c r="K421" s="505" t="s">
        <v>88</v>
      </c>
      <c r="L421" s="515" t="s">
        <v>3659</v>
      </c>
      <c r="M421" s="605">
        <v>44636.0</v>
      </c>
      <c r="N421" s="605">
        <v>44645.0</v>
      </c>
      <c r="O421" s="555"/>
      <c r="P421" s="555" t="s">
        <v>3657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89</v>
      </c>
      <c r="V421" s="555" t="s">
        <v>3233</v>
      </c>
      <c r="W421" s="555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4"/>
      <c r="AO421" s="664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3642</v>
      </c>
      <c r="B422" s="79" t="s">
        <v>4864</v>
      </c>
      <c r="C422" s="564" t="s">
        <v>4865</v>
      </c>
      <c r="D422" s="555">
        <v>5603037.0</v>
      </c>
      <c r="E422" s="515" t="s">
        <v>2379</v>
      </c>
      <c r="F422" s="504" t="s">
        <v>29</v>
      </c>
      <c r="G422" s="555" t="s">
        <v>2379</v>
      </c>
      <c r="H422" s="555" t="str">
        <f>IFERROR(VLOOKUP(G422,'Cadastro de assessores'!A:B,2,FALSE),"Não Cadastrado")</f>
        <v>18986</v>
      </c>
      <c r="I422" s="555"/>
      <c r="J422" s="598" t="s">
        <v>2393</v>
      </c>
      <c r="K422" s="598" t="s">
        <v>88</v>
      </c>
      <c r="L422" s="505" t="s">
        <v>3646</v>
      </c>
      <c r="M422" s="600">
        <v>44358.0</v>
      </c>
      <c r="N422" s="600">
        <v>44361.0</v>
      </c>
      <c r="O422" s="600">
        <v>44831.0</v>
      </c>
      <c r="P422" s="515" t="s">
        <v>3660</v>
      </c>
      <c r="Q422" s="594">
        <v>0.012</v>
      </c>
      <c r="R422" s="210" t="s">
        <v>4866</v>
      </c>
      <c r="S422" s="595"/>
      <c r="T422" s="515" t="str">
        <f t="shared" si="43"/>
        <v/>
      </c>
      <c r="U422" s="515" t="s">
        <v>89</v>
      </c>
      <c r="V422" s="555" t="s">
        <v>2771</v>
      </c>
      <c r="W422" s="555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4"/>
      <c r="AO422" s="664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3642</v>
      </c>
      <c r="B423" s="79" t="s">
        <v>4867</v>
      </c>
      <c r="C423" s="564" t="s">
        <v>4868</v>
      </c>
      <c r="D423" s="504">
        <v>5646446.0</v>
      </c>
      <c r="E423" s="515" t="s">
        <v>86</v>
      </c>
      <c r="F423" s="504" t="s">
        <v>29</v>
      </c>
      <c r="G423" s="504" t="s">
        <v>4028</v>
      </c>
      <c r="H423" s="591">
        <f>IFERROR(VLOOKUP(G423,'Cadastro de assessores'!A:B,2,FALSE),"Não Cadastrado")</f>
        <v>12347</v>
      </c>
      <c r="I423" s="591"/>
      <c r="J423" s="505" t="s">
        <v>88</v>
      </c>
      <c r="K423" s="505" t="s">
        <v>88</v>
      </c>
      <c r="L423" s="515" t="s">
        <v>3659</v>
      </c>
      <c r="M423" s="592">
        <v>44361.0</v>
      </c>
      <c r="N423" s="592">
        <v>44361.0</v>
      </c>
      <c r="O423" s="515"/>
      <c r="P423" s="515" t="s">
        <v>3660</v>
      </c>
      <c r="Q423" s="594">
        <v>0.012</v>
      </c>
      <c r="R423" s="603" t="s">
        <v>4869</v>
      </c>
      <c r="S423" s="595"/>
      <c r="T423" s="515" t="str">
        <f t="shared" si="43"/>
        <v/>
      </c>
      <c r="U423" s="515" t="s">
        <v>89</v>
      </c>
      <c r="V423" s="555" t="s">
        <v>2950</v>
      </c>
      <c r="W423" s="555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4"/>
      <c r="AO423" s="664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3642</v>
      </c>
      <c r="B424" s="79" t="s">
        <v>3221</v>
      </c>
      <c r="C424" s="597" t="s">
        <v>4870</v>
      </c>
      <c r="D424" s="515">
        <v>4587723.0</v>
      </c>
      <c r="E424" s="505" t="s">
        <v>18</v>
      </c>
      <c r="F424" s="505" t="s">
        <v>29</v>
      </c>
      <c r="G424" s="505" t="s">
        <v>2435</v>
      </c>
      <c r="H424" s="505" t="str">
        <f>IFERROR(VLOOKUP(G424,'Cadastro de assessores'!A:B,2,FALSE),"Não Cadastrado")</f>
        <v>18836</v>
      </c>
      <c r="I424" s="505"/>
      <c r="J424" s="505" t="s">
        <v>88</v>
      </c>
      <c r="K424" s="505" t="s">
        <v>88</v>
      </c>
      <c r="L424" s="515" t="s">
        <v>3659</v>
      </c>
      <c r="M424" s="593">
        <v>44151.0</v>
      </c>
      <c r="N424" s="593">
        <v>44151.0</v>
      </c>
      <c r="O424" s="515"/>
      <c r="P424" s="515" t="s">
        <v>3664</v>
      </c>
      <c r="Q424" s="594">
        <v>0.025</v>
      </c>
      <c r="R424" s="601"/>
      <c r="S424" s="595"/>
      <c r="T424" s="515" t="str">
        <f t="shared" si="43"/>
        <v/>
      </c>
      <c r="U424" s="515" t="s">
        <v>89</v>
      </c>
      <c r="V424" s="515" t="s">
        <v>2494</v>
      </c>
      <c r="W424" s="515" t="s">
        <v>715</v>
      </c>
      <c r="X424" s="596" t="s">
        <v>3653</v>
      </c>
      <c r="Y424" s="596" t="s">
        <v>3653</v>
      </c>
      <c r="Z424" s="596" t="s">
        <v>3653</v>
      </c>
      <c r="AA424" s="596" t="s">
        <v>3653</v>
      </c>
      <c r="AB424" s="596" t="s">
        <v>3653</v>
      </c>
      <c r="AC424" s="596" t="s">
        <v>3653</v>
      </c>
      <c r="AD424" s="596" t="s">
        <v>3653</v>
      </c>
      <c r="AE424" s="596" t="s">
        <v>3653</v>
      </c>
      <c r="AF424" s="596" t="s">
        <v>3653</v>
      </c>
      <c r="AG424" s="596" t="s">
        <v>3653</v>
      </c>
      <c r="AH424" s="596" t="s">
        <v>3653</v>
      </c>
      <c r="AI424" s="596" t="s">
        <v>3653</v>
      </c>
      <c r="AJ424" s="596" t="s">
        <v>3653</v>
      </c>
      <c r="AK424" s="596" t="s">
        <v>4871</v>
      </c>
      <c r="AL424" s="443">
        <v>15676.76</v>
      </c>
      <c r="AM424" s="443">
        <v>24612.3</v>
      </c>
      <c r="AN424" s="443">
        <v>33703.22</v>
      </c>
      <c r="AO424" s="664">
        <v>33680.96</v>
      </c>
      <c r="AP424" s="664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3642</v>
      </c>
      <c r="B425" s="79" t="s">
        <v>3221</v>
      </c>
      <c r="C425" s="597" t="s">
        <v>4870</v>
      </c>
      <c r="D425" s="515">
        <v>3768368.0</v>
      </c>
      <c r="E425" s="505" t="s">
        <v>18</v>
      </c>
      <c r="F425" s="505" t="s">
        <v>29</v>
      </c>
      <c r="G425" s="505" t="s">
        <v>2435</v>
      </c>
      <c r="H425" s="505" t="str">
        <f>IFERROR(VLOOKUP(G425,'Cadastro de assessores'!A:B,2,FALSE),"Não Cadastrado")</f>
        <v>18836</v>
      </c>
      <c r="I425" s="505"/>
      <c r="J425" s="505" t="s">
        <v>88</v>
      </c>
      <c r="K425" s="505" t="s">
        <v>88</v>
      </c>
      <c r="L425" s="515" t="s">
        <v>3659</v>
      </c>
      <c r="M425" s="593">
        <v>44138.0</v>
      </c>
      <c r="N425" s="593">
        <v>44151.0</v>
      </c>
      <c r="O425" s="555"/>
      <c r="P425" s="555" t="s">
        <v>3693</v>
      </c>
      <c r="Q425" s="594">
        <v>0.008</v>
      </c>
      <c r="R425" s="601"/>
      <c r="S425" s="595"/>
      <c r="T425" s="515" t="str">
        <f t="shared" si="43"/>
        <v/>
      </c>
      <c r="U425" s="515" t="s">
        <v>89</v>
      </c>
      <c r="V425" s="515" t="s">
        <v>2494</v>
      </c>
      <c r="W425" s="515" t="s">
        <v>715</v>
      </c>
      <c r="X425" s="596" t="s">
        <v>3653</v>
      </c>
      <c r="Y425" s="596" t="s">
        <v>3653</v>
      </c>
      <c r="Z425" s="596" t="s">
        <v>3653</v>
      </c>
      <c r="AA425" s="596" t="s">
        <v>3653</v>
      </c>
      <c r="AB425" s="596" t="s">
        <v>3653</v>
      </c>
      <c r="AC425" s="596" t="s">
        <v>3653</v>
      </c>
      <c r="AD425" s="596" t="s">
        <v>3653</v>
      </c>
      <c r="AE425" s="596" t="s">
        <v>3653</v>
      </c>
      <c r="AF425" s="596" t="s">
        <v>3653</v>
      </c>
      <c r="AG425" s="596" t="s">
        <v>3653</v>
      </c>
      <c r="AH425" s="596" t="s">
        <v>3653</v>
      </c>
      <c r="AI425" s="596" t="s">
        <v>3653</v>
      </c>
      <c r="AJ425" s="596" t="s">
        <v>3653</v>
      </c>
      <c r="AK425" s="596" t="s">
        <v>4872</v>
      </c>
      <c r="AL425" s="443">
        <v>184047.01</v>
      </c>
      <c r="AM425" s="443">
        <v>185599.02</v>
      </c>
      <c r="AN425" s="443">
        <v>192943.12</v>
      </c>
      <c r="AO425" s="664">
        <v>186927.29</v>
      </c>
      <c r="AP425" s="664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3642</v>
      </c>
      <c r="B426" s="79" t="s">
        <v>4873</v>
      </c>
      <c r="C426" s="564" t="s">
        <v>4874</v>
      </c>
      <c r="D426" s="555">
        <v>5563710.0</v>
      </c>
      <c r="E426" s="515" t="s">
        <v>18</v>
      </c>
      <c r="F426" s="504" t="s">
        <v>19</v>
      </c>
      <c r="G426" s="515" t="s">
        <v>230</v>
      </c>
      <c r="H426" s="504" t="str">
        <f>IFERROR(VLOOKUP(G426,'Cadastro de assessores'!A:B,2,FALSE),"Não Cadastrado")</f>
        <v>18009</v>
      </c>
      <c r="I426" s="504"/>
      <c r="J426" s="598" t="s">
        <v>2393</v>
      </c>
      <c r="K426" s="515" t="s">
        <v>2393</v>
      </c>
      <c r="L426" s="515" t="s">
        <v>3659</v>
      </c>
      <c r="M426" s="600">
        <v>44362.0</v>
      </c>
      <c r="N426" s="600">
        <v>44362.0</v>
      </c>
      <c r="O426" s="554">
        <v>44714.0</v>
      </c>
      <c r="P426" s="555" t="s">
        <v>3647</v>
      </c>
      <c r="Q426" s="594">
        <v>0.02</v>
      </c>
      <c r="R426" s="601" t="s">
        <v>4605</v>
      </c>
      <c r="S426" s="595"/>
      <c r="T426" s="515" t="str">
        <f t="shared" si="43"/>
        <v>Não Qualificado</v>
      </c>
      <c r="U426" s="515" t="s">
        <v>89</v>
      </c>
      <c r="V426" s="515" t="s">
        <v>2449</v>
      </c>
      <c r="W426" s="515" t="s">
        <v>121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2396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3642</v>
      </c>
      <c r="B427" s="79" t="s">
        <v>4875</v>
      </c>
      <c r="C427" s="597" t="s">
        <v>4876</v>
      </c>
      <c r="D427" s="515">
        <v>5709377.0</v>
      </c>
      <c r="E427" s="515" t="s">
        <v>18</v>
      </c>
      <c r="F427" s="515" t="s">
        <v>29</v>
      </c>
      <c r="G427" s="515" t="s">
        <v>4877</v>
      </c>
      <c r="H427" s="515" t="str">
        <f>IFERROR(VLOOKUP(G427,'Cadastro de assessores'!A:B,2,FALSE),"Não Cadastrado")</f>
        <v>17109</v>
      </c>
      <c r="I427" s="515"/>
      <c r="J427" s="598" t="s">
        <v>2393</v>
      </c>
      <c r="K427" s="515" t="s">
        <v>2393</v>
      </c>
      <c r="L427" s="515" t="s">
        <v>3646</v>
      </c>
      <c r="M427" s="515" t="s">
        <v>2430</v>
      </c>
      <c r="N427" s="515" t="s">
        <v>2430</v>
      </c>
      <c r="O427" s="600">
        <v>44384.0</v>
      </c>
      <c r="P427" s="515" t="s">
        <v>3660</v>
      </c>
      <c r="Q427" s="594">
        <v>0.012</v>
      </c>
      <c r="R427" s="601" t="s">
        <v>4878</v>
      </c>
      <c r="S427" s="595"/>
      <c r="T427" s="515" t="str">
        <f t="shared" si="43"/>
        <v>Não Qualificado</v>
      </c>
      <c r="U427" s="515" t="s">
        <v>89</v>
      </c>
      <c r="V427" s="515"/>
      <c r="W427" s="515" t="s">
        <v>2430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2396</v>
      </c>
      <c r="BF427" s="443" t="s">
        <v>2396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3642</v>
      </c>
      <c r="B428" s="79" t="s">
        <v>4879</v>
      </c>
      <c r="C428" s="564" t="s">
        <v>4880</v>
      </c>
      <c r="D428" s="555">
        <v>2545354.0</v>
      </c>
      <c r="E428" s="505" t="s">
        <v>18</v>
      </c>
      <c r="F428" s="591" t="s">
        <v>19</v>
      </c>
      <c r="G428" s="505" t="s">
        <v>230</v>
      </c>
      <c r="H428" s="591" t="str">
        <f>IFERROR(VLOOKUP(G428,'Cadastro de assessores'!A:B,2,FALSE),"Não Cadastrado")</f>
        <v>18009</v>
      </c>
      <c r="I428" s="591"/>
      <c r="J428" s="555" t="s">
        <v>88</v>
      </c>
      <c r="K428" s="555" t="s">
        <v>88</v>
      </c>
      <c r="L428" s="515" t="s">
        <v>3659</v>
      </c>
      <c r="M428" s="656">
        <v>44355.0</v>
      </c>
      <c r="N428" s="656">
        <v>44355.0</v>
      </c>
      <c r="O428" s="652"/>
      <c r="P428" s="515" t="s">
        <v>3651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89</v>
      </c>
      <c r="V428" s="555" t="s">
        <v>3938</v>
      </c>
      <c r="W428" s="555" t="s">
        <v>121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4"/>
      <c r="AO428" s="664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3642</v>
      </c>
      <c r="B429" s="79" t="s">
        <v>1894</v>
      </c>
      <c r="C429" s="626" t="s">
        <v>4881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5" t="s">
        <v>88</v>
      </c>
      <c r="K429" s="555"/>
      <c r="L429" s="674" t="s">
        <v>3659</v>
      </c>
      <c r="M429" s="675"/>
      <c r="N429" s="675">
        <v>44851.0</v>
      </c>
      <c r="O429" s="676"/>
      <c r="P429" s="591" t="s">
        <v>3651</v>
      </c>
      <c r="Q429" s="677">
        <v>0.015</v>
      </c>
      <c r="R429" s="678" t="s">
        <v>4882</v>
      </c>
      <c r="S429" s="595"/>
      <c r="T429" s="515"/>
      <c r="U429" s="515"/>
      <c r="V429" s="515"/>
      <c r="W429" s="515" t="s">
        <v>19</v>
      </c>
      <c r="X429" s="659"/>
      <c r="Y429" s="679"/>
      <c r="Z429" s="679"/>
      <c r="AA429" s="658"/>
      <c r="AB429" s="461"/>
      <c r="AC429" s="680"/>
      <c r="AD429" s="659"/>
      <c r="AE429" s="679"/>
      <c r="AF429" s="679"/>
      <c r="AG429" s="658"/>
      <c r="AH429" s="461"/>
      <c r="AI429" s="680"/>
      <c r="AJ429" s="659"/>
      <c r="AK429" s="679"/>
      <c r="AL429" s="679"/>
      <c r="AM429" s="658"/>
      <c r="AN429" s="461"/>
      <c r="AO429" s="680"/>
      <c r="AP429" s="659"/>
      <c r="AQ429" s="679"/>
      <c r="AR429" s="679"/>
      <c r="AS429" s="658"/>
      <c r="AT429" s="461"/>
      <c r="AU429" s="680"/>
      <c r="AV429" s="659"/>
      <c r="AW429" s="679"/>
      <c r="AX429" s="679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3642</v>
      </c>
      <c r="B430" s="79" t="s">
        <v>1901</v>
      </c>
      <c r="C430" s="626" t="s">
        <v>1899</v>
      </c>
      <c r="D430" s="604">
        <v>6029791.0</v>
      </c>
      <c r="E430" s="591" t="s">
        <v>18</v>
      </c>
      <c r="F430" s="591" t="s">
        <v>19</v>
      </c>
      <c r="G430" s="505" t="s">
        <v>201</v>
      </c>
      <c r="H430" s="591" t="str">
        <f>IFERROR(VLOOKUP(G430,'Cadastro de assessores'!A:B,2,FALSE),"Não Cadastrado")</f>
        <v>18890</v>
      </c>
      <c r="I430" s="591"/>
      <c r="J430" s="555" t="s">
        <v>88</v>
      </c>
      <c r="K430" s="555" t="s">
        <v>88</v>
      </c>
      <c r="L430" s="674" t="s">
        <v>3659</v>
      </c>
      <c r="M430" s="554">
        <v>44600.0</v>
      </c>
      <c r="N430" s="554">
        <v>44605.0</v>
      </c>
      <c r="O430" s="591"/>
      <c r="P430" s="591" t="s">
        <v>3657</v>
      </c>
      <c r="Q430" s="677">
        <v>0.007</v>
      </c>
      <c r="R430" s="210" t="s">
        <v>3757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89</v>
      </c>
      <c r="V430" s="515" t="s">
        <v>2482</v>
      </c>
      <c r="W430" s="515" t="s">
        <v>19</v>
      </c>
      <c r="X430" s="659"/>
      <c r="Y430" s="679"/>
      <c r="Z430" s="679"/>
      <c r="AA430" s="658"/>
      <c r="AB430" s="461"/>
      <c r="AC430" s="680"/>
      <c r="AD430" s="659"/>
      <c r="AE430" s="679"/>
      <c r="AF430" s="679"/>
      <c r="AG430" s="658"/>
      <c r="AH430" s="461"/>
      <c r="AI430" s="680"/>
      <c r="AJ430" s="659"/>
      <c r="AK430" s="679"/>
      <c r="AL430" s="679"/>
      <c r="AM430" s="658"/>
      <c r="AN430" s="461"/>
      <c r="AO430" s="680"/>
      <c r="AP430" s="659"/>
      <c r="AQ430" s="679"/>
      <c r="AR430" s="679"/>
      <c r="AS430" s="658"/>
      <c r="AT430" s="461"/>
      <c r="AU430" s="680"/>
      <c r="AV430" s="659"/>
      <c r="AW430" s="679"/>
      <c r="AX430" s="679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3642</v>
      </c>
      <c r="B431" s="79" t="s">
        <v>1907</v>
      </c>
      <c r="C431" s="597" t="s">
        <v>4883</v>
      </c>
      <c r="D431" s="515">
        <v>8698050.0</v>
      </c>
      <c r="E431" s="515" t="s">
        <v>18</v>
      </c>
      <c r="F431" s="515" t="s">
        <v>19</v>
      </c>
      <c r="G431" s="515" t="s">
        <v>52</v>
      </c>
      <c r="H431" s="515" t="s">
        <v>4884</v>
      </c>
      <c r="I431" s="515"/>
      <c r="J431" s="515" t="s">
        <v>88</v>
      </c>
      <c r="K431" s="515" t="s">
        <v>88</v>
      </c>
      <c r="L431" s="515" t="s">
        <v>3659</v>
      </c>
      <c r="M431" s="600">
        <v>44715.0</v>
      </c>
      <c r="N431" s="600">
        <v>44719.0</v>
      </c>
      <c r="O431" s="600"/>
      <c r="P431" s="515" t="s">
        <v>4309</v>
      </c>
      <c r="Q431" s="594">
        <v>0.012</v>
      </c>
      <c r="R431" s="210" t="s">
        <v>4885</v>
      </c>
      <c r="S431" s="595"/>
      <c r="T431" s="515"/>
      <c r="U431" s="515" t="s">
        <v>89</v>
      </c>
      <c r="V431" s="515" t="s">
        <v>2671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2396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3642</v>
      </c>
      <c r="B432" s="79" t="s">
        <v>1911</v>
      </c>
      <c r="C432" s="619" t="s">
        <v>4886</v>
      </c>
      <c r="D432" s="620">
        <v>495561.0</v>
      </c>
      <c r="E432" s="515" t="s">
        <v>18</v>
      </c>
      <c r="F432" s="515" t="s">
        <v>29</v>
      </c>
      <c r="G432" s="515" t="s">
        <v>110</v>
      </c>
      <c r="H432" s="515"/>
      <c r="I432" s="515"/>
      <c r="J432" s="515" t="s">
        <v>88</v>
      </c>
      <c r="K432" s="515"/>
      <c r="L432" s="515"/>
      <c r="M432" s="599"/>
      <c r="N432" s="599">
        <v>44918.0</v>
      </c>
      <c r="O432" s="600"/>
      <c r="P432" s="515" t="s">
        <v>3660</v>
      </c>
      <c r="Q432" s="594">
        <v>0.008</v>
      </c>
      <c r="R432" s="681" t="s">
        <v>4887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3642</v>
      </c>
      <c r="B433" s="79" t="s">
        <v>4888</v>
      </c>
      <c r="C433" s="597" t="s">
        <v>4889</v>
      </c>
      <c r="D433" s="515">
        <v>3520517.0</v>
      </c>
      <c r="E433" s="515" t="s">
        <v>2379</v>
      </c>
      <c r="F433" s="515" t="s">
        <v>29</v>
      </c>
      <c r="G433" s="515" t="s">
        <v>2379</v>
      </c>
      <c r="H433" s="515" t="str">
        <f>IFERROR(VLOOKUP(G433,'Cadastro de assessores'!A:B,2,FALSE),"Não Cadastrado")</f>
        <v>18986</v>
      </c>
      <c r="I433" s="515"/>
      <c r="J433" s="598" t="s">
        <v>2393</v>
      </c>
      <c r="K433" s="515" t="s">
        <v>2393</v>
      </c>
      <c r="L433" s="515" t="s">
        <v>3646</v>
      </c>
      <c r="M433" s="599">
        <v>43749.0</v>
      </c>
      <c r="N433" s="599">
        <v>43749.0</v>
      </c>
      <c r="O433" s="600">
        <v>44305.0</v>
      </c>
      <c r="P433" s="515" t="s">
        <v>4033</v>
      </c>
      <c r="Q433" s="594">
        <v>0.01</v>
      </c>
      <c r="R433" s="210" t="s">
        <v>4890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89</v>
      </c>
      <c r="V433" s="515" t="s">
        <v>2410</v>
      </c>
      <c r="W433" s="515" t="s">
        <v>29</v>
      </c>
      <c r="X433" s="596" t="s">
        <v>4891</v>
      </c>
      <c r="Y433" s="596"/>
      <c r="Z433" s="596" t="s">
        <v>4892</v>
      </c>
      <c r="AA433" s="596" t="s">
        <v>4893</v>
      </c>
      <c r="AB433" s="596" t="s">
        <v>4894</v>
      </c>
      <c r="AC433" s="596" t="s">
        <v>4895</v>
      </c>
      <c r="AD433" s="596" t="s">
        <v>4896</v>
      </c>
      <c r="AE433" s="596" t="s">
        <v>4897</v>
      </c>
      <c r="AF433" s="596" t="s">
        <v>4898</v>
      </c>
      <c r="AG433" s="596" t="s">
        <v>4899</v>
      </c>
      <c r="AH433" s="596" t="s">
        <v>4900</v>
      </c>
      <c r="AI433" s="596" t="s">
        <v>4901</v>
      </c>
      <c r="AJ433" s="596" t="s">
        <v>4902</v>
      </c>
      <c r="AK433" s="596" t="s">
        <v>4903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2396</v>
      </c>
      <c r="BF433" s="443" t="s">
        <v>2396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3642</v>
      </c>
      <c r="B434" s="79" t="s">
        <v>1919</v>
      </c>
      <c r="C434" s="626" t="s">
        <v>4904</v>
      </c>
      <c r="D434" s="591">
        <v>6579987.0</v>
      </c>
      <c r="E434" s="505" t="s">
        <v>18</v>
      </c>
      <c r="F434" s="591" t="s">
        <v>19</v>
      </c>
      <c r="G434" s="505" t="s">
        <v>230</v>
      </c>
      <c r="H434" s="505" t="str">
        <f>IFERROR(VLOOKUP(G434,'Cadastro de assessores'!A:B,2,FALSE),"Não Cadastrado")</f>
        <v>18009</v>
      </c>
      <c r="I434" s="505"/>
      <c r="J434" s="598" t="s">
        <v>2393</v>
      </c>
      <c r="K434" s="505" t="s">
        <v>88</v>
      </c>
      <c r="L434" s="515" t="s">
        <v>3659</v>
      </c>
      <c r="M434" s="592">
        <v>44452.0</v>
      </c>
      <c r="N434" s="592">
        <v>44469.0</v>
      </c>
      <c r="O434" s="554">
        <v>44960.0</v>
      </c>
      <c r="P434" s="555" t="s">
        <v>3647</v>
      </c>
      <c r="Q434" s="610">
        <v>0.02</v>
      </c>
      <c r="R434" s="210" t="s">
        <v>4905</v>
      </c>
      <c r="S434" s="595"/>
      <c r="T434" s="515" t="str">
        <f t="shared" si="44"/>
        <v/>
      </c>
      <c r="U434" s="515" t="s">
        <v>89</v>
      </c>
      <c r="V434" s="515" t="s">
        <v>2505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4"/>
      <c r="AO434" s="664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3642</v>
      </c>
      <c r="B435" s="79" t="s">
        <v>1923</v>
      </c>
      <c r="C435" s="597" t="s">
        <v>4906</v>
      </c>
      <c r="D435" s="515">
        <v>306126.0</v>
      </c>
      <c r="E435" s="505" t="s">
        <v>2379</v>
      </c>
      <c r="F435" s="505" t="s">
        <v>29</v>
      </c>
      <c r="G435" s="505" t="s">
        <v>2379</v>
      </c>
      <c r="H435" s="505" t="str">
        <f>IFERROR(VLOOKUP(G435,'Cadastro de assessores'!A:B,2,FALSE),"Não Cadastrado")</f>
        <v>18986</v>
      </c>
      <c r="I435" s="505"/>
      <c r="J435" s="505" t="s">
        <v>88</v>
      </c>
      <c r="K435" s="505" t="s">
        <v>88</v>
      </c>
      <c r="L435" s="515" t="s">
        <v>3659</v>
      </c>
      <c r="M435" s="592">
        <v>44172.0</v>
      </c>
      <c r="N435" s="592">
        <v>44210.0</v>
      </c>
      <c r="O435" s="555"/>
      <c r="P435" s="555" t="s">
        <v>3647</v>
      </c>
      <c r="Q435" s="610">
        <v>0.02</v>
      </c>
      <c r="R435" s="601"/>
      <c r="S435" s="595"/>
      <c r="T435" s="515" t="str">
        <f t="shared" si="44"/>
        <v/>
      </c>
      <c r="U435" s="515" t="s">
        <v>89</v>
      </c>
      <c r="V435" s="515" t="s">
        <v>2453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4">
        <v>560943.35</v>
      </c>
      <c r="AP435" s="664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3642</v>
      </c>
      <c r="B436" s="79" t="s">
        <v>1935</v>
      </c>
      <c r="C436" s="564" t="s">
        <v>4907</v>
      </c>
      <c r="D436" s="555">
        <v>2997463.0</v>
      </c>
      <c r="E436" s="505" t="s">
        <v>18</v>
      </c>
      <c r="F436" s="591" t="s">
        <v>29</v>
      </c>
      <c r="G436" s="591" t="s">
        <v>110</v>
      </c>
      <c r="H436" s="591">
        <f>IFERROR(VLOOKUP(G436,'Cadastro de assessores'!A:B,2,FALSE),"Não Cadastrado")</f>
        <v>12332</v>
      </c>
      <c r="I436" s="591"/>
      <c r="J436" s="555" t="s">
        <v>88</v>
      </c>
      <c r="K436" s="555" t="s">
        <v>88</v>
      </c>
      <c r="L436" s="515" t="s">
        <v>3659</v>
      </c>
      <c r="M436" s="592">
        <v>44496.0</v>
      </c>
      <c r="N436" s="592">
        <v>44503.0</v>
      </c>
      <c r="O436" s="555"/>
      <c r="P436" s="555" t="s">
        <v>3657</v>
      </c>
      <c r="Q436" s="594">
        <v>0.007</v>
      </c>
      <c r="R436" s="210"/>
      <c r="S436" s="595"/>
      <c r="T436" s="515" t="str">
        <f t="shared" si="44"/>
        <v/>
      </c>
      <c r="U436" s="515" t="s">
        <v>89</v>
      </c>
      <c r="V436" s="555" t="s">
        <v>2444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4"/>
      <c r="AO436" s="664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3642</v>
      </c>
      <c r="B437" s="79" t="s">
        <v>1935</v>
      </c>
      <c r="C437" s="564" t="s">
        <v>4907</v>
      </c>
      <c r="D437" s="505">
        <v>9129986.0</v>
      </c>
      <c r="E437" s="505" t="s">
        <v>18</v>
      </c>
      <c r="F437" s="591" t="s">
        <v>29</v>
      </c>
      <c r="G437" s="591" t="s">
        <v>110</v>
      </c>
      <c r="H437" s="591">
        <f>IFERROR(VLOOKUP(G437,'Cadastro de assessores'!A:B,2,FALSE),"Não Cadastrado")</f>
        <v>12332</v>
      </c>
      <c r="I437" s="591"/>
      <c r="J437" s="505" t="s">
        <v>88</v>
      </c>
      <c r="K437" s="515" t="s">
        <v>116</v>
      </c>
      <c r="L437" s="515"/>
      <c r="M437" s="592">
        <v>44817.0</v>
      </c>
      <c r="N437" s="592">
        <v>44825.0</v>
      </c>
      <c r="O437" s="515"/>
      <c r="P437" s="515" t="s">
        <v>3664</v>
      </c>
      <c r="Q437" s="610">
        <v>0.025</v>
      </c>
      <c r="R437" s="499"/>
      <c r="S437" s="595"/>
      <c r="T437" s="515"/>
      <c r="U437" s="515"/>
      <c r="V437" s="515"/>
      <c r="W437" s="515" t="s">
        <v>2430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4"/>
      <c r="AP437" s="664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3642</v>
      </c>
      <c r="B438" s="79" t="s">
        <v>4908</v>
      </c>
      <c r="C438" s="597" t="s">
        <v>4909</v>
      </c>
      <c r="D438" s="505">
        <v>4837612.0</v>
      </c>
      <c r="E438" s="505" t="s">
        <v>86</v>
      </c>
      <c r="F438" s="505" t="s">
        <v>29</v>
      </c>
      <c r="G438" s="505" t="s">
        <v>3823</v>
      </c>
      <c r="H438" s="505" t="str">
        <f>IFERROR(VLOOKUP(G438,'Cadastro de assessores'!A:B,2,FALSE),"Não Cadastrado")</f>
        <v>17896</v>
      </c>
      <c r="I438" s="505"/>
      <c r="J438" s="598" t="s">
        <v>2393</v>
      </c>
      <c r="K438" s="505" t="s">
        <v>88</v>
      </c>
      <c r="L438" s="515" t="s">
        <v>3659</v>
      </c>
      <c r="M438" s="592">
        <v>44232.0</v>
      </c>
      <c r="N438" s="592">
        <v>44250.0</v>
      </c>
      <c r="O438" s="600">
        <v>44984.0</v>
      </c>
      <c r="P438" s="515" t="s">
        <v>3651</v>
      </c>
      <c r="Q438" s="610">
        <v>0.015</v>
      </c>
      <c r="R438" s="499" t="s">
        <v>4910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89</v>
      </c>
      <c r="V438" s="515" t="s">
        <v>2505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4">
        <v>560943.35</v>
      </c>
      <c r="AP438" s="664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3642</v>
      </c>
      <c r="B439" s="79" t="s">
        <v>4911</v>
      </c>
      <c r="C439" s="597" t="s">
        <v>4912</v>
      </c>
      <c r="D439" s="515">
        <v>4617147.0</v>
      </c>
      <c r="E439" s="515" t="s">
        <v>18</v>
      </c>
      <c r="F439" s="515" t="s">
        <v>29</v>
      </c>
      <c r="G439" s="515" t="s">
        <v>3650</v>
      </c>
      <c r="H439" s="515" t="str">
        <f>IFERROR(VLOOKUP(G439,'Cadastro de assessores'!A:B,2,FALSE),"Não Cadastrado")</f>
        <v>17679</v>
      </c>
      <c r="I439" s="515"/>
      <c r="J439" s="598" t="s">
        <v>2393</v>
      </c>
      <c r="K439" s="515" t="s">
        <v>2393</v>
      </c>
      <c r="L439" s="515" t="s">
        <v>3646</v>
      </c>
      <c r="M439" s="600">
        <v>44166.0</v>
      </c>
      <c r="N439" s="600">
        <v>44166.0</v>
      </c>
      <c r="O439" s="600">
        <v>44390.0</v>
      </c>
      <c r="P439" s="515" t="s">
        <v>3651</v>
      </c>
      <c r="Q439" s="594">
        <v>0.015</v>
      </c>
      <c r="R439" s="601" t="s">
        <v>4913</v>
      </c>
      <c r="S439" s="595"/>
      <c r="T439" s="515" t="str">
        <f t="shared" si="45"/>
        <v>Não Qualificado</v>
      </c>
      <c r="U439" s="515" t="s">
        <v>89</v>
      </c>
      <c r="V439" s="515" t="s">
        <v>2494</v>
      </c>
      <c r="W439" s="515" t="s">
        <v>715</v>
      </c>
      <c r="X439" s="596" t="s">
        <v>3653</v>
      </c>
      <c r="Y439" s="596" t="s">
        <v>3653</v>
      </c>
      <c r="Z439" s="596" t="s">
        <v>3653</v>
      </c>
      <c r="AA439" s="596" t="s">
        <v>3653</v>
      </c>
      <c r="AB439" s="596" t="s">
        <v>3653</v>
      </c>
      <c r="AC439" s="596" t="s">
        <v>3653</v>
      </c>
      <c r="AD439" s="596" t="s">
        <v>3653</v>
      </c>
      <c r="AE439" s="596" t="s">
        <v>3653</v>
      </c>
      <c r="AF439" s="596" t="s">
        <v>3653</v>
      </c>
      <c r="AG439" s="596" t="s">
        <v>3653</v>
      </c>
      <c r="AH439" s="596" t="s">
        <v>3653</v>
      </c>
      <c r="AI439" s="596" t="s">
        <v>3653</v>
      </c>
      <c r="AJ439" s="596" t="s">
        <v>3653</v>
      </c>
      <c r="AK439" s="596" t="s">
        <v>3653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2396</v>
      </c>
      <c r="BF439" s="443" t="s">
        <v>2396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3642</v>
      </c>
      <c r="B440" s="79" t="s">
        <v>4914</v>
      </c>
      <c r="C440" s="564" t="s">
        <v>4915</v>
      </c>
      <c r="D440" s="555">
        <v>355180.0</v>
      </c>
      <c r="E440" s="515" t="s">
        <v>18</v>
      </c>
      <c r="F440" s="504" t="s">
        <v>19</v>
      </c>
      <c r="G440" s="504" t="s">
        <v>230</v>
      </c>
      <c r="H440" s="504" t="str">
        <f>IFERROR(VLOOKUP(G440,'Cadastro de assessores'!A:B,2,FALSE),"Não Cadastrado")</f>
        <v>18009</v>
      </c>
      <c r="I440" s="504"/>
      <c r="J440" s="598" t="s">
        <v>2393</v>
      </c>
      <c r="K440" s="515" t="s">
        <v>2393</v>
      </c>
      <c r="L440" s="515" t="s">
        <v>3646</v>
      </c>
      <c r="M440" s="600">
        <v>44362.0</v>
      </c>
      <c r="N440" s="600">
        <v>44362.0</v>
      </c>
      <c r="O440" s="635">
        <v>44489.0</v>
      </c>
      <c r="P440" s="555" t="s">
        <v>3647</v>
      </c>
      <c r="Q440" s="594">
        <v>0.02</v>
      </c>
      <c r="R440" s="601" t="s">
        <v>4916</v>
      </c>
      <c r="S440" s="595"/>
      <c r="T440" s="515" t="str">
        <f t="shared" si="45"/>
        <v>Não Qualificado</v>
      </c>
      <c r="U440" s="515" t="s">
        <v>89</v>
      </c>
      <c r="V440" s="555" t="s">
        <v>2750</v>
      </c>
      <c r="W440" s="555" t="s">
        <v>180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2396</v>
      </c>
      <c r="BF440" s="443" t="s">
        <v>2396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3642</v>
      </c>
      <c r="B441" s="79" t="s">
        <v>4917</v>
      </c>
      <c r="C441" s="597" t="s">
        <v>4918</v>
      </c>
      <c r="D441" s="505">
        <v>396107.0</v>
      </c>
      <c r="E441" s="505" t="s">
        <v>2379</v>
      </c>
      <c r="F441" s="505" t="s">
        <v>29</v>
      </c>
      <c r="G441" s="505" t="s">
        <v>2379</v>
      </c>
      <c r="H441" s="505" t="str">
        <f>IFERROR(VLOOKUP(G441,'Cadastro de assessores'!A:B,2,FALSE),"Não Cadastrado")</f>
        <v>18986</v>
      </c>
      <c r="I441" s="505"/>
      <c r="J441" s="505" t="s">
        <v>88</v>
      </c>
      <c r="K441" s="505" t="s">
        <v>88</v>
      </c>
      <c r="L441" s="515" t="s">
        <v>3659</v>
      </c>
      <c r="M441" s="592">
        <v>44193.0</v>
      </c>
      <c r="N441" s="592">
        <v>44250.0</v>
      </c>
      <c r="O441" s="515"/>
      <c r="P441" s="515" t="s">
        <v>3651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89</v>
      </c>
      <c r="V441" s="515" t="s">
        <v>2671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3642</v>
      </c>
      <c r="B442" s="79" t="s">
        <v>4919</v>
      </c>
      <c r="C442" s="597" t="s">
        <v>4920</v>
      </c>
      <c r="D442" s="515">
        <v>4836917.0</v>
      </c>
      <c r="E442" s="515" t="s">
        <v>2379</v>
      </c>
      <c r="F442" s="515" t="s">
        <v>29</v>
      </c>
      <c r="G442" s="515" t="s">
        <v>2379</v>
      </c>
      <c r="H442" s="515" t="str">
        <f>IFERROR(VLOOKUP(G442,'Cadastro de assessores'!A:B,2,FALSE),"Não Cadastrado")</f>
        <v>18986</v>
      </c>
      <c r="I442" s="515"/>
      <c r="J442" s="598" t="s">
        <v>2393</v>
      </c>
      <c r="K442" s="515" t="s">
        <v>2393</v>
      </c>
      <c r="L442" s="515" t="s">
        <v>3646</v>
      </c>
      <c r="M442" s="600">
        <v>44244.0</v>
      </c>
      <c r="N442" s="600">
        <v>44244.0</v>
      </c>
      <c r="O442" s="600">
        <v>44270.0</v>
      </c>
      <c r="P442" s="515" t="s">
        <v>3651</v>
      </c>
      <c r="Q442" s="594">
        <v>0.015</v>
      </c>
      <c r="R442" s="601" t="s">
        <v>4315</v>
      </c>
      <c r="S442" s="595"/>
      <c r="T442" s="515" t="str">
        <f t="shared" si="45"/>
        <v/>
      </c>
      <c r="U442" s="515" t="s">
        <v>89</v>
      </c>
      <c r="V442" s="555" t="s">
        <v>2950</v>
      </c>
      <c r="W442" s="555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2396</v>
      </c>
      <c r="BF442" s="443" t="s">
        <v>2396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3642</v>
      </c>
      <c r="B443" s="79" t="s">
        <v>4921</v>
      </c>
      <c r="C443" s="597" t="s">
        <v>4922</v>
      </c>
      <c r="D443" s="515">
        <v>4425136.0</v>
      </c>
      <c r="E443" s="515" t="s">
        <v>18</v>
      </c>
      <c r="F443" s="515" t="s">
        <v>29</v>
      </c>
      <c r="G443" s="515" t="s">
        <v>3650</v>
      </c>
      <c r="H443" s="515" t="str">
        <f>IFERROR(VLOOKUP(G443,'Cadastro de assessores'!A:B,2,FALSE),"Não Cadastrado")</f>
        <v>17679</v>
      </c>
      <c r="I443" s="515"/>
      <c r="J443" s="598" t="s">
        <v>2393</v>
      </c>
      <c r="K443" s="515" t="s">
        <v>2393</v>
      </c>
      <c r="L443" s="515" t="s">
        <v>3646</v>
      </c>
      <c r="M443" s="600">
        <v>44096.0</v>
      </c>
      <c r="N443" s="600">
        <v>44096.0</v>
      </c>
      <c r="O443" s="600">
        <v>44448.0</v>
      </c>
      <c r="P443" s="515" t="s">
        <v>3651</v>
      </c>
      <c r="Q443" s="594">
        <v>0.015</v>
      </c>
      <c r="R443" s="601" t="s">
        <v>4923</v>
      </c>
      <c r="S443" s="595"/>
      <c r="T443" s="515" t="str">
        <f t="shared" si="45"/>
        <v/>
      </c>
      <c r="U443" s="515" t="s">
        <v>89</v>
      </c>
      <c r="V443" s="515" t="s">
        <v>2395</v>
      </c>
      <c r="W443" s="515" t="s">
        <v>29</v>
      </c>
      <c r="X443" s="596" t="s">
        <v>3653</v>
      </c>
      <c r="Y443" s="596" t="s">
        <v>3653</v>
      </c>
      <c r="Z443" s="596" t="s">
        <v>3653</v>
      </c>
      <c r="AA443" s="596" t="s">
        <v>3653</v>
      </c>
      <c r="AB443" s="596" t="s">
        <v>3653</v>
      </c>
      <c r="AC443" s="596" t="s">
        <v>3653</v>
      </c>
      <c r="AD443" s="596" t="s">
        <v>3653</v>
      </c>
      <c r="AE443" s="596" t="s">
        <v>3653</v>
      </c>
      <c r="AF443" s="596" t="s">
        <v>3653</v>
      </c>
      <c r="AG443" s="596" t="s">
        <v>3653</v>
      </c>
      <c r="AH443" s="596" t="s">
        <v>3653</v>
      </c>
      <c r="AI443" s="596" t="s">
        <v>4924</v>
      </c>
      <c r="AJ443" s="596" t="s">
        <v>4925</v>
      </c>
      <c r="AK443" s="596" t="s">
        <v>4926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2396</v>
      </c>
      <c r="BF443" s="443" t="s">
        <v>2396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3642</v>
      </c>
      <c r="B444" s="79" t="s">
        <v>4927</v>
      </c>
      <c r="C444" s="597" t="s">
        <v>4928</v>
      </c>
      <c r="D444" s="515">
        <v>4655754.0</v>
      </c>
      <c r="E444" s="505" t="s">
        <v>86</v>
      </c>
      <c r="F444" s="505" t="s">
        <v>29</v>
      </c>
      <c r="G444" s="505" t="s">
        <v>4314</v>
      </c>
      <c r="H444" s="505" t="str">
        <f>IFERROR(VLOOKUP(G444,'Cadastro de assessores'!A:B,2,FALSE),"Não Cadastrado")</f>
        <v>14244</v>
      </c>
      <c r="I444" s="505"/>
      <c r="J444" s="505" t="s">
        <v>88</v>
      </c>
      <c r="K444" s="505" t="s">
        <v>88</v>
      </c>
      <c r="L444" s="515" t="s">
        <v>3659</v>
      </c>
      <c r="M444" s="593">
        <v>44173.0</v>
      </c>
      <c r="N444" s="593">
        <v>44180.0</v>
      </c>
      <c r="O444" s="515"/>
      <c r="P444" s="515" t="s">
        <v>3651</v>
      </c>
      <c r="Q444" s="594">
        <v>0.015</v>
      </c>
      <c r="R444" s="601"/>
      <c r="S444" s="595"/>
      <c r="T444" s="515" t="str">
        <f t="shared" si="45"/>
        <v/>
      </c>
      <c r="U444" s="515" t="s">
        <v>89</v>
      </c>
      <c r="V444" s="515" t="s">
        <v>2410</v>
      </c>
      <c r="W444" s="515" t="s">
        <v>29</v>
      </c>
      <c r="X444" s="596" t="s">
        <v>3653</v>
      </c>
      <c r="Y444" s="596" t="s">
        <v>3653</v>
      </c>
      <c r="Z444" s="596" t="s">
        <v>3653</v>
      </c>
      <c r="AA444" s="596" t="s">
        <v>3653</v>
      </c>
      <c r="AB444" s="596" t="s">
        <v>3653</v>
      </c>
      <c r="AC444" s="596" t="s">
        <v>3653</v>
      </c>
      <c r="AD444" s="596" t="s">
        <v>3653</v>
      </c>
      <c r="AE444" s="596" t="s">
        <v>3653</v>
      </c>
      <c r="AF444" s="596" t="s">
        <v>3653</v>
      </c>
      <c r="AG444" s="596" t="s">
        <v>3653</v>
      </c>
      <c r="AH444" s="596" t="s">
        <v>3653</v>
      </c>
      <c r="AI444" s="596" t="s">
        <v>3653</v>
      </c>
      <c r="AJ444" s="596" t="s">
        <v>3653</v>
      </c>
      <c r="AK444" s="596" t="s">
        <v>3653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3642</v>
      </c>
      <c r="B445" s="79" t="s">
        <v>4929</v>
      </c>
      <c r="C445" s="597" t="s">
        <v>4930</v>
      </c>
      <c r="D445" s="515">
        <v>7782720.0</v>
      </c>
      <c r="E445" s="505" t="s">
        <v>86</v>
      </c>
      <c r="F445" s="505" t="s">
        <v>29</v>
      </c>
      <c r="G445" s="505" t="s">
        <v>4110</v>
      </c>
      <c r="H445" s="505">
        <f>IFERROR(VLOOKUP(G445,'Cadastro de assessores'!A:B,2,FALSE),"Não Cadastrado")</f>
        <v>12330</v>
      </c>
      <c r="I445" s="505"/>
      <c r="J445" s="505" t="s">
        <v>88</v>
      </c>
      <c r="K445" s="505" t="s">
        <v>88</v>
      </c>
      <c r="L445" s="515" t="s">
        <v>3659</v>
      </c>
      <c r="M445" s="605">
        <v>44588.0</v>
      </c>
      <c r="N445" s="605">
        <v>44595.0</v>
      </c>
      <c r="O445" s="515"/>
      <c r="P445" s="515" t="s">
        <v>3657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89</v>
      </c>
      <c r="V445" s="515" t="s">
        <v>2486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3642</v>
      </c>
      <c r="B446" s="79" t="s">
        <v>1954</v>
      </c>
      <c r="C446" s="613" t="s">
        <v>4931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5">
        <v>12331.0</v>
      </c>
      <c r="I446" s="555"/>
      <c r="J446" s="515" t="s">
        <v>88</v>
      </c>
      <c r="K446" s="515" t="s">
        <v>88</v>
      </c>
      <c r="L446" s="515" t="s">
        <v>3659</v>
      </c>
      <c r="M446" s="605">
        <v>44715.0</v>
      </c>
      <c r="N446" s="605">
        <v>44715.0</v>
      </c>
      <c r="O446" s="600"/>
      <c r="P446" s="515" t="s">
        <v>3660</v>
      </c>
      <c r="Q446" s="594">
        <v>0.012</v>
      </c>
      <c r="R446" s="601" t="s">
        <v>3925</v>
      </c>
      <c r="S446" s="595"/>
      <c r="T446" s="515"/>
      <c r="U446" s="515" t="s">
        <v>89</v>
      </c>
      <c r="V446" s="515" t="s">
        <v>2482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2396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3642</v>
      </c>
      <c r="B447" s="79" t="s">
        <v>4932</v>
      </c>
      <c r="C447" s="597" t="s">
        <v>4933</v>
      </c>
      <c r="D447" s="515">
        <v>4493392.0</v>
      </c>
      <c r="E447" s="515" t="s">
        <v>18</v>
      </c>
      <c r="F447" s="515" t="s">
        <v>29</v>
      </c>
      <c r="G447" s="515" t="s">
        <v>3650</v>
      </c>
      <c r="H447" s="515" t="str">
        <f>IFERROR(VLOOKUP(G447,'Cadastro de assessores'!A:B,2,FALSE),"Não Cadastrado")</f>
        <v>17679</v>
      </c>
      <c r="I447" s="515"/>
      <c r="J447" s="598" t="s">
        <v>2393</v>
      </c>
      <c r="K447" s="515" t="s">
        <v>2393</v>
      </c>
      <c r="L447" s="515" t="s">
        <v>3646</v>
      </c>
      <c r="M447" s="599">
        <v>44147.0</v>
      </c>
      <c r="N447" s="599">
        <v>44147.0</v>
      </c>
      <c r="O447" s="600">
        <v>44445.0</v>
      </c>
      <c r="P447" s="515" t="s">
        <v>3660</v>
      </c>
      <c r="Q447" s="594">
        <v>0.012</v>
      </c>
      <c r="R447" s="601" t="s">
        <v>4934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89</v>
      </c>
      <c r="V447" s="515" t="s">
        <v>4067</v>
      </c>
      <c r="W447" s="515" t="s">
        <v>3497</v>
      </c>
      <c r="X447" s="596" t="s">
        <v>3653</v>
      </c>
      <c r="Y447" s="596" t="s">
        <v>3653</v>
      </c>
      <c r="Z447" s="596" t="s">
        <v>3653</v>
      </c>
      <c r="AA447" s="596" t="s">
        <v>3653</v>
      </c>
      <c r="AB447" s="596" t="s">
        <v>3653</v>
      </c>
      <c r="AC447" s="596" t="s">
        <v>3653</v>
      </c>
      <c r="AD447" s="596" t="s">
        <v>3653</v>
      </c>
      <c r="AE447" s="596" t="s">
        <v>3653</v>
      </c>
      <c r="AF447" s="596" t="s">
        <v>3653</v>
      </c>
      <c r="AG447" s="596" t="s">
        <v>3653</v>
      </c>
      <c r="AH447" s="596" t="s">
        <v>3653</v>
      </c>
      <c r="AI447" s="596" t="s">
        <v>3653</v>
      </c>
      <c r="AJ447" s="596" t="s">
        <v>3653</v>
      </c>
      <c r="AK447" s="596" t="s">
        <v>4935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2396</v>
      </c>
      <c r="BF447" s="443" t="s">
        <v>2396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3642</v>
      </c>
      <c r="B448" s="79" t="s">
        <v>4936</v>
      </c>
      <c r="C448" s="597" t="s">
        <v>4937</v>
      </c>
      <c r="D448" s="515">
        <v>4757223.0</v>
      </c>
      <c r="E448" s="505" t="s">
        <v>18</v>
      </c>
      <c r="F448" s="591" t="s">
        <v>19</v>
      </c>
      <c r="G448" s="505" t="s">
        <v>230</v>
      </c>
      <c r="H448" s="505" t="str">
        <f>IFERROR(VLOOKUP(G448,'Cadastro de assessores'!A:B,2,FALSE),"Não Cadastrado")</f>
        <v>18009</v>
      </c>
      <c r="I448" s="505"/>
      <c r="J448" s="505" t="s">
        <v>88</v>
      </c>
      <c r="K448" s="505" t="s">
        <v>88</v>
      </c>
      <c r="L448" s="515" t="s">
        <v>3659</v>
      </c>
      <c r="M448" s="592">
        <v>44210.0</v>
      </c>
      <c r="N448" s="592">
        <v>44210.0</v>
      </c>
      <c r="O448" s="515"/>
      <c r="P448" s="515" t="s">
        <v>3651</v>
      </c>
      <c r="Q448" s="594">
        <v>0.015</v>
      </c>
      <c r="R448" s="601"/>
      <c r="S448" s="595"/>
      <c r="T448" s="515" t="str">
        <f t="shared" si="46"/>
        <v/>
      </c>
      <c r="U448" s="515" t="s">
        <v>89</v>
      </c>
      <c r="V448" s="515" t="s">
        <v>2494</v>
      </c>
      <c r="W448" s="515" t="s">
        <v>715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3642</v>
      </c>
      <c r="B449" s="79" t="s">
        <v>4938</v>
      </c>
      <c r="C449" s="597" t="s">
        <v>4939</v>
      </c>
      <c r="D449" s="515">
        <v>4491063.0</v>
      </c>
      <c r="E449" s="515" t="s">
        <v>18</v>
      </c>
      <c r="F449" s="515" t="s">
        <v>29</v>
      </c>
      <c r="G449" s="515" t="s">
        <v>3650</v>
      </c>
      <c r="H449" s="515" t="str">
        <f>IFERROR(VLOOKUP(G449,'Cadastro de assessores'!A:B,2,FALSE),"Não Cadastrado")</f>
        <v>17679</v>
      </c>
      <c r="I449" s="515"/>
      <c r="J449" s="598" t="s">
        <v>2393</v>
      </c>
      <c r="K449" s="515" t="s">
        <v>2393</v>
      </c>
      <c r="L449" s="515" t="s">
        <v>3646</v>
      </c>
      <c r="M449" s="599">
        <v>44120.0</v>
      </c>
      <c r="N449" s="599">
        <v>44120.0</v>
      </c>
      <c r="O449" s="600">
        <v>44452.0</v>
      </c>
      <c r="P449" s="515" t="s">
        <v>3651</v>
      </c>
      <c r="Q449" s="594">
        <v>0.015</v>
      </c>
      <c r="R449" s="601" t="s">
        <v>4940</v>
      </c>
      <c r="S449" s="595"/>
      <c r="T449" s="515" t="str">
        <f t="shared" si="46"/>
        <v>Não Qualificado</v>
      </c>
      <c r="U449" s="515" t="s">
        <v>89</v>
      </c>
      <c r="V449" s="515" t="s">
        <v>2410</v>
      </c>
      <c r="W449" s="515" t="s">
        <v>29</v>
      </c>
      <c r="X449" s="596" t="s">
        <v>3653</v>
      </c>
      <c r="Y449" s="596" t="s">
        <v>3653</v>
      </c>
      <c r="Z449" s="596" t="s">
        <v>3653</v>
      </c>
      <c r="AA449" s="596" t="s">
        <v>3653</v>
      </c>
      <c r="AB449" s="596" t="s">
        <v>3653</v>
      </c>
      <c r="AC449" s="596" t="s">
        <v>3653</v>
      </c>
      <c r="AD449" s="596" t="s">
        <v>3653</v>
      </c>
      <c r="AE449" s="596" t="s">
        <v>3653</v>
      </c>
      <c r="AF449" s="596" t="s">
        <v>3653</v>
      </c>
      <c r="AG449" s="596" t="s">
        <v>3653</v>
      </c>
      <c r="AH449" s="596" t="s">
        <v>3653</v>
      </c>
      <c r="AI449" s="596" t="s">
        <v>3653</v>
      </c>
      <c r="AJ449" s="596" t="s">
        <v>4941</v>
      </c>
      <c r="AK449" s="596" t="s">
        <v>4942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2396</v>
      </c>
      <c r="BF449" s="443" t="s">
        <v>2396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3642</v>
      </c>
      <c r="B450" s="79" t="s">
        <v>4943</v>
      </c>
      <c r="C450" s="564" t="s">
        <v>4944</v>
      </c>
      <c r="D450" s="555">
        <v>4740849.0</v>
      </c>
      <c r="E450" s="515" t="s">
        <v>86</v>
      </c>
      <c r="F450" s="515" t="s">
        <v>29</v>
      </c>
      <c r="G450" s="515" t="s">
        <v>3972</v>
      </c>
      <c r="H450" s="515" t="str">
        <f>IFERROR(VLOOKUP(G450,'Cadastro de assessores'!A:B,2,FALSE),"Não Cadastrado")</f>
        <v>17489</v>
      </c>
      <c r="I450" s="515"/>
      <c r="J450" s="598" t="s">
        <v>2393</v>
      </c>
      <c r="K450" s="515" t="s">
        <v>2393</v>
      </c>
      <c r="L450" s="515" t="s">
        <v>3646</v>
      </c>
      <c r="M450" s="600">
        <v>44320.0</v>
      </c>
      <c r="N450" s="600">
        <v>44320.0</v>
      </c>
      <c r="O450" s="600">
        <v>44684.0</v>
      </c>
      <c r="P450" s="515" t="s">
        <v>3647</v>
      </c>
      <c r="Q450" s="594">
        <v>0.02</v>
      </c>
      <c r="R450" s="210" t="s">
        <v>4945</v>
      </c>
      <c r="S450" s="595"/>
      <c r="T450" s="515" t="str">
        <f t="shared" si="46"/>
        <v/>
      </c>
      <c r="U450" s="515" t="s">
        <v>89</v>
      </c>
      <c r="V450" s="555" t="s">
        <v>2421</v>
      </c>
      <c r="W450" s="555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2396</v>
      </c>
      <c r="BF450" s="443" t="s">
        <v>2396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3642</v>
      </c>
      <c r="B451" s="79" t="s">
        <v>4946</v>
      </c>
      <c r="C451" s="597" t="s">
        <v>4947</v>
      </c>
      <c r="D451" s="515">
        <v>4441540.0</v>
      </c>
      <c r="E451" s="515" t="s">
        <v>18</v>
      </c>
      <c r="F451" s="515" t="s">
        <v>29</v>
      </c>
      <c r="G451" s="515" t="s">
        <v>3650</v>
      </c>
      <c r="H451" s="515" t="str">
        <f>IFERROR(VLOOKUP(G451,'Cadastro de assessores'!A:B,2,FALSE),"Não Cadastrado")</f>
        <v>17679</v>
      </c>
      <c r="I451" s="515"/>
      <c r="J451" s="598" t="s">
        <v>2393</v>
      </c>
      <c r="K451" s="515" t="s">
        <v>2393</v>
      </c>
      <c r="L451" s="515" t="s">
        <v>3646</v>
      </c>
      <c r="M451" s="599">
        <v>44133.0</v>
      </c>
      <c r="N451" s="599">
        <v>44133.0</v>
      </c>
      <c r="O451" s="600">
        <v>44438.0</v>
      </c>
      <c r="P451" s="515" t="s">
        <v>3660</v>
      </c>
      <c r="Q451" s="594">
        <v>0.012</v>
      </c>
      <c r="R451" s="601" t="s">
        <v>4948</v>
      </c>
      <c r="S451" s="595"/>
      <c r="T451" s="515" t="str">
        <f t="shared" si="46"/>
        <v>Não Qualificado</v>
      </c>
      <c r="U451" s="515" t="s">
        <v>89</v>
      </c>
      <c r="V451" s="515" t="s">
        <v>2449</v>
      </c>
      <c r="W451" s="515" t="s">
        <v>121</v>
      </c>
      <c r="X451" s="596" t="s">
        <v>3653</v>
      </c>
      <c r="Y451" s="596" t="s">
        <v>3653</v>
      </c>
      <c r="Z451" s="596" t="s">
        <v>3653</v>
      </c>
      <c r="AA451" s="596" t="s">
        <v>3653</v>
      </c>
      <c r="AB451" s="596" t="s">
        <v>3653</v>
      </c>
      <c r="AC451" s="596" t="s">
        <v>3653</v>
      </c>
      <c r="AD451" s="596" t="s">
        <v>3653</v>
      </c>
      <c r="AE451" s="596" t="s">
        <v>3653</v>
      </c>
      <c r="AF451" s="596" t="s">
        <v>3653</v>
      </c>
      <c r="AG451" s="596" t="s">
        <v>3653</v>
      </c>
      <c r="AH451" s="596" t="s">
        <v>3653</v>
      </c>
      <c r="AI451" s="596" t="s">
        <v>3653</v>
      </c>
      <c r="AJ451" s="596" t="s">
        <v>4949</v>
      </c>
      <c r="AK451" s="596" t="s">
        <v>4950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2396</v>
      </c>
      <c r="BF451" s="443" t="s">
        <v>2396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3642</v>
      </c>
      <c r="B452" s="79" t="s">
        <v>4951</v>
      </c>
      <c r="C452" s="597" t="s">
        <v>4952</v>
      </c>
      <c r="D452" s="515">
        <v>3615656.0</v>
      </c>
      <c r="E452" s="515" t="s">
        <v>2379</v>
      </c>
      <c r="F452" s="515" t="s">
        <v>29</v>
      </c>
      <c r="G452" s="515" t="s">
        <v>2379</v>
      </c>
      <c r="H452" s="515" t="str">
        <f>IFERROR(VLOOKUP(G452,'Cadastro de assessores'!A:B,2,FALSE),"Não Cadastrado")</f>
        <v>18986</v>
      </c>
      <c r="I452" s="515"/>
      <c r="J452" s="598" t="s">
        <v>2393</v>
      </c>
      <c r="K452" s="515" t="s">
        <v>2393</v>
      </c>
      <c r="L452" s="515" t="s">
        <v>3646</v>
      </c>
      <c r="M452" s="600">
        <v>43859.0</v>
      </c>
      <c r="N452" s="600">
        <v>43859.0</v>
      </c>
      <c r="O452" s="600">
        <v>44305.0</v>
      </c>
      <c r="P452" s="515" t="s">
        <v>3651</v>
      </c>
      <c r="Q452" s="594">
        <v>0.015</v>
      </c>
      <c r="R452" s="601" t="s">
        <v>4890</v>
      </c>
      <c r="S452" s="595"/>
      <c r="T452" s="515" t="str">
        <f t="shared" si="46"/>
        <v>Não Qualificado</v>
      </c>
      <c r="U452" s="515" t="s">
        <v>89</v>
      </c>
      <c r="V452" s="515" t="s">
        <v>2595</v>
      </c>
      <c r="W452" s="515" t="s">
        <v>29</v>
      </c>
      <c r="X452" s="596" t="s">
        <v>3653</v>
      </c>
      <c r="Y452" s="596" t="s">
        <v>3653</v>
      </c>
      <c r="Z452" s="596" t="s">
        <v>3653</v>
      </c>
      <c r="AA452" s="596" t="s">
        <v>4953</v>
      </c>
      <c r="AB452" s="596" t="s">
        <v>4954</v>
      </c>
      <c r="AC452" s="596" t="s">
        <v>4955</v>
      </c>
      <c r="AD452" s="596" t="s">
        <v>4956</v>
      </c>
      <c r="AE452" s="596" t="s">
        <v>4957</v>
      </c>
      <c r="AF452" s="596" t="s">
        <v>4958</v>
      </c>
      <c r="AG452" s="596" t="s">
        <v>4959</v>
      </c>
      <c r="AH452" s="596" t="s">
        <v>4960</v>
      </c>
      <c r="AI452" s="596" t="s">
        <v>4961</v>
      </c>
      <c r="AJ452" s="596" t="s">
        <v>4962</v>
      </c>
      <c r="AK452" s="596" t="s">
        <v>4963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2396</v>
      </c>
      <c r="BF452" s="443" t="s">
        <v>2396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3642</v>
      </c>
      <c r="B453" s="79" t="s">
        <v>4964</v>
      </c>
      <c r="C453" s="564" t="s">
        <v>4965</v>
      </c>
      <c r="D453" s="504">
        <v>5892424.0</v>
      </c>
      <c r="E453" s="515" t="s">
        <v>18</v>
      </c>
      <c r="F453" s="504" t="s">
        <v>19</v>
      </c>
      <c r="G453" s="515" t="s">
        <v>3978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2393</v>
      </c>
      <c r="K453" s="515" t="s">
        <v>2393</v>
      </c>
      <c r="L453" s="505" t="s">
        <v>3646</v>
      </c>
      <c r="M453" s="600">
        <v>44421.0</v>
      </c>
      <c r="N453" s="600">
        <v>44421.0</v>
      </c>
      <c r="O453" s="554">
        <v>44817.0</v>
      </c>
      <c r="P453" s="555" t="s">
        <v>3657</v>
      </c>
      <c r="Q453" s="594">
        <v>0.007</v>
      </c>
      <c r="R453" s="210" t="s">
        <v>4966</v>
      </c>
      <c r="S453" s="595"/>
      <c r="T453" s="515" t="str">
        <f t="shared" si="46"/>
        <v>Não Qualificado</v>
      </c>
      <c r="U453" s="515" t="s">
        <v>89</v>
      </c>
      <c r="V453" s="555" t="s">
        <v>4967</v>
      </c>
      <c r="W453" s="555" t="s">
        <v>180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3642</v>
      </c>
      <c r="B454" s="79" t="s">
        <v>1994</v>
      </c>
      <c r="C454" s="597" t="s">
        <v>4968</v>
      </c>
      <c r="D454" s="515">
        <v>2365107.0</v>
      </c>
      <c r="E454" s="515" t="s">
        <v>18</v>
      </c>
      <c r="F454" s="515" t="s">
        <v>19</v>
      </c>
      <c r="G454" s="515" t="s">
        <v>1672</v>
      </c>
      <c r="H454" s="515">
        <f>IFERROR(VLOOKUP(G454,'Cadastro de assessores'!A:B,2,FALSE),"Não Cadastrado")</f>
        <v>12350</v>
      </c>
      <c r="I454" s="515"/>
      <c r="J454" s="515" t="s">
        <v>88</v>
      </c>
      <c r="K454" s="515" t="s">
        <v>116</v>
      </c>
      <c r="L454" s="515" t="s">
        <v>3659</v>
      </c>
      <c r="M454" s="600">
        <v>44817.0</v>
      </c>
      <c r="N454" s="600">
        <v>44824.0</v>
      </c>
      <c r="O454" s="554"/>
      <c r="P454" s="555" t="s">
        <v>3651</v>
      </c>
      <c r="Q454" s="594">
        <v>0.015</v>
      </c>
      <c r="R454" s="601" t="s">
        <v>4969</v>
      </c>
      <c r="S454" s="595"/>
      <c r="T454" s="515"/>
      <c r="U454" s="515"/>
      <c r="V454" s="515"/>
      <c r="W454" s="515" t="s">
        <v>180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3642</v>
      </c>
      <c r="B455" s="79" t="s">
        <v>4970</v>
      </c>
      <c r="C455" s="597" t="s">
        <v>4971</v>
      </c>
      <c r="D455" s="515">
        <v>4362832.0</v>
      </c>
      <c r="E455" s="515" t="s">
        <v>86</v>
      </c>
      <c r="F455" s="515" t="s">
        <v>29</v>
      </c>
      <c r="G455" s="515" t="s">
        <v>3818</v>
      </c>
      <c r="H455" s="515" t="str">
        <f>IFERROR(VLOOKUP(G455,'Cadastro de assessores'!A:B,2,FALSE),"Não Cadastrado")</f>
        <v>16459</v>
      </c>
      <c r="I455" s="515"/>
      <c r="J455" s="598" t="s">
        <v>2393</v>
      </c>
      <c r="K455" s="515" t="s">
        <v>2393</v>
      </c>
      <c r="L455" s="515" t="s">
        <v>3646</v>
      </c>
      <c r="M455" s="600">
        <v>44078.0</v>
      </c>
      <c r="N455" s="600">
        <v>44078.0</v>
      </c>
      <c r="O455" s="554">
        <v>44424.0</v>
      </c>
      <c r="P455" s="555" t="s">
        <v>3647</v>
      </c>
      <c r="Q455" s="594">
        <v>0.02</v>
      </c>
      <c r="R455" s="601" t="s">
        <v>4972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89</v>
      </c>
      <c r="V455" s="515" t="s">
        <v>2432</v>
      </c>
      <c r="W455" s="515" t="s">
        <v>29</v>
      </c>
      <c r="X455" s="596" t="s">
        <v>3653</v>
      </c>
      <c r="Y455" s="596" t="s">
        <v>3653</v>
      </c>
      <c r="Z455" s="596" t="s">
        <v>3653</v>
      </c>
      <c r="AA455" s="596" t="s">
        <v>3653</v>
      </c>
      <c r="AB455" s="596" t="s">
        <v>3653</v>
      </c>
      <c r="AC455" s="596" t="s">
        <v>3653</v>
      </c>
      <c r="AD455" s="596" t="s">
        <v>3653</v>
      </c>
      <c r="AE455" s="596" t="s">
        <v>3653</v>
      </c>
      <c r="AF455" s="596" t="s">
        <v>3653</v>
      </c>
      <c r="AG455" s="596" t="s">
        <v>3653</v>
      </c>
      <c r="AH455" s="596" t="s">
        <v>4973</v>
      </c>
      <c r="AI455" s="596" t="s">
        <v>4974</v>
      </c>
      <c r="AJ455" s="596" t="s">
        <v>4975</v>
      </c>
      <c r="AK455" s="596" t="s">
        <v>4976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2396</v>
      </c>
      <c r="BF455" s="443" t="s">
        <v>2396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3642</v>
      </c>
      <c r="B456" s="79" t="s">
        <v>2000</v>
      </c>
      <c r="C456" s="564" t="s">
        <v>1998</v>
      </c>
      <c r="D456" s="555">
        <v>2293219.0</v>
      </c>
      <c r="E456" s="505" t="s">
        <v>18</v>
      </c>
      <c r="F456" s="505" t="s">
        <v>29</v>
      </c>
      <c r="G456" s="505" t="s">
        <v>2633</v>
      </c>
      <c r="H456" s="505" t="str">
        <f>IFERROR(VLOOKUP(G456,'Cadastro de assessores'!A:B,2,FALSE),"Não Cadastrado")</f>
        <v>18236</v>
      </c>
      <c r="I456" s="505"/>
      <c r="J456" s="505" t="s">
        <v>88</v>
      </c>
      <c r="K456" s="505" t="s">
        <v>88</v>
      </c>
      <c r="L456" s="515" t="s">
        <v>3659</v>
      </c>
      <c r="M456" s="592">
        <v>44210.0</v>
      </c>
      <c r="N456" s="592">
        <v>44293.0</v>
      </c>
      <c r="O456" s="555"/>
      <c r="P456" s="555" t="s">
        <v>3647</v>
      </c>
      <c r="Q456" s="594">
        <v>0.02</v>
      </c>
      <c r="R456" s="210" t="s">
        <v>4977</v>
      </c>
      <c r="S456" s="595"/>
      <c r="T456" s="515" t="str">
        <f t="shared" si="47"/>
        <v/>
      </c>
      <c r="U456" s="515" t="s">
        <v>89</v>
      </c>
      <c r="V456" s="555" t="s">
        <v>4978</v>
      </c>
      <c r="W456" s="555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3642</v>
      </c>
      <c r="B457" s="79" t="s">
        <v>4979</v>
      </c>
      <c r="C457" s="597" t="s">
        <v>4980</v>
      </c>
      <c r="D457" s="515">
        <v>2523005.0</v>
      </c>
      <c r="E457" s="505" t="s">
        <v>18</v>
      </c>
      <c r="F457" s="504" t="s">
        <v>19</v>
      </c>
      <c r="G457" s="504" t="s">
        <v>1672</v>
      </c>
      <c r="H457" s="505">
        <f>IFERROR(VLOOKUP(G457,'Cadastro de assessores'!A:B,2,FALSE),"Não Cadastrado")</f>
        <v>12350</v>
      </c>
      <c r="I457" s="515"/>
      <c r="J457" s="505" t="s">
        <v>88</v>
      </c>
      <c r="K457" s="515"/>
      <c r="L457" s="515" t="s">
        <v>3001</v>
      </c>
      <c r="M457" s="600"/>
      <c r="N457" s="600">
        <v>44834.0</v>
      </c>
      <c r="O457" s="599"/>
      <c r="P457" s="515" t="s">
        <v>3657</v>
      </c>
      <c r="Q457" s="594">
        <v>0.01</v>
      </c>
      <c r="R457" s="601" t="s">
        <v>4981</v>
      </c>
      <c r="S457" s="595"/>
      <c r="T457" s="515"/>
      <c r="U457" s="515"/>
      <c r="V457" s="515"/>
      <c r="W457" s="515" t="s">
        <v>180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3642</v>
      </c>
      <c r="B458" s="79" t="s">
        <v>4982</v>
      </c>
      <c r="C458" s="597" t="s">
        <v>4983</v>
      </c>
      <c r="D458" s="515">
        <v>4860067.0</v>
      </c>
      <c r="E458" s="515" t="s">
        <v>18</v>
      </c>
      <c r="F458" s="504" t="s">
        <v>19</v>
      </c>
      <c r="G458" s="504" t="s">
        <v>230</v>
      </c>
      <c r="H458" s="515" t="str">
        <f>IFERROR(VLOOKUP(G458,'Cadastro de assessores'!A:B,2,FALSE),"Não Cadastrado")</f>
        <v>18009</v>
      </c>
      <c r="I458" s="515"/>
      <c r="J458" s="598" t="s">
        <v>2393</v>
      </c>
      <c r="K458" s="515" t="s">
        <v>2393</v>
      </c>
      <c r="L458" s="515" t="s">
        <v>3646</v>
      </c>
      <c r="M458" s="600">
        <v>44259.0</v>
      </c>
      <c r="N458" s="600">
        <v>44259.0</v>
      </c>
      <c r="O458" s="599">
        <v>44516.0</v>
      </c>
      <c r="P458" s="515" t="s">
        <v>3664</v>
      </c>
      <c r="Q458" s="594">
        <v>0.025</v>
      </c>
      <c r="R458" s="601" t="s">
        <v>4984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89</v>
      </c>
      <c r="V458" s="515" t="s">
        <v>2449</v>
      </c>
      <c r="W458" s="515" t="s">
        <v>121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2430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2396</v>
      </c>
      <c r="BF458" s="443" t="s">
        <v>2396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3642</v>
      </c>
      <c r="B459" s="79" t="s">
        <v>4985</v>
      </c>
      <c r="C459" s="597" t="s">
        <v>4986</v>
      </c>
      <c r="D459" s="515">
        <v>4582050.0</v>
      </c>
      <c r="E459" s="505" t="s">
        <v>18</v>
      </c>
      <c r="F459" s="505" t="s">
        <v>29</v>
      </c>
      <c r="G459" s="505" t="s">
        <v>3650</v>
      </c>
      <c r="H459" s="505" t="str">
        <f>IFERROR(VLOOKUP(G459,'Cadastro de assessores'!A:B,2,FALSE),"Não Cadastrado")</f>
        <v>17679</v>
      </c>
      <c r="I459" s="505"/>
      <c r="J459" s="614" t="s">
        <v>4024</v>
      </c>
      <c r="K459" s="624" t="s">
        <v>116</v>
      </c>
      <c r="L459" s="624" t="s">
        <v>4987</v>
      </c>
      <c r="M459" s="515" t="s">
        <v>2430</v>
      </c>
      <c r="N459" s="614" t="s">
        <v>4024</v>
      </c>
      <c r="O459" s="515"/>
      <c r="P459" s="515" t="s">
        <v>3651</v>
      </c>
      <c r="Q459" s="594">
        <v>0.015</v>
      </c>
      <c r="R459" s="601"/>
      <c r="S459" s="595"/>
      <c r="T459" s="515" t="str">
        <f t="shared" si="48"/>
        <v/>
      </c>
      <c r="U459" s="515" t="s">
        <v>89</v>
      </c>
      <c r="V459" s="515" t="s">
        <v>4067</v>
      </c>
      <c r="W459" s="515" t="s">
        <v>3497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2430</v>
      </c>
      <c r="AO459" s="443" t="s">
        <v>2430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2396</v>
      </c>
      <c r="BF459" s="443" t="s">
        <v>2396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3642</v>
      </c>
      <c r="B460" s="79" t="s">
        <v>4988</v>
      </c>
      <c r="C460" s="564" t="s">
        <v>4989</v>
      </c>
      <c r="D460" s="555">
        <v>5080319.0</v>
      </c>
      <c r="E460" s="505" t="s">
        <v>18</v>
      </c>
      <c r="F460" s="591" t="s">
        <v>19</v>
      </c>
      <c r="G460" s="505" t="s">
        <v>230</v>
      </c>
      <c r="H460" s="591" t="str">
        <f>IFERROR(VLOOKUP(G460,'Cadastro de assessores'!A:B,2,FALSE),"Não Cadastrado")</f>
        <v>18009</v>
      </c>
      <c r="I460" s="591"/>
      <c r="J460" s="624" t="s">
        <v>3645</v>
      </c>
      <c r="K460" s="624" t="s">
        <v>88</v>
      </c>
      <c r="L460" s="624" t="s">
        <v>3646</v>
      </c>
      <c r="M460" s="592">
        <v>44298.0</v>
      </c>
      <c r="N460" s="592">
        <v>44298.0</v>
      </c>
      <c r="O460" s="515"/>
      <c r="P460" s="515" t="s">
        <v>3651</v>
      </c>
      <c r="Q460" s="594">
        <v>0.015</v>
      </c>
      <c r="R460" s="210" t="s">
        <v>4340</v>
      </c>
      <c r="S460" s="595"/>
      <c r="T460" s="515" t="str">
        <f t="shared" si="48"/>
        <v/>
      </c>
      <c r="U460" s="515" t="s">
        <v>89</v>
      </c>
      <c r="V460" s="515" t="s">
        <v>2449</v>
      </c>
      <c r="W460" s="515" t="s">
        <v>121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3642</v>
      </c>
      <c r="B461" s="79" t="s">
        <v>2029</v>
      </c>
      <c r="C461" s="626" t="s">
        <v>2027</v>
      </c>
      <c r="D461" s="608">
        <v>7336791.0</v>
      </c>
      <c r="E461" s="505" t="s">
        <v>18</v>
      </c>
      <c r="F461" s="591" t="s">
        <v>19</v>
      </c>
      <c r="G461" s="608" t="s">
        <v>52</v>
      </c>
      <c r="H461" s="591" t="str">
        <f>IFERROR(VLOOKUP(G461,'Cadastro de assessores'!A:B,2,FALSE),"Não Cadastrado")</f>
        <v>17831</v>
      </c>
      <c r="I461" s="591"/>
      <c r="J461" s="505" t="s">
        <v>88</v>
      </c>
      <c r="K461" s="515" t="s">
        <v>88</v>
      </c>
      <c r="L461" s="515" t="s">
        <v>3659</v>
      </c>
      <c r="M461" s="593">
        <v>44543.0</v>
      </c>
      <c r="N461" s="593">
        <v>44544.0</v>
      </c>
      <c r="O461" s="608"/>
      <c r="P461" s="608" t="s">
        <v>3660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89</v>
      </c>
      <c r="V461" s="555" t="s">
        <v>2671</v>
      </c>
      <c r="W461" s="555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3642</v>
      </c>
      <c r="B462" s="79" t="s">
        <v>4990</v>
      </c>
      <c r="C462" s="597" t="s">
        <v>4991</v>
      </c>
      <c r="D462" s="515">
        <v>4486837.0</v>
      </c>
      <c r="E462" s="515" t="s">
        <v>18</v>
      </c>
      <c r="F462" s="515" t="s">
        <v>29</v>
      </c>
      <c r="G462" s="515" t="s">
        <v>3650</v>
      </c>
      <c r="H462" s="515" t="str">
        <f>IFERROR(VLOOKUP(G462,'Cadastro de assessores'!A:B,2,FALSE),"Não Cadastrado")</f>
        <v>17679</v>
      </c>
      <c r="I462" s="515"/>
      <c r="J462" s="598" t="s">
        <v>2393</v>
      </c>
      <c r="K462" s="515" t="s">
        <v>2393</v>
      </c>
      <c r="L462" s="515" t="s">
        <v>3646</v>
      </c>
      <c r="M462" s="599">
        <v>44148.0</v>
      </c>
      <c r="N462" s="599">
        <v>44148.0</v>
      </c>
      <c r="O462" s="600">
        <v>44425.0</v>
      </c>
      <c r="P462" s="515" t="s">
        <v>3651</v>
      </c>
      <c r="Q462" s="594">
        <v>0.015</v>
      </c>
      <c r="R462" s="601" t="s">
        <v>4992</v>
      </c>
      <c r="S462" s="595"/>
      <c r="T462" s="515" t="str">
        <f t="shared" si="48"/>
        <v>Não Qualificado</v>
      </c>
      <c r="U462" s="515" t="s">
        <v>89</v>
      </c>
      <c r="V462" s="515" t="s">
        <v>2505</v>
      </c>
      <c r="W462" s="515" t="s">
        <v>29</v>
      </c>
      <c r="X462" s="596" t="s">
        <v>3653</v>
      </c>
      <c r="Y462" s="596" t="s">
        <v>3653</v>
      </c>
      <c r="Z462" s="596" t="s">
        <v>3653</v>
      </c>
      <c r="AA462" s="596" t="s">
        <v>3653</v>
      </c>
      <c r="AB462" s="596" t="s">
        <v>3653</v>
      </c>
      <c r="AC462" s="596" t="s">
        <v>3653</v>
      </c>
      <c r="AD462" s="596" t="s">
        <v>3653</v>
      </c>
      <c r="AE462" s="596" t="s">
        <v>3653</v>
      </c>
      <c r="AF462" s="596" t="s">
        <v>3653</v>
      </c>
      <c r="AG462" s="596" t="s">
        <v>3653</v>
      </c>
      <c r="AH462" s="596" t="s">
        <v>3653</v>
      </c>
      <c r="AI462" s="596" t="s">
        <v>3653</v>
      </c>
      <c r="AJ462" s="596" t="s">
        <v>3653</v>
      </c>
      <c r="AK462" s="596" t="s">
        <v>4993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2396</v>
      </c>
      <c r="BF462" s="443" t="s">
        <v>2396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3642</v>
      </c>
      <c r="B463" s="79" t="s">
        <v>2040</v>
      </c>
      <c r="C463" s="564" t="s">
        <v>4994</v>
      </c>
      <c r="D463" s="555">
        <v>7518857.0</v>
      </c>
      <c r="E463" s="505" t="s">
        <v>18</v>
      </c>
      <c r="F463" s="591" t="s">
        <v>29</v>
      </c>
      <c r="G463" s="591" t="s">
        <v>58</v>
      </c>
      <c r="H463" s="515">
        <f>IFERROR(VLOOKUP(G463,'Cadastro de assessores'!A:B,2,FALSE),"Não Cadastrado")</f>
        <v>12359</v>
      </c>
      <c r="I463" s="515"/>
      <c r="J463" s="505" t="s">
        <v>88</v>
      </c>
      <c r="K463" s="515" t="s">
        <v>88</v>
      </c>
      <c r="L463" s="515" t="s">
        <v>3659</v>
      </c>
      <c r="M463" s="592">
        <v>44791.0</v>
      </c>
      <c r="N463" s="592">
        <v>44792.0</v>
      </c>
      <c r="O463" s="555"/>
      <c r="P463" s="555" t="s">
        <v>3660</v>
      </c>
      <c r="Q463" s="594">
        <v>0.012</v>
      </c>
      <c r="R463" s="634" t="s">
        <v>4238</v>
      </c>
      <c r="S463" s="595"/>
      <c r="T463" s="515"/>
      <c r="U463" s="515"/>
      <c r="V463" s="555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3642</v>
      </c>
      <c r="B464" s="79" t="s">
        <v>2053</v>
      </c>
      <c r="C464" s="564" t="s">
        <v>2050</v>
      </c>
      <c r="D464" s="555">
        <v>5648950.0</v>
      </c>
      <c r="E464" s="505" t="s">
        <v>18</v>
      </c>
      <c r="F464" s="591" t="s">
        <v>29</v>
      </c>
      <c r="G464" s="591" t="s">
        <v>2052</v>
      </c>
      <c r="H464" s="591" t="str">
        <f>IFERROR(VLOOKUP(G464,'Cadastro de assessores'!A:B,2,FALSE),"Não Cadastrado")</f>
        <v>18256</v>
      </c>
      <c r="I464" s="591"/>
      <c r="J464" s="505" t="s">
        <v>88</v>
      </c>
      <c r="K464" s="515" t="s">
        <v>88</v>
      </c>
      <c r="L464" s="515" t="s">
        <v>3659</v>
      </c>
      <c r="M464" s="592">
        <v>44365.0</v>
      </c>
      <c r="N464" s="592">
        <v>44365.0</v>
      </c>
      <c r="O464" s="555"/>
      <c r="P464" s="555" t="s">
        <v>3647</v>
      </c>
      <c r="Q464" s="594">
        <v>0.019</v>
      </c>
      <c r="R464" s="210" t="s">
        <v>3727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89</v>
      </c>
      <c r="V464" s="555" t="s">
        <v>2421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3642</v>
      </c>
      <c r="B465" s="79" t="s">
        <v>4995</v>
      </c>
      <c r="C465" s="564" t="s">
        <v>4996</v>
      </c>
      <c r="D465" s="555">
        <v>6320705.0</v>
      </c>
      <c r="E465" s="505" t="s">
        <v>86</v>
      </c>
      <c r="F465" s="591" t="s">
        <v>29</v>
      </c>
      <c r="G465" s="591" t="s">
        <v>3697</v>
      </c>
      <c r="H465" s="591" t="str">
        <f>IFERROR(VLOOKUP(G465,'Cadastro de assessores'!A:B,2,FALSE),"Não Cadastrado")</f>
        <v>12624</v>
      </c>
      <c r="I465" s="591"/>
      <c r="J465" s="505" t="s">
        <v>88</v>
      </c>
      <c r="K465" s="515" t="s">
        <v>88</v>
      </c>
      <c r="L465" s="515" t="s">
        <v>3659</v>
      </c>
      <c r="M465" s="592">
        <v>44421.0</v>
      </c>
      <c r="N465" s="592">
        <v>44421.0</v>
      </c>
      <c r="O465" s="555"/>
      <c r="P465" s="555" t="s">
        <v>3664</v>
      </c>
      <c r="Q465" s="594">
        <v>0.025</v>
      </c>
      <c r="R465" s="210"/>
      <c r="S465" s="595"/>
      <c r="T465" s="515" t="str">
        <f t="shared" si="49"/>
        <v/>
      </c>
      <c r="U465" s="515" t="s">
        <v>89</v>
      </c>
      <c r="V465" s="515" t="s">
        <v>2410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3642</v>
      </c>
      <c r="B466" s="79" t="s">
        <v>2059</v>
      </c>
      <c r="C466" s="564" t="s">
        <v>4997</v>
      </c>
      <c r="D466" s="549">
        <v>7263623.0</v>
      </c>
      <c r="E466" s="505" t="s">
        <v>18</v>
      </c>
      <c r="F466" s="591" t="s">
        <v>29</v>
      </c>
      <c r="G466" s="608" t="s">
        <v>137</v>
      </c>
      <c r="H466" s="591">
        <f>IFERROR(VLOOKUP(G466,'Cadastro de assessores'!A:B,2,FALSE),"Não Cadastrado")</f>
        <v>12344</v>
      </c>
      <c r="I466" s="591"/>
      <c r="J466" s="506" t="s">
        <v>116</v>
      </c>
      <c r="K466" s="624" t="s">
        <v>116</v>
      </c>
      <c r="L466" s="624" t="s">
        <v>4987</v>
      </c>
      <c r="M466" s="515" t="s">
        <v>2430</v>
      </c>
      <c r="N466" s="614" t="s">
        <v>4024</v>
      </c>
      <c r="O466" s="608"/>
      <c r="P466" s="608" t="s">
        <v>3664</v>
      </c>
      <c r="Q466" s="594">
        <v>0.025</v>
      </c>
      <c r="R466" s="682" t="s">
        <v>4998</v>
      </c>
      <c r="S466" s="595"/>
      <c r="T466" s="515" t="str">
        <f t="shared" si="49"/>
        <v>Não Qualificado</v>
      </c>
      <c r="U466" s="515" t="s">
        <v>89</v>
      </c>
      <c r="V466" s="515" t="s">
        <v>2410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2396</v>
      </c>
      <c r="BF466" s="443" t="s">
        <v>2396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3642</v>
      </c>
      <c r="B467" s="79" t="s">
        <v>2059</v>
      </c>
      <c r="C467" s="564" t="s">
        <v>4997</v>
      </c>
      <c r="D467" s="555">
        <v>2004579.0</v>
      </c>
      <c r="E467" s="505" t="s">
        <v>18</v>
      </c>
      <c r="F467" s="591" t="s">
        <v>29</v>
      </c>
      <c r="G467" s="608" t="s">
        <v>137</v>
      </c>
      <c r="H467" s="591">
        <f>IFERROR(VLOOKUP(G467,'Cadastro de assessores'!A:B,2,FALSE),"Não Cadastrado")</f>
        <v>12344</v>
      </c>
      <c r="I467" s="591"/>
      <c r="J467" s="506" t="s">
        <v>116</v>
      </c>
      <c r="K467" s="515" t="s">
        <v>88</v>
      </c>
      <c r="L467" s="515" t="s">
        <v>3659</v>
      </c>
      <c r="M467" s="592">
        <v>44557.0</v>
      </c>
      <c r="N467" s="592">
        <v>44557.0</v>
      </c>
      <c r="O467" s="608"/>
      <c r="P467" s="608" t="s">
        <v>3657</v>
      </c>
      <c r="Q467" s="594">
        <v>0.007</v>
      </c>
      <c r="R467" s="682" t="s">
        <v>4998</v>
      </c>
      <c r="S467" s="595"/>
      <c r="T467" s="515" t="str">
        <f t="shared" si="49"/>
        <v>Não Qualificado</v>
      </c>
      <c r="U467" s="515" t="s">
        <v>89</v>
      </c>
      <c r="V467" s="515" t="s">
        <v>2410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3642</v>
      </c>
      <c r="B468" s="79" t="s">
        <v>4999</v>
      </c>
      <c r="C468" s="564" t="s">
        <v>5000</v>
      </c>
      <c r="D468" s="555">
        <v>4841428.0</v>
      </c>
      <c r="E468" s="505" t="s">
        <v>18</v>
      </c>
      <c r="F468" s="591" t="s">
        <v>29</v>
      </c>
      <c r="G468" s="591" t="s">
        <v>2760</v>
      </c>
      <c r="H468" s="591" t="str">
        <f>IFERROR(VLOOKUP(G468,'Cadastro de assessores'!A:B,2,FALSE),"Não Cadastrado")</f>
        <v>13444</v>
      </c>
      <c r="I468" s="591"/>
      <c r="J468" s="505" t="s">
        <v>88</v>
      </c>
      <c r="K468" s="515" t="s">
        <v>88</v>
      </c>
      <c r="L468" s="515" t="s">
        <v>3659</v>
      </c>
      <c r="M468" s="592">
        <v>44370.0</v>
      </c>
      <c r="N468" s="592">
        <v>44372.0</v>
      </c>
      <c r="O468" s="555"/>
      <c r="P468" s="555" t="s">
        <v>3863</v>
      </c>
      <c r="Q468" s="594">
        <v>0.02</v>
      </c>
      <c r="R468" s="210"/>
      <c r="S468" s="595"/>
      <c r="T468" s="515" t="str">
        <f t="shared" si="49"/>
        <v/>
      </c>
      <c r="U468" s="515" t="s">
        <v>89</v>
      </c>
      <c r="V468" s="555" t="s">
        <v>3864</v>
      </c>
      <c r="W468" s="555" t="s">
        <v>180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3642</v>
      </c>
      <c r="B469" s="79" t="s">
        <v>5001</v>
      </c>
      <c r="C469" s="597" t="s">
        <v>5002</v>
      </c>
      <c r="D469" s="515">
        <v>4681272.0</v>
      </c>
      <c r="E469" s="505" t="s">
        <v>86</v>
      </c>
      <c r="F469" s="505" t="s">
        <v>29</v>
      </c>
      <c r="G469" s="505" t="s">
        <v>3486</v>
      </c>
      <c r="H469" s="505" t="str">
        <f>IFERROR(VLOOKUP(G469,'Cadastro de assessores'!A:B,2,FALSE),"Não Cadastrado")</f>
        <v>14574</v>
      </c>
      <c r="I469" s="505"/>
      <c r="J469" s="598" t="s">
        <v>2393</v>
      </c>
      <c r="K469" s="515" t="s">
        <v>88</v>
      </c>
      <c r="L469" s="515" t="s">
        <v>3659</v>
      </c>
      <c r="M469" s="593">
        <v>44186.0</v>
      </c>
      <c r="N469" s="593">
        <v>44186.0</v>
      </c>
      <c r="O469" s="554">
        <v>44901.0</v>
      </c>
      <c r="P469" s="555" t="s">
        <v>3647</v>
      </c>
      <c r="Q469" s="594">
        <v>0.02</v>
      </c>
      <c r="R469" s="601" t="s">
        <v>5003</v>
      </c>
      <c r="S469" s="595"/>
      <c r="T469" s="515" t="str">
        <f t="shared" si="49"/>
        <v>Não Qualificado</v>
      </c>
      <c r="U469" s="515" t="s">
        <v>89</v>
      </c>
      <c r="V469" s="515" t="s">
        <v>5004</v>
      </c>
      <c r="W469" s="515" t="s">
        <v>5005</v>
      </c>
      <c r="X469" s="596" t="s">
        <v>3653</v>
      </c>
      <c r="Y469" s="596" t="s">
        <v>3653</v>
      </c>
      <c r="Z469" s="596" t="s">
        <v>3653</v>
      </c>
      <c r="AA469" s="596" t="s">
        <v>3653</v>
      </c>
      <c r="AB469" s="596" t="s">
        <v>3653</v>
      </c>
      <c r="AC469" s="596" t="s">
        <v>3653</v>
      </c>
      <c r="AD469" s="596" t="s">
        <v>3653</v>
      </c>
      <c r="AE469" s="596" t="s">
        <v>3653</v>
      </c>
      <c r="AF469" s="596" t="s">
        <v>3653</v>
      </c>
      <c r="AG469" s="596" t="s">
        <v>3653</v>
      </c>
      <c r="AH469" s="596" t="s">
        <v>3653</v>
      </c>
      <c r="AI469" s="596" t="s">
        <v>3653</v>
      </c>
      <c r="AJ469" s="596" t="s">
        <v>3653</v>
      </c>
      <c r="AK469" s="596" t="s">
        <v>3653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3642</v>
      </c>
      <c r="B470" s="79" t="s">
        <v>2073</v>
      </c>
      <c r="C470" s="564" t="s">
        <v>5006</v>
      </c>
      <c r="D470" s="555">
        <v>3658320.0</v>
      </c>
      <c r="E470" s="505" t="s">
        <v>18</v>
      </c>
      <c r="F470" s="505" t="s">
        <v>29</v>
      </c>
      <c r="G470" s="555" t="s">
        <v>58</v>
      </c>
      <c r="H470" s="555">
        <f>IFERROR(VLOOKUP(G470,'Cadastro de assessores'!A:B,2,FALSE),"Não Cadastrado")</f>
        <v>12359</v>
      </c>
      <c r="I470" s="555"/>
      <c r="J470" s="505" t="s">
        <v>88</v>
      </c>
      <c r="K470" s="515" t="s">
        <v>88</v>
      </c>
      <c r="L470" s="515" t="s">
        <v>3659</v>
      </c>
      <c r="M470" s="593">
        <v>44704.0</v>
      </c>
      <c r="N470" s="593">
        <v>44704.0</v>
      </c>
      <c r="O470" s="515"/>
      <c r="P470" s="515" t="s">
        <v>3660</v>
      </c>
      <c r="Q470" s="594">
        <v>0.012</v>
      </c>
      <c r="R470" s="634" t="s">
        <v>4238</v>
      </c>
      <c r="S470" s="595"/>
      <c r="T470" s="515"/>
      <c r="U470" s="515" t="s">
        <v>89</v>
      </c>
      <c r="V470" s="515" t="s">
        <v>2421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3642</v>
      </c>
      <c r="B471" s="79" t="s">
        <v>2079</v>
      </c>
      <c r="C471" s="597" t="s">
        <v>2077</v>
      </c>
      <c r="D471" s="515">
        <v>4559307.0</v>
      </c>
      <c r="E471" s="505" t="s">
        <v>86</v>
      </c>
      <c r="F471" s="505" t="s">
        <v>29</v>
      </c>
      <c r="G471" s="505" t="s">
        <v>3711</v>
      </c>
      <c r="H471" s="505" t="str">
        <f>IFERROR(VLOOKUP(G471,'Cadastro de assessores'!A:B,2,FALSE),"Não Cadastrado")</f>
        <v>1298</v>
      </c>
      <c r="I471" s="505"/>
      <c r="J471" s="505" t="s">
        <v>88</v>
      </c>
      <c r="K471" s="515" t="s">
        <v>88</v>
      </c>
      <c r="L471" s="515" t="s">
        <v>3659</v>
      </c>
      <c r="M471" s="593">
        <v>44151.0</v>
      </c>
      <c r="N471" s="593">
        <v>44151.0</v>
      </c>
      <c r="O471" s="515"/>
      <c r="P471" s="515" t="s">
        <v>3651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89</v>
      </c>
      <c r="V471" s="515" t="s">
        <v>2453</v>
      </c>
      <c r="W471" s="515" t="s">
        <v>29</v>
      </c>
      <c r="X471" s="596" t="s">
        <v>3653</v>
      </c>
      <c r="Y471" s="596" t="s">
        <v>3653</v>
      </c>
      <c r="Z471" s="596" t="s">
        <v>3653</v>
      </c>
      <c r="AA471" s="596" t="s">
        <v>3653</v>
      </c>
      <c r="AB471" s="596" t="s">
        <v>3653</v>
      </c>
      <c r="AC471" s="596" t="s">
        <v>3653</v>
      </c>
      <c r="AD471" s="596" t="s">
        <v>3653</v>
      </c>
      <c r="AE471" s="596" t="s">
        <v>3653</v>
      </c>
      <c r="AF471" s="596" t="s">
        <v>3653</v>
      </c>
      <c r="AG471" s="596" t="s">
        <v>3653</v>
      </c>
      <c r="AH471" s="596" t="s">
        <v>3653</v>
      </c>
      <c r="AI471" s="596" t="s">
        <v>3653</v>
      </c>
      <c r="AJ471" s="596" t="s">
        <v>3653</v>
      </c>
      <c r="AK471" s="596" t="s">
        <v>5007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3642</v>
      </c>
      <c r="B472" s="79" t="s">
        <v>2090</v>
      </c>
      <c r="C472" s="564" t="s">
        <v>2087</v>
      </c>
      <c r="D472" s="555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88</v>
      </c>
      <c r="K472" s="515" t="s">
        <v>88</v>
      </c>
      <c r="L472" s="515" t="s">
        <v>3659</v>
      </c>
      <c r="M472" s="593">
        <v>44784.0</v>
      </c>
      <c r="N472" s="593">
        <v>44784.0</v>
      </c>
      <c r="O472" s="515"/>
      <c r="P472" s="515" t="s">
        <v>3660</v>
      </c>
      <c r="Q472" s="594">
        <v>0.012</v>
      </c>
      <c r="R472" s="601" t="s">
        <v>5008</v>
      </c>
      <c r="S472" s="595"/>
      <c r="T472" s="515"/>
      <c r="U472" s="515"/>
      <c r="V472" s="515"/>
      <c r="W472" s="515" t="s">
        <v>180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3642</v>
      </c>
      <c r="B473" s="79" t="s">
        <v>5009</v>
      </c>
      <c r="C473" s="597" t="s">
        <v>5010</v>
      </c>
      <c r="D473" s="515">
        <v>2645505.0</v>
      </c>
      <c r="E473" s="515" t="s">
        <v>2379</v>
      </c>
      <c r="F473" s="515" t="s">
        <v>29</v>
      </c>
      <c r="G473" s="515" t="s">
        <v>2379</v>
      </c>
      <c r="H473" s="515" t="str">
        <f>IFERROR(VLOOKUP(G473,'Cadastro de assessores'!A:B,2,FALSE),"Não Cadastrado")</f>
        <v>18986</v>
      </c>
      <c r="I473" s="515"/>
      <c r="J473" s="598" t="s">
        <v>2393</v>
      </c>
      <c r="K473" s="515" t="s">
        <v>2393</v>
      </c>
      <c r="L473" s="515" t="s">
        <v>3646</v>
      </c>
      <c r="M473" s="600">
        <v>43684.0</v>
      </c>
      <c r="N473" s="600">
        <v>43684.0</v>
      </c>
      <c r="O473" s="600">
        <v>43924.0</v>
      </c>
      <c r="P473" s="515" t="s">
        <v>3651</v>
      </c>
      <c r="Q473" s="594">
        <v>0.01</v>
      </c>
      <c r="R473" s="601" t="s">
        <v>5011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89</v>
      </c>
      <c r="V473" s="515" t="s">
        <v>2432</v>
      </c>
      <c r="W473" s="515" t="s">
        <v>29</v>
      </c>
      <c r="X473" s="596" t="s">
        <v>5012</v>
      </c>
      <c r="Y473" s="596"/>
      <c r="Z473" s="596" t="s">
        <v>5013</v>
      </c>
      <c r="AA473" s="596" t="s">
        <v>5014</v>
      </c>
      <c r="AB473" s="596" t="s">
        <v>5015</v>
      </c>
      <c r="AC473" s="596" t="s">
        <v>5016</v>
      </c>
      <c r="AD473" s="596" t="s">
        <v>3653</v>
      </c>
      <c r="AE473" s="596" t="s">
        <v>3653</v>
      </c>
      <c r="AF473" s="596" t="s">
        <v>3653</v>
      </c>
      <c r="AG473" s="596" t="s">
        <v>3653</v>
      </c>
      <c r="AH473" s="596" t="s">
        <v>3653</v>
      </c>
      <c r="AI473" s="596"/>
      <c r="AJ473" s="596" t="s">
        <v>3653</v>
      </c>
      <c r="AK473" s="596"/>
      <c r="AL473" s="443"/>
      <c r="AM473" s="443"/>
      <c r="AN473" s="443" t="s">
        <v>2430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2396</v>
      </c>
      <c r="BF473" s="443" t="s">
        <v>2396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3642</v>
      </c>
      <c r="B474" s="79" t="s">
        <v>5017</v>
      </c>
      <c r="C474" s="597" t="s">
        <v>5018</v>
      </c>
      <c r="D474" s="515">
        <v>2289902.0</v>
      </c>
      <c r="E474" s="515" t="s">
        <v>18</v>
      </c>
      <c r="F474" s="515" t="s">
        <v>19</v>
      </c>
      <c r="G474" s="515" t="s">
        <v>201</v>
      </c>
      <c r="H474" s="515">
        <v>18890.0</v>
      </c>
      <c r="I474" s="515"/>
      <c r="J474" s="515" t="s">
        <v>3745</v>
      </c>
      <c r="K474" s="515" t="s">
        <v>116</v>
      </c>
      <c r="L474" s="515" t="s">
        <v>3745</v>
      </c>
      <c r="M474" s="515" t="s">
        <v>2430</v>
      </c>
      <c r="N474" s="600"/>
      <c r="O474" s="600"/>
      <c r="P474" s="515" t="s">
        <v>3660</v>
      </c>
      <c r="Q474" s="594">
        <v>0.012</v>
      </c>
      <c r="R474" s="601" t="s">
        <v>5019</v>
      </c>
      <c r="S474" s="595"/>
      <c r="T474" s="515"/>
      <c r="U474" s="515" t="s">
        <v>89</v>
      </c>
      <c r="V474" s="515" t="s">
        <v>5020</v>
      </c>
      <c r="W474" s="515" t="s">
        <v>5021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2396</v>
      </c>
      <c r="BF474" s="443" t="s">
        <v>2396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3642</v>
      </c>
      <c r="B475" s="79" t="s">
        <v>5022</v>
      </c>
      <c r="C475" s="597" t="s">
        <v>5023</v>
      </c>
      <c r="D475" s="515">
        <v>4837403.0</v>
      </c>
      <c r="E475" s="515" t="s">
        <v>86</v>
      </c>
      <c r="F475" s="515" t="s">
        <v>29</v>
      </c>
      <c r="G475" s="515" t="s">
        <v>3901</v>
      </c>
      <c r="H475" s="515" t="str">
        <f>IFERROR(VLOOKUP(G475,'Cadastro de assessores'!A:B,2,FALSE),"Não Cadastrado")</f>
        <v>19634</v>
      </c>
      <c r="I475" s="515"/>
      <c r="J475" s="598" t="s">
        <v>2393</v>
      </c>
      <c r="K475" s="515" t="s">
        <v>2393</v>
      </c>
      <c r="L475" s="515" t="s">
        <v>3646</v>
      </c>
      <c r="M475" s="600">
        <v>44250.0</v>
      </c>
      <c r="N475" s="600">
        <v>44250.0</v>
      </c>
      <c r="O475" s="554">
        <v>44452.0</v>
      </c>
      <c r="P475" s="555" t="s">
        <v>3693</v>
      </c>
      <c r="Q475" s="594">
        <v>0.008</v>
      </c>
      <c r="R475" s="601" t="s">
        <v>4940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89</v>
      </c>
      <c r="V475" s="515" t="s">
        <v>2432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2396</v>
      </c>
      <c r="BF475" s="443" t="s">
        <v>2396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3642</v>
      </c>
      <c r="B476" s="79" t="s">
        <v>2093</v>
      </c>
      <c r="C476" s="597" t="s">
        <v>2091</v>
      </c>
      <c r="D476" s="515">
        <v>4903270.0</v>
      </c>
      <c r="E476" s="505" t="s">
        <v>86</v>
      </c>
      <c r="F476" s="505" t="s">
        <v>29</v>
      </c>
      <c r="G476" s="505" t="s">
        <v>137</v>
      </c>
      <c r="H476" s="505">
        <f>IFERROR(VLOOKUP(G476,'Cadastro de assessores'!A:B,2,FALSE),"Não Cadastrado")</f>
        <v>12344</v>
      </c>
      <c r="I476" s="505"/>
      <c r="J476" s="505" t="s">
        <v>88</v>
      </c>
      <c r="K476" s="505" t="s">
        <v>88</v>
      </c>
      <c r="L476" s="515" t="s">
        <v>3659</v>
      </c>
      <c r="M476" s="592">
        <v>44257.0</v>
      </c>
      <c r="N476" s="592">
        <v>44257.0</v>
      </c>
      <c r="O476" s="555"/>
      <c r="P476" s="555" t="s">
        <v>3647</v>
      </c>
      <c r="Q476" s="594">
        <v>0.02</v>
      </c>
      <c r="R476" s="601" t="s">
        <v>5024</v>
      </c>
      <c r="S476" s="595"/>
      <c r="T476" s="515" t="str">
        <f t="shared" si="50"/>
        <v>Não Qualificado</v>
      </c>
      <c r="U476" s="515" t="s">
        <v>89</v>
      </c>
      <c r="V476" s="515" t="s">
        <v>2771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3642</v>
      </c>
      <c r="B477" s="79" t="s">
        <v>5025</v>
      </c>
      <c r="C477" s="597" t="s">
        <v>5026</v>
      </c>
      <c r="D477" s="515">
        <v>2405046.0</v>
      </c>
      <c r="E477" s="515" t="s">
        <v>18</v>
      </c>
      <c r="F477" s="515" t="s">
        <v>29</v>
      </c>
      <c r="G477" s="515" t="s">
        <v>5027</v>
      </c>
      <c r="H477" s="515" t="str">
        <f>IFERROR(VLOOKUP(G477,'Cadastro de assessores'!A:B,2,FALSE),"Não Cadastrado")</f>
        <v>14320</v>
      </c>
      <c r="I477" s="515"/>
      <c r="J477" s="598" t="s">
        <v>2393</v>
      </c>
      <c r="K477" s="515" t="s">
        <v>2393</v>
      </c>
      <c r="L477" s="515" t="s">
        <v>3646</v>
      </c>
      <c r="M477" s="600">
        <v>43777.0</v>
      </c>
      <c r="N477" s="600">
        <v>43777.0</v>
      </c>
      <c r="O477" s="660">
        <v>44105.0</v>
      </c>
      <c r="P477" s="515" t="s">
        <v>4452</v>
      </c>
      <c r="Q477" s="594">
        <v>0.02</v>
      </c>
      <c r="R477" s="601" t="s">
        <v>5028</v>
      </c>
      <c r="S477" s="595"/>
      <c r="T477" s="515" t="str">
        <f t="shared" si="50"/>
        <v/>
      </c>
      <c r="U477" s="515" t="s">
        <v>89</v>
      </c>
      <c r="V477" s="515" t="s">
        <v>3313</v>
      </c>
      <c r="W477" s="515" t="s">
        <v>29</v>
      </c>
      <c r="X477" s="596" t="s">
        <v>5029</v>
      </c>
      <c r="Y477" s="596"/>
      <c r="Z477" s="596" t="s">
        <v>5030</v>
      </c>
      <c r="AA477" s="596" t="s">
        <v>5031</v>
      </c>
      <c r="AB477" s="596" t="s">
        <v>5032</v>
      </c>
      <c r="AC477" s="596" t="s">
        <v>5033</v>
      </c>
      <c r="AD477" s="596" t="s">
        <v>5034</v>
      </c>
      <c r="AE477" s="596" t="s">
        <v>5035</v>
      </c>
      <c r="AF477" s="596" t="s">
        <v>5036</v>
      </c>
      <c r="AG477" s="596" t="s">
        <v>5037</v>
      </c>
      <c r="AH477" s="596" t="s">
        <v>5038</v>
      </c>
      <c r="AI477" s="596" t="s">
        <v>5039</v>
      </c>
      <c r="AJ477" s="596" t="s">
        <v>5040</v>
      </c>
      <c r="AK477" s="596"/>
      <c r="AL477" s="443"/>
      <c r="AM477" s="443"/>
      <c r="AN477" s="443" t="s">
        <v>2430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2396</v>
      </c>
      <c r="BF477" s="443" t="s">
        <v>2396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3642</v>
      </c>
      <c r="B478" s="79" t="s">
        <v>5041</v>
      </c>
      <c r="C478" s="564" t="s">
        <v>5042</v>
      </c>
      <c r="D478" s="555">
        <v>4460007.0</v>
      </c>
      <c r="E478" s="505" t="s">
        <v>18</v>
      </c>
      <c r="F478" s="591" t="s">
        <v>29</v>
      </c>
      <c r="G478" s="591" t="s">
        <v>2760</v>
      </c>
      <c r="H478" s="591" t="str">
        <f>IFERROR(VLOOKUP(G478,'Cadastro de assessores'!A:B,2,FALSE),"Não Cadastrado")</f>
        <v>13444</v>
      </c>
      <c r="I478" s="591"/>
      <c r="J478" s="555" t="s">
        <v>88</v>
      </c>
      <c r="K478" s="505" t="s">
        <v>88</v>
      </c>
      <c r="L478" s="555" t="s">
        <v>3659</v>
      </c>
      <c r="M478" s="592">
        <v>44372.0</v>
      </c>
      <c r="N478" s="592">
        <v>44372.0</v>
      </c>
      <c r="O478" s="555"/>
      <c r="P478" s="555" t="s">
        <v>3863</v>
      </c>
      <c r="Q478" s="594">
        <v>0.02</v>
      </c>
      <c r="R478" s="210"/>
      <c r="S478" s="595"/>
      <c r="T478" s="515" t="str">
        <f t="shared" si="50"/>
        <v>Não Qualificado</v>
      </c>
      <c r="U478" s="555" t="s">
        <v>329</v>
      </c>
      <c r="V478" s="555" t="s">
        <v>3864</v>
      </c>
      <c r="W478" s="555" t="s">
        <v>180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3642</v>
      </c>
      <c r="B479" s="79" t="s">
        <v>2099</v>
      </c>
      <c r="C479" s="564" t="s">
        <v>5043</v>
      </c>
      <c r="D479" s="555">
        <v>8419053.0</v>
      </c>
      <c r="E479" s="505" t="s">
        <v>18</v>
      </c>
      <c r="F479" s="505" t="s">
        <v>19</v>
      </c>
      <c r="G479" s="555" t="s">
        <v>52</v>
      </c>
      <c r="H479" s="555" t="str">
        <f>IFERROR(VLOOKUP(G479,'Cadastro de assessores'!A:B,2,FALSE),"Não Cadastrado")</f>
        <v>17831</v>
      </c>
      <c r="I479" s="555"/>
      <c r="J479" s="614" t="s">
        <v>4024</v>
      </c>
      <c r="K479" s="624" t="s">
        <v>116</v>
      </c>
      <c r="L479" s="624" t="s">
        <v>3659</v>
      </c>
      <c r="M479" s="515" t="s">
        <v>2430</v>
      </c>
      <c r="N479" s="614" t="s">
        <v>4024</v>
      </c>
      <c r="O479" s="555"/>
      <c r="P479" s="555" t="s">
        <v>3660</v>
      </c>
      <c r="Q479" s="594">
        <v>0.012</v>
      </c>
      <c r="R479" s="601"/>
      <c r="S479" s="595"/>
      <c r="T479" s="515"/>
      <c r="U479" s="515" t="s">
        <v>89</v>
      </c>
      <c r="V479" s="515" t="s">
        <v>2482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2396</v>
      </c>
      <c r="BF479" s="443" t="s">
        <v>2396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3642</v>
      </c>
      <c r="B480" s="79" t="s">
        <v>5044</v>
      </c>
      <c r="C480" s="597" t="s">
        <v>5045</v>
      </c>
      <c r="D480" s="555">
        <v>8419053.0</v>
      </c>
      <c r="E480" s="515" t="s">
        <v>18</v>
      </c>
      <c r="F480" s="515" t="s">
        <v>29</v>
      </c>
      <c r="G480" s="515" t="s">
        <v>3650</v>
      </c>
      <c r="H480" s="515" t="str">
        <f>IFERROR(VLOOKUP(G480,'Cadastro de assessores'!A:B,2,FALSE),"Não Cadastrado")</f>
        <v>17679</v>
      </c>
      <c r="I480" s="515"/>
      <c r="J480" s="598" t="s">
        <v>2393</v>
      </c>
      <c r="K480" s="515" t="s">
        <v>2393</v>
      </c>
      <c r="L480" s="515" t="s">
        <v>3646</v>
      </c>
      <c r="M480" s="600">
        <v>44272.0</v>
      </c>
      <c r="N480" s="600">
        <v>44272.0</v>
      </c>
      <c r="O480" s="599">
        <v>44498.0</v>
      </c>
      <c r="P480" s="515" t="s">
        <v>3660</v>
      </c>
      <c r="Q480" s="594">
        <v>0.012</v>
      </c>
      <c r="R480" s="601" t="s">
        <v>5046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89</v>
      </c>
      <c r="V480" s="515" t="s">
        <v>2395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2396</v>
      </c>
      <c r="BF480" s="443" t="s">
        <v>2396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3642</v>
      </c>
      <c r="B481" s="79" t="s">
        <v>5044</v>
      </c>
      <c r="C481" s="597" t="s">
        <v>5045</v>
      </c>
      <c r="D481" s="515">
        <v>4951699.0</v>
      </c>
      <c r="E481" s="515" t="s">
        <v>18</v>
      </c>
      <c r="F481" s="515" t="s">
        <v>29</v>
      </c>
      <c r="G481" s="515" t="s">
        <v>5047</v>
      </c>
      <c r="H481" s="515" t="str">
        <f>IFERROR(VLOOKUP(G481,'Cadastro de assessores'!A:B,2,FALSE),"Não Cadastrado")</f>
        <v>12305</v>
      </c>
      <c r="I481" s="515"/>
      <c r="J481" s="598" t="s">
        <v>2393</v>
      </c>
      <c r="K481" s="515" t="s">
        <v>2393</v>
      </c>
      <c r="L481" s="515" t="s">
        <v>3646</v>
      </c>
      <c r="M481" s="600">
        <v>44271.0</v>
      </c>
      <c r="N481" s="600">
        <v>44271.0</v>
      </c>
      <c r="O481" s="599">
        <v>44498.0</v>
      </c>
      <c r="P481" s="555" t="s">
        <v>3693</v>
      </c>
      <c r="Q481" s="594">
        <v>0.008</v>
      </c>
      <c r="R481" s="601" t="s">
        <v>5046</v>
      </c>
      <c r="S481" s="595"/>
      <c r="T481" s="515" t="str">
        <f t="shared" si="51"/>
        <v>Qualificado</v>
      </c>
      <c r="U481" s="515" t="s">
        <v>89</v>
      </c>
      <c r="V481" s="515" t="s">
        <v>2395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2396</v>
      </c>
      <c r="BF481" s="443" t="s">
        <v>2396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3642</v>
      </c>
      <c r="B482" s="79" t="s">
        <v>5048</v>
      </c>
      <c r="C482" s="564" t="s">
        <v>5049</v>
      </c>
      <c r="D482" s="555">
        <v>5900712.0</v>
      </c>
      <c r="E482" s="505" t="s">
        <v>18</v>
      </c>
      <c r="F482" s="591" t="s">
        <v>19</v>
      </c>
      <c r="G482" s="505" t="s">
        <v>230</v>
      </c>
      <c r="H482" s="555" t="str">
        <f>IFERROR(VLOOKUP(G482,'Cadastro de assessores'!A:B,2,FALSE),"Não Cadastrado")</f>
        <v>18009</v>
      </c>
      <c r="I482" s="555"/>
      <c r="J482" s="598" t="s">
        <v>2393</v>
      </c>
      <c r="K482" s="505" t="s">
        <v>88</v>
      </c>
      <c r="L482" s="515" t="s">
        <v>3659</v>
      </c>
      <c r="M482" s="592">
        <v>44386.0</v>
      </c>
      <c r="N482" s="592">
        <v>44390.0</v>
      </c>
      <c r="O482" s="635">
        <v>44895.0</v>
      </c>
      <c r="P482" s="555" t="s">
        <v>3664</v>
      </c>
      <c r="Q482" s="594">
        <v>0.025</v>
      </c>
      <c r="R482" s="210" t="s">
        <v>5050</v>
      </c>
      <c r="S482" s="595"/>
      <c r="T482" s="515" t="str">
        <f t="shared" si="51"/>
        <v>Não Qualificado</v>
      </c>
      <c r="U482" s="515" t="s">
        <v>89</v>
      </c>
      <c r="V482" s="555" t="s">
        <v>2421</v>
      </c>
      <c r="W482" s="555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3642</v>
      </c>
      <c r="B483" s="79" t="s">
        <v>2102</v>
      </c>
      <c r="C483" s="597" t="s">
        <v>2100</v>
      </c>
      <c r="D483" s="515">
        <v>3369465.0</v>
      </c>
      <c r="E483" s="505" t="s">
        <v>18</v>
      </c>
      <c r="F483" s="505" t="s">
        <v>29</v>
      </c>
      <c r="G483" s="505" t="s">
        <v>58</v>
      </c>
      <c r="H483" s="555">
        <f>IFERROR(VLOOKUP(G483,'Cadastro de assessores'!A:B,2,FALSE),"Não Cadastrado")</f>
        <v>12359</v>
      </c>
      <c r="I483" s="555"/>
      <c r="J483" s="505" t="s">
        <v>88</v>
      </c>
      <c r="K483" s="505" t="s">
        <v>88</v>
      </c>
      <c r="L483" s="624" t="s">
        <v>3659</v>
      </c>
      <c r="M483" s="605">
        <v>44618.0</v>
      </c>
      <c r="N483" s="605">
        <v>44618.0</v>
      </c>
      <c r="O483" s="555"/>
      <c r="P483" s="555" t="s">
        <v>3657</v>
      </c>
      <c r="Q483" s="594">
        <v>0.007</v>
      </c>
      <c r="R483" s="634" t="s">
        <v>4238</v>
      </c>
      <c r="S483" s="595"/>
      <c r="T483" s="515" t="str">
        <f t="shared" si="51"/>
        <v>Não Qualificado</v>
      </c>
      <c r="U483" s="515" t="s">
        <v>89</v>
      </c>
      <c r="V483" s="515" t="s">
        <v>2432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3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3642</v>
      </c>
      <c r="B484" s="79" t="s">
        <v>5051</v>
      </c>
      <c r="C484" s="597" t="s">
        <v>5052</v>
      </c>
      <c r="D484" s="515">
        <v>5371919.0</v>
      </c>
      <c r="E484" s="505" t="s">
        <v>86</v>
      </c>
      <c r="F484" s="505" t="s">
        <v>29</v>
      </c>
      <c r="G484" s="505" t="s">
        <v>3901</v>
      </c>
      <c r="H484" s="555" t="str">
        <f>IFERROR(VLOOKUP(G484,'Cadastro de assessores'!A:B,2,FALSE),"Não Cadastrado")</f>
        <v>19634</v>
      </c>
      <c r="I484" s="555"/>
      <c r="J484" s="505" t="s">
        <v>88</v>
      </c>
      <c r="K484" s="505" t="s">
        <v>88</v>
      </c>
      <c r="L484" s="515" t="s">
        <v>3659</v>
      </c>
      <c r="M484" s="592">
        <v>44711.0</v>
      </c>
      <c r="N484" s="592">
        <v>44714.0</v>
      </c>
      <c r="O484" s="555"/>
      <c r="P484" s="555" t="s">
        <v>3660</v>
      </c>
      <c r="Q484" s="594">
        <v>0.012</v>
      </c>
      <c r="R484" s="601" t="s">
        <v>5053</v>
      </c>
      <c r="S484" s="595"/>
      <c r="T484" s="515"/>
      <c r="U484" s="515" t="s">
        <v>329</v>
      </c>
      <c r="V484" s="515" t="s">
        <v>2395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2396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3642</v>
      </c>
      <c r="B485" s="79" t="s">
        <v>5054</v>
      </c>
      <c r="C485" s="597" t="s">
        <v>5055</v>
      </c>
      <c r="D485" s="515">
        <v>3730315.0</v>
      </c>
      <c r="E485" s="505" t="s">
        <v>86</v>
      </c>
      <c r="F485" s="505" t="s">
        <v>29</v>
      </c>
      <c r="G485" s="505" t="s">
        <v>3901</v>
      </c>
      <c r="H485" s="555" t="str">
        <f>IFERROR(VLOOKUP(G485,'Cadastro de assessores'!A:B,2,FALSE),"Não Cadastrado")</f>
        <v>19634</v>
      </c>
      <c r="I485" s="555"/>
      <c r="J485" s="505" t="s">
        <v>88</v>
      </c>
      <c r="K485" s="505" t="s">
        <v>88</v>
      </c>
      <c r="L485" s="515" t="s">
        <v>3659</v>
      </c>
      <c r="M485" s="592">
        <v>44714.0</v>
      </c>
      <c r="N485" s="592">
        <v>44714.0</v>
      </c>
      <c r="O485" s="555"/>
      <c r="P485" s="555" t="s">
        <v>3660</v>
      </c>
      <c r="Q485" s="594">
        <v>0.012</v>
      </c>
      <c r="R485" s="601" t="s">
        <v>5056</v>
      </c>
      <c r="S485" s="595"/>
      <c r="T485" s="515"/>
      <c r="U485" s="515" t="s">
        <v>329</v>
      </c>
      <c r="V485" s="515" t="s">
        <v>2395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2396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3642</v>
      </c>
      <c r="B486" s="79" t="s">
        <v>5057</v>
      </c>
      <c r="C486" s="597" t="s">
        <v>5058</v>
      </c>
      <c r="D486" s="515">
        <v>3102597.0</v>
      </c>
      <c r="E486" s="505" t="s">
        <v>18</v>
      </c>
      <c r="F486" s="505" t="s">
        <v>29</v>
      </c>
      <c r="G486" s="505" t="s">
        <v>58</v>
      </c>
      <c r="H486" s="505">
        <f>IFERROR(VLOOKUP(G486,'Cadastro de assessores'!A:B,2,FALSE),"Não Cadastrado")</f>
        <v>12359</v>
      </c>
      <c r="I486" s="505"/>
      <c r="J486" s="505" t="s">
        <v>88</v>
      </c>
      <c r="K486" s="505" t="s">
        <v>88</v>
      </c>
      <c r="L486" s="515" t="s">
        <v>3659</v>
      </c>
      <c r="M486" s="592">
        <v>44249.0</v>
      </c>
      <c r="N486" s="592">
        <v>44249.0</v>
      </c>
      <c r="O486" s="555"/>
      <c r="P486" s="555" t="s">
        <v>3647</v>
      </c>
      <c r="Q486" s="594">
        <v>0.02</v>
      </c>
      <c r="R486" s="601" t="s">
        <v>3749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89</v>
      </c>
      <c r="V486" s="515" t="s">
        <v>2453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3642</v>
      </c>
      <c r="B487" s="79" t="s">
        <v>3571</v>
      </c>
      <c r="C487" s="597" t="s">
        <v>5059</v>
      </c>
      <c r="D487" s="515">
        <v>3457906.0</v>
      </c>
      <c r="E487" s="505" t="s">
        <v>18</v>
      </c>
      <c r="F487" s="505" t="s">
        <v>29</v>
      </c>
      <c r="G487" s="505" t="s">
        <v>333</v>
      </c>
      <c r="H487" s="505" t="str">
        <f>IFERROR(VLOOKUP(G487,'Cadastro de assessores'!A:B,2,FALSE),"Não Cadastrado")</f>
        <v>18993</v>
      </c>
      <c r="I487" s="505"/>
      <c r="J487" s="505" t="s">
        <v>88</v>
      </c>
      <c r="K487" s="505" t="s">
        <v>88</v>
      </c>
      <c r="L487" s="515" t="s">
        <v>3659</v>
      </c>
      <c r="M487" s="592">
        <v>43693.0</v>
      </c>
      <c r="N487" s="592">
        <v>43693.0</v>
      </c>
      <c r="O487" s="515"/>
      <c r="P487" s="515" t="s">
        <v>5060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89</v>
      </c>
      <c r="V487" s="515" t="s">
        <v>2421</v>
      </c>
      <c r="W487" s="515" t="s">
        <v>29</v>
      </c>
      <c r="X487" s="596" t="s">
        <v>5061</v>
      </c>
      <c r="Y487" s="596"/>
      <c r="Z487" s="596" t="s">
        <v>5062</v>
      </c>
      <c r="AA487" s="596" t="s">
        <v>5063</v>
      </c>
      <c r="AB487" s="596" t="s">
        <v>5064</v>
      </c>
      <c r="AC487" s="596" t="s">
        <v>5065</v>
      </c>
      <c r="AD487" s="596" t="s">
        <v>5066</v>
      </c>
      <c r="AE487" s="596" t="s">
        <v>5067</v>
      </c>
      <c r="AF487" s="596" t="s">
        <v>5068</v>
      </c>
      <c r="AG487" s="596" t="s">
        <v>5069</v>
      </c>
      <c r="AH487" s="596" t="s">
        <v>5070</v>
      </c>
      <c r="AI487" s="596" t="s">
        <v>5071</v>
      </c>
      <c r="AJ487" s="596" t="s">
        <v>5072</v>
      </c>
      <c r="AK487" s="596" t="s">
        <v>5073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3642</v>
      </c>
      <c r="B488" s="79" t="s">
        <v>5074</v>
      </c>
      <c r="C488" s="626" t="s">
        <v>5075</v>
      </c>
      <c r="D488" s="555">
        <v>5582661.0</v>
      </c>
      <c r="E488" s="505" t="s">
        <v>18</v>
      </c>
      <c r="F488" s="591" t="s">
        <v>19</v>
      </c>
      <c r="G488" s="505" t="s">
        <v>230</v>
      </c>
      <c r="H488" s="505" t="str">
        <f>IFERROR(VLOOKUP(G488,'Cadastro de assessores'!A:B,2,FALSE),"Não Cadastrado")</f>
        <v>18009</v>
      </c>
      <c r="I488" s="505"/>
      <c r="J488" s="598" t="s">
        <v>2393</v>
      </c>
      <c r="K488" s="505" t="s">
        <v>88</v>
      </c>
      <c r="L488" s="515" t="s">
        <v>3659</v>
      </c>
      <c r="M488" s="592">
        <v>44340.0</v>
      </c>
      <c r="N488" s="592">
        <v>44340.0</v>
      </c>
      <c r="O488" s="600">
        <v>44896.0</v>
      </c>
      <c r="P488" s="515" t="s">
        <v>3664</v>
      </c>
      <c r="Q488" s="594">
        <v>0.025</v>
      </c>
      <c r="R488" s="210" t="s">
        <v>5076</v>
      </c>
      <c r="S488" s="595"/>
      <c r="T488" s="515" t="str">
        <f t="shared" si="52"/>
        <v/>
      </c>
      <c r="U488" s="515" t="s">
        <v>89</v>
      </c>
      <c r="V488" s="515" t="s">
        <v>2432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3642</v>
      </c>
      <c r="B489" s="79" t="s">
        <v>5077</v>
      </c>
      <c r="C489" s="597" t="s">
        <v>5078</v>
      </c>
      <c r="D489" s="515">
        <v>4484307.0</v>
      </c>
      <c r="E489" s="515" t="s">
        <v>86</v>
      </c>
      <c r="F489" s="515" t="s">
        <v>29</v>
      </c>
      <c r="G489" s="515" t="s">
        <v>5079</v>
      </c>
      <c r="H489" s="515" t="str">
        <f>IFERROR(VLOOKUP(G489,'Cadastro de assessores'!A:B,2,FALSE),"Não Cadastrado")</f>
        <v>18061</v>
      </c>
      <c r="I489" s="515"/>
      <c r="J489" s="598" t="s">
        <v>2393</v>
      </c>
      <c r="K489" s="515" t="s">
        <v>2393</v>
      </c>
      <c r="L489" s="515" t="s">
        <v>3646</v>
      </c>
      <c r="M489" s="600">
        <v>44105.0</v>
      </c>
      <c r="N489" s="600">
        <v>44105.0</v>
      </c>
      <c r="O489" s="599">
        <v>44482.0</v>
      </c>
      <c r="P489" s="515" t="s">
        <v>3664</v>
      </c>
      <c r="Q489" s="594">
        <v>0.025</v>
      </c>
      <c r="R489" s="601" t="s">
        <v>5080</v>
      </c>
      <c r="S489" s="595"/>
      <c r="T489" s="515" t="str">
        <f t="shared" si="52"/>
        <v>Não Qualificado</v>
      </c>
      <c r="U489" s="515" t="s">
        <v>89</v>
      </c>
      <c r="V489" s="515" t="s">
        <v>5081</v>
      </c>
      <c r="W489" s="515" t="s">
        <v>19</v>
      </c>
      <c r="X489" s="596" t="s">
        <v>3653</v>
      </c>
      <c r="Y489" s="596" t="s">
        <v>3653</v>
      </c>
      <c r="Z489" s="596" t="s">
        <v>3653</v>
      </c>
      <c r="AA489" s="596" t="s">
        <v>3653</v>
      </c>
      <c r="AB489" s="596" t="s">
        <v>3653</v>
      </c>
      <c r="AC489" s="596" t="s">
        <v>3653</v>
      </c>
      <c r="AD489" s="596" t="s">
        <v>3653</v>
      </c>
      <c r="AE489" s="596" t="s">
        <v>3653</v>
      </c>
      <c r="AF489" s="596" t="s">
        <v>3653</v>
      </c>
      <c r="AG489" s="596" t="s">
        <v>3653</v>
      </c>
      <c r="AH489" s="596" t="s">
        <v>3653</v>
      </c>
      <c r="AI489" s="596" t="s">
        <v>3653</v>
      </c>
      <c r="AJ489" s="596" t="s">
        <v>5082</v>
      </c>
      <c r="AK489" s="596" t="s">
        <v>5083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2396</v>
      </c>
      <c r="BF489" s="443" t="s">
        <v>2396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3642</v>
      </c>
      <c r="B490" s="79" t="s">
        <v>3575</v>
      </c>
      <c r="C490" s="597" t="s">
        <v>5084</v>
      </c>
      <c r="D490" s="515">
        <v>4598320.0</v>
      </c>
      <c r="E490" s="505" t="s">
        <v>18</v>
      </c>
      <c r="F490" s="505" t="s">
        <v>29</v>
      </c>
      <c r="G490" s="505" t="s">
        <v>333</v>
      </c>
      <c r="H490" s="505" t="str">
        <f>IFERROR(VLOOKUP(G490,'Cadastro de assessores'!A:B,2,FALSE),"Não Cadastrado")</f>
        <v>18993</v>
      </c>
      <c r="I490" s="505"/>
      <c r="J490" s="505" t="s">
        <v>88</v>
      </c>
      <c r="K490" s="505" t="s">
        <v>88</v>
      </c>
      <c r="L490" s="515" t="s">
        <v>3659</v>
      </c>
      <c r="M490" s="593">
        <v>44148.0</v>
      </c>
      <c r="N490" s="593">
        <v>44148.0</v>
      </c>
      <c r="O490" s="515"/>
      <c r="P490" s="515" t="s">
        <v>3664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89</v>
      </c>
      <c r="V490" s="515" t="s">
        <v>2494</v>
      </c>
      <c r="W490" s="515" t="s">
        <v>715</v>
      </c>
      <c r="X490" s="596" t="s">
        <v>3653</v>
      </c>
      <c r="Y490" s="596" t="s">
        <v>3653</v>
      </c>
      <c r="Z490" s="596" t="s">
        <v>3653</v>
      </c>
      <c r="AA490" s="596" t="s">
        <v>3653</v>
      </c>
      <c r="AB490" s="596" t="s">
        <v>3653</v>
      </c>
      <c r="AC490" s="596" t="s">
        <v>3653</v>
      </c>
      <c r="AD490" s="596" t="s">
        <v>3653</v>
      </c>
      <c r="AE490" s="596" t="s">
        <v>3653</v>
      </c>
      <c r="AF490" s="596" t="s">
        <v>3653</v>
      </c>
      <c r="AG490" s="596" t="s">
        <v>3653</v>
      </c>
      <c r="AH490" s="596" t="s">
        <v>3653</v>
      </c>
      <c r="AI490" s="596" t="s">
        <v>3653</v>
      </c>
      <c r="AJ490" s="596" t="s">
        <v>3653</v>
      </c>
      <c r="AK490" s="596" t="s">
        <v>5085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3642</v>
      </c>
      <c r="B491" s="79" t="s">
        <v>5086</v>
      </c>
      <c r="C491" s="597" t="s">
        <v>5087</v>
      </c>
      <c r="D491" s="515">
        <v>3412436.0</v>
      </c>
      <c r="E491" s="505" t="s">
        <v>2379</v>
      </c>
      <c r="F491" s="505" t="s">
        <v>29</v>
      </c>
      <c r="G491" s="505" t="s">
        <v>2379</v>
      </c>
      <c r="H491" s="505" t="str">
        <f>IFERROR(VLOOKUP(G491,'Cadastro de assessores'!A:B,2,FALSE),"Não Cadastrado")</f>
        <v>18986</v>
      </c>
      <c r="I491" s="505"/>
      <c r="J491" s="624" t="s">
        <v>5088</v>
      </c>
      <c r="K491" s="624" t="s">
        <v>116</v>
      </c>
      <c r="L491" s="624" t="s">
        <v>3646</v>
      </c>
      <c r="M491" s="592">
        <v>44067.0</v>
      </c>
      <c r="N491" s="592">
        <v>44075.0</v>
      </c>
      <c r="O491" s="515"/>
      <c r="P491" s="515" t="s">
        <v>3651</v>
      </c>
      <c r="Q491" s="594">
        <v>0.015</v>
      </c>
      <c r="R491" s="601"/>
      <c r="S491" s="595"/>
      <c r="T491" s="515" t="str">
        <f t="shared" si="52"/>
        <v/>
      </c>
      <c r="U491" s="515" t="s">
        <v>89</v>
      </c>
      <c r="V491" s="515" t="s">
        <v>2410</v>
      </c>
      <c r="W491" s="515" t="s">
        <v>29</v>
      </c>
      <c r="X491" s="596" t="s">
        <v>3653</v>
      </c>
      <c r="Y491" s="596" t="s">
        <v>3653</v>
      </c>
      <c r="Z491" s="596" t="s">
        <v>3653</v>
      </c>
      <c r="AA491" s="596" t="s">
        <v>3653</v>
      </c>
      <c r="AB491" s="596" t="s">
        <v>3653</v>
      </c>
      <c r="AC491" s="596" t="s">
        <v>3653</v>
      </c>
      <c r="AD491" s="596" t="s">
        <v>3653</v>
      </c>
      <c r="AE491" s="596" t="s">
        <v>3653</v>
      </c>
      <c r="AF491" s="596" t="s">
        <v>3653</v>
      </c>
      <c r="AG491" s="596" t="s">
        <v>3653</v>
      </c>
      <c r="AH491" s="596" t="s">
        <v>5089</v>
      </c>
      <c r="AI491" s="596" t="s">
        <v>5090</v>
      </c>
      <c r="AJ491" s="596" t="s">
        <v>5091</v>
      </c>
      <c r="AK491" s="596" t="s">
        <v>5092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3642</v>
      </c>
      <c r="B492" s="79" t="s">
        <v>2121</v>
      </c>
      <c r="C492" s="626" t="s">
        <v>5093</v>
      </c>
      <c r="D492" s="555">
        <v>5681841.0</v>
      </c>
      <c r="E492" s="505" t="s">
        <v>18</v>
      </c>
      <c r="F492" s="591" t="s">
        <v>19</v>
      </c>
      <c r="G492" s="505" t="s">
        <v>201</v>
      </c>
      <c r="H492" s="591" t="str">
        <f>IFERROR(VLOOKUP(G492,'Cadastro de assessores'!A:B,2,FALSE),"Não Cadastrado")</f>
        <v>18890</v>
      </c>
      <c r="I492" s="591"/>
      <c r="J492" s="505" t="s">
        <v>88</v>
      </c>
      <c r="K492" s="505" t="s">
        <v>88</v>
      </c>
      <c r="L492" s="515" t="s">
        <v>3659</v>
      </c>
      <c r="M492" s="592">
        <v>44469.0</v>
      </c>
      <c r="N492" s="592">
        <v>44469.0</v>
      </c>
      <c r="O492" s="515"/>
      <c r="P492" s="515" t="s">
        <v>3660</v>
      </c>
      <c r="Q492" s="594">
        <v>0.012</v>
      </c>
      <c r="R492" s="210" t="s">
        <v>3757</v>
      </c>
      <c r="S492" s="595"/>
      <c r="T492" s="515" t="str">
        <f t="shared" si="52"/>
        <v>Não Qualificado</v>
      </c>
      <c r="U492" s="515" t="s">
        <v>89</v>
      </c>
      <c r="V492" s="555" t="s">
        <v>2671</v>
      </c>
      <c r="W492" s="555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3642</v>
      </c>
      <c r="B493" s="79" t="s">
        <v>5094</v>
      </c>
      <c r="C493" s="564" t="s">
        <v>5095</v>
      </c>
      <c r="D493" s="504">
        <v>5146477.0</v>
      </c>
      <c r="E493" s="515" t="s">
        <v>2379</v>
      </c>
      <c r="F493" s="515" t="s">
        <v>29</v>
      </c>
      <c r="G493" s="515" t="s">
        <v>2379</v>
      </c>
      <c r="H493" s="515" t="str">
        <f>IFERROR(VLOOKUP(G493,'Cadastro de assessores'!A:B,2,FALSE),"Não Cadastrado")</f>
        <v>18986</v>
      </c>
      <c r="I493" s="515"/>
      <c r="J493" s="598" t="s">
        <v>2393</v>
      </c>
      <c r="K493" s="515" t="s">
        <v>2393</v>
      </c>
      <c r="L493" s="515" t="s">
        <v>3675</v>
      </c>
      <c r="M493" s="600">
        <v>44355.0</v>
      </c>
      <c r="N493" s="600">
        <v>44355.0</v>
      </c>
      <c r="O493" s="600">
        <v>44776.0</v>
      </c>
      <c r="P493" s="515" t="s">
        <v>3660</v>
      </c>
      <c r="Q493" s="594">
        <v>0.012</v>
      </c>
      <c r="R493" s="210" t="s">
        <v>5096</v>
      </c>
      <c r="S493" s="595"/>
      <c r="T493" s="515" t="str">
        <f t="shared" si="52"/>
        <v/>
      </c>
      <c r="U493" s="515" t="s">
        <v>89</v>
      </c>
      <c r="V493" s="555" t="s">
        <v>3224</v>
      </c>
      <c r="W493" s="555" t="s">
        <v>121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3642</v>
      </c>
      <c r="B494" s="79" t="s">
        <v>5097</v>
      </c>
      <c r="C494" s="626" t="s">
        <v>5098</v>
      </c>
      <c r="D494" s="555">
        <v>5620188.0</v>
      </c>
      <c r="E494" s="505" t="s">
        <v>18</v>
      </c>
      <c r="F494" s="591" t="s">
        <v>19</v>
      </c>
      <c r="G494" s="555" t="s">
        <v>5099</v>
      </c>
      <c r="H494" s="555" t="str">
        <f>IFERROR(VLOOKUP(G494,'Cadastro de assessores'!A:B,2,FALSE),"Não Cadastrado")</f>
        <v>18530</v>
      </c>
      <c r="I494" s="555"/>
      <c r="J494" s="624" t="s">
        <v>3645</v>
      </c>
      <c r="K494" s="624" t="s">
        <v>116</v>
      </c>
      <c r="L494" s="624" t="s">
        <v>3675</v>
      </c>
      <c r="M494" s="592">
        <v>44355.0</v>
      </c>
      <c r="N494" s="592">
        <v>44356.0</v>
      </c>
      <c r="O494" s="515"/>
      <c r="P494" s="515" t="s">
        <v>3664</v>
      </c>
      <c r="Q494" s="594">
        <v>0.025</v>
      </c>
      <c r="R494" s="210"/>
      <c r="S494" s="595"/>
      <c r="T494" s="515" t="str">
        <f t="shared" si="52"/>
        <v/>
      </c>
      <c r="U494" s="515" t="s">
        <v>89</v>
      </c>
      <c r="V494" s="515" t="s">
        <v>2432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3642</v>
      </c>
      <c r="B495" s="79" t="s">
        <v>5100</v>
      </c>
      <c r="C495" s="597" t="s">
        <v>5101</v>
      </c>
      <c r="D495" s="684">
        <v>7738705.0</v>
      </c>
      <c r="E495" s="505" t="s">
        <v>18</v>
      </c>
      <c r="F495" s="591" t="s">
        <v>19</v>
      </c>
      <c r="G495" s="505" t="s">
        <v>52</v>
      </c>
      <c r="H495" s="555" t="str">
        <f>IFERROR(VLOOKUP(G495,'Cadastro de assessores'!A:B,2,FALSE),"Não Cadastrado")</f>
        <v>17831</v>
      </c>
      <c r="I495" s="555"/>
      <c r="J495" s="505" t="s">
        <v>88</v>
      </c>
      <c r="K495" s="505" t="s">
        <v>88</v>
      </c>
      <c r="L495" s="515" t="s">
        <v>3659</v>
      </c>
      <c r="M495" s="592">
        <v>44585.0</v>
      </c>
      <c r="N495" s="592">
        <v>44589.0</v>
      </c>
      <c r="O495" s="515"/>
      <c r="P495" s="515" t="s">
        <v>3657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89</v>
      </c>
      <c r="V495" s="515" t="s">
        <v>2482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3642</v>
      </c>
      <c r="B496" s="79" t="s">
        <v>2134</v>
      </c>
      <c r="C496" s="597" t="s">
        <v>2131</v>
      </c>
      <c r="D496" s="515">
        <v>4634231.0</v>
      </c>
      <c r="E496" s="505" t="s">
        <v>86</v>
      </c>
      <c r="F496" s="505" t="s">
        <v>29</v>
      </c>
      <c r="G496" s="505" t="s">
        <v>3697</v>
      </c>
      <c r="H496" s="505" t="str">
        <f>IFERROR(VLOOKUP(G496,'Cadastro de assessores'!A:B,2,FALSE),"Não Cadastrado")</f>
        <v>12624</v>
      </c>
      <c r="I496" s="505"/>
      <c r="J496" s="505" t="s">
        <v>88</v>
      </c>
      <c r="K496" s="505" t="s">
        <v>88</v>
      </c>
      <c r="L496" s="515" t="s">
        <v>3659</v>
      </c>
      <c r="M496" s="592">
        <v>44166.0</v>
      </c>
      <c r="N496" s="592">
        <v>44173.0</v>
      </c>
      <c r="O496" s="515"/>
      <c r="P496" s="515" t="s">
        <v>3657</v>
      </c>
      <c r="Q496" s="594">
        <v>0.007</v>
      </c>
      <c r="R496" s="685" t="s">
        <v>5102</v>
      </c>
      <c r="S496" s="595"/>
      <c r="T496" s="515" t="str">
        <f t="shared" si="52"/>
        <v>Não Qualificado</v>
      </c>
      <c r="U496" s="515" t="s">
        <v>89</v>
      </c>
      <c r="V496" s="515" t="s">
        <v>2432</v>
      </c>
      <c r="W496" s="515" t="s">
        <v>29</v>
      </c>
      <c r="X496" s="596" t="s">
        <v>3653</v>
      </c>
      <c r="Y496" s="596" t="s">
        <v>3653</v>
      </c>
      <c r="Z496" s="596" t="s">
        <v>3653</v>
      </c>
      <c r="AA496" s="596" t="s">
        <v>3653</v>
      </c>
      <c r="AB496" s="596" t="s">
        <v>3653</v>
      </c>
      <c r="AC496" s="596" t="s">
        <v>3653</v>
      </c>
      <c r="AD496" s="596" t="s">
        <v>3653</v>
      </c>
      <c r="AE496" s="596" t="s">
        <v>3653</v>
      </c>
      <c r="AF496" s="596" t="s">
        <v>3653</v>
      </c>
      <c r="AG496" s="596" t="s">
        <v>3653</v>
      </c>
      <c r="AH496" s="596" t="s">
        <v>3653</v>
      </c>
      <c r="AI496" s="596" t="s">
        <v>3653</v>
      </c>
      <c r="AJ496" s="596" t="s">
        <v>3653</v>
      </c>
      <c r="AK496" s="596" t="s">
        <v>3653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3642</v>
      </c>
      <c r="B497" s="79" t="s">
        <v>5103</v>
      </c>
      <c r="C497" s="564" t="s">
        <v>5104</v>
      </c>
      <c r="D497" s="555">
        <v>4304013.0</v>
      </c>
      <c r="E497" s="505" t="s">
        <v>18</v>
      </c>
      <c r="F497" s="591" t="s">
        <v>19</v>
      </c>
      <c r="G497" s="505" t="s">
        <v>230</v>
      </c>
      <c r="H497" s="591" t="str">
        <f>IFERROR(VLOOKUP(G497,'Cadastro de assessores'!A:B,2,FALSE),"Não Cadastrado")</f>
        <v>18009</v>
      </c>
      <c r="I497" s="591"/>
      <c r="J497" s="624" t="s">
        <v>3645</v>
      </c>
      <c r="K497" s="624" t="s">
        <v>88</v>
      </c>
      <c r="L497" s="624" t="s">
        <v>3675</v>
      </c>
      <c r="M497" s="592">
        <v>44292.0</v>
      </c>
      <c r="N497" s="592">
        <v>44291.0</v>
      </c>
      <c r="O497" s="515"/>
      <c r="P497" s="515" t="s">
        <v>3664</v>
      </c>
      <c r="Q497" s="594">
        <v>0.025</v>
      </c>
      <c r="R497" s="210"/>
      <c r="S497" s="595"/>
      <c r="T497" s="515" t="str">
        <f t="shared" si="52"/>
        <v/>
      </c>
      <c r="U497" s="515" t="s">
        <v>89</v>
      </c>
      <c r="V497" s="555" t="s">
        <v>2426</v>
      </c>
      <c r="W497" s="515" t="s">
        <v>3732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3642</v>
      </c>
      <c r="B498" s="79" t="s">
        <v>2141</v>
      </c>
      <c r="C498" s="597" t="s">
        <v>2138</v>
      </c>
      <c r="D498" s="515">
        <v>4695301.0</v>
      </c>
      <c r="E498" s="505" t="s">
        <v>86</v>
      </c>
      <c r="F498" s="505" t="s">
        <v>29</v>
      </c>
      <c r="G498" s="505" t="s">
        <v>3901</v>
      </c>
      <c r="H498" s="505" t="str">
        <f>IFERROR(VLOOKUP(G498,'Cadastro de assessores'!A:B,2,FALSE),"Não Cadastrado")</f>
        <v>19634</v>
      </c>
      <c r="I498" s="505"/>
      <c r="J498" s="505" t="s">
        <v>88</v>
      </c>
      <c r="K498" s="505" t="s">
        <v>88</v>
      </c>
      <c r="L498" s="515" t="s">
        <v>3659</v>
      </c>
      <c r="M498" s="592">
        <v>44217.0</v>
      </c>
      <c r="N498" s="592">
        <v>44218.0</v>
      </c>
      <c r="O498" s="515"/>
      <c r="P498" s="515" t="s">
        <v>3647</v>
      </c>
      <c r="Q498" s="594">
        <v>0.02</v>
      </c>
      <c r="R498" s="601"/>
      <c r="S498" s="595"/>
      <c r="T498" s="515" t="str">
        <f t="shared" si="52"/>
        <v/>
      </c>
      <c r="U498" s="515" t="s">
        <v>89</v>
      </c>
      <c r="V498" s="515" t="s">
        <v>3233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2430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3642</v>
      </c>
      <c r="B499" s="79" t="s">
        <v>5105</v>
      </c>
      <c r="C499" s="597" t="s">
        <v>5106</v>
      </c>
      <c r="D499" s="515">
        <v>4537910.0</v>
      </c>
      <c r="E499" s="505" t="s">
        <v>86</v>
      </c>
      <c r="F499" s="505" t="s">
        <v>29</v>
      </c>
      <c r="G499" s="505" t="s">
        <v>3913</v>
      </c>
      <c r="H499" s="505" t="str">
        <f>IFERROR(VLOOKUP(G499,'Cadastro de assessores'!A:B,2,FALSE),"Não Cadastrado")</f>
        <v>17243</v>
      </c>
      <c r="I499" s="505"/>
      <c r="J499" s="614" t="s">
        <v>4024</v>
      </c>
      <c r="K499" s="624" t="s">
        <v>116</v>
      </c>
      <c r="L499" s="624" t="s">
        <v>4987</v>
      </c>
      <c r="M499" s="515" t="s">
        <v>2430</v>
      </c>
      <c r="N499" s="614" t="s">
        <v>4024</v>
      </c>
      <c r="O499" s="515"/>
      <c r="P499" s="515" t="s">
        <v>3651</v>
      </c>
      <c r="Q499" s="594">
        <v>0.015</v>
      </c>
      <c r="R499" s="601"/>
      <c r="S499" s="595"/>
      <c r="T499" s="515" t="str">
        <f t="shared" si="52"/>
        <v/>
      </c>
      <c r="U499" s="515" t="s">
        <v>329</v>
      </c>
      <c r="V499" s="515" t="s">
        <v>3915</v>
      </c>
      <c r="W499" s="515" t="s">
        <v>29</v>
      </c>
      <c r="X499" s="596" t="s">
        <v>3653</v>
      </c>
      <c r="Y499" s="596" t="s">
        <v>3653</v>
      </c>
      <c r="Z499" s="596" t="s">
        <v>3653</v>
      </c>
      <c r="AA499" s="596" t="s">
        <v>3653</v>
      </c>
      <c r="AB499" s="596" t="s">
        <v>3653</v>
      </c>
      <c r="AC499" s="596" t="s">
        <v>3653</v>
      </c>
      <c r="AD499" s="596" t="s">
        <v>3653</v>
      </c>
      <c r="AE499" s="596" t="s">
        <v>3653</v>
      </c>
      <c r="AF499" s="596" t="s">
        <v>3653</v>
      </c>
      <c r="AG499" s="596" t="s">
        <v>3653</v>
      </c>
      <c r="AH499" s="596" t="s">
        <v>3653</v>
      </c>
      <c r="AI499" s="596" t="s">
        <v>3653</v>
      </c>
      <c r="AJ499" s="596" t="s">
        <v>3653</v>
      </c>
      <c r="AK499" s="596" t="s">
        <v>3653</v>
      </c>
      <c r="AL499" s="443" t="s">
        <v>2430</v>
      </c>
      <c r="AM499" s="443"/>
      <c r="AN499" s="443" t="s">
        <v>2430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2396</v>
      </c>
      <c r="BF499" s="443" t="s">
        <v>2396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3642</v>
      </c>
      <c r="B500" s="79" t="s">
        <v>2144</v>
      </c>
      <c r="C500" s="127" t="s">
        <v>2142</v>
      </c>
      <c r="D500" s="555">
        <v>7012555.0</v>
      </c>
      <c r="E500" s="505" t="s">
        <v>18</v>
      </c>
      <c r="F500" s="591" t="s">
        <v>29</v>
      </c>
      <c r="G500" s="608" t="s">
        <v>761</v>
      </c>
      <c r="H500" s="505">
        <f>IFERROR(VLOOKUP(G500,'Cadastro de assessores'!A:B,2,FALSE),"Não Cadastrado")</f>
        <v>12342</v>
      </c>
      <c r="I500" s="505"/>
      <c r="J500" s="505" t="s">
        <v>88</v>
      </c>
      <c r="K500" s="505" t="s">
        <v>88</v>
      </c>
      <c r="L500" s="515" t="s">
        <v>3659</v>
      </c>
      <c r="M500" s="593">
        <v>44553.0</v>
      </c>
      <c r="N500" s="593">
        <v>44558.0</v>
      </c>
      <c r="O500" s="608"/>
      <c r="P500" s="608" t="s">
        <v>3657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89</v>
      </c>
      <c r="V500" s="471" t="s">
        <v>2486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3642</v>
      </c>
      <c r="B501" s="79" t="s">
        <v>2148</v>
      </c>
      <c r="C501" s="597" t="s">
        <v>3360</v>
      </c>
      <c r="D501" s="515">
        <v>4848036.0</v>
      </c>
      <c r="E501" s="505" t="s">
        <v>2379</v>
      </c>
      <c r="F501" s="505" t="s">
        <v>29</v>
      </c>
      <c r="G501" s="505" t="s">
        <v>2379</v>
      </c>
      <c r="H501" s="505" t="str">
        <f>IFERROR(VLOOKUP(G501,'Cadastro de assessores'!A:B,2,FALSE),"Não Cadastrado")</f>
        <v>18986</v>
      </c>
      <c r="I501" s="505"/>
      <c r="J501" s="505" t="s">
        <v>88</v>
      </c>
      <c r="K501" s="505" t="s">
        <v>88</v>
      </c>
      <c r="L501" s="515" t="s">
        <v>3659</v>
      </c>
      <c r="M501" s="592">
        <v>44249.0</v>
      </c>
      <c r="N501" s="592">
        <v>44249.0</v>
      </c>
      <c r="O501" s="515"/>
      <c r="P501" s="515" t="s">
        <v>3660</v>
      </c>
      <c r="Q501" s="594">
        <v>0.012</v>
      </c>
      <c r="R501" s="601"/>
      <c r="S501" s="595"/>
      <c r="T501" s="515" t="str">
        <f t="shared" si="52"/>
        <v/>
      </c>
      <c r="U501" s="515" t="s">
        <v>89</v>
      </c>
      <c r="V501" s="515" t="s">
        <v>2444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3642</v>
      </c>
      <c r="B502" s="79" t="s">
        <v>5107</v>
      </c>
      <c r="C502" s="564" t="s">
        <v>5108</v>
      </c>
      <c r="D502" s="617">
        <v>7975278.0</v>
      </c>
      <c r="E502" s="504" t="s">
        <v>18</v>
      </c>
      <c r="F502" s="504" t="s">
        <v>29</v>
      </c>
      <c r="G502" s="515" t="s">
        <v>4185</v>
      </c>
      <c r="H502" s="504" t="str">
        <f>IFERROR(VLOOKUP(G502,'Cadastro de assessores'!A:B,2,FALSE),"Não Cadastrado")</f>
        <v>16130</v>
      </c>
      <c r="I502" s="504"/>
      <c r="J502" s="598" t="s">
        <v>2393</v>
      </c>
      <c r="K502" s="515" t="s">
        <v>2393</v>
      </c>
      <c r="L502" s="515" t="s">
        <v>3646</v>
      </c>
      <c r="M502" s="600">
        <v>44623.0</v>
      </c>
      <c r="N502" s="600">
        <v>44623.0</v>
      </c>
      <c r="O502" s="600">
        <v>44774.0</v>
      </c>
      <c r="P502" s="515" t="s">
        <v>3657</v>
      </c>
      <c r="Q502" s="594">
        <v>0.007</v>
      </c>
      <c r="R502" s="210" t="s">
        <v>5109</v>
      </c>
      <c r="S502" s="595"/>
      <c r="T502" s="515" t="str">
        <f t="shared" si="52"/>
        <v>Não Qualificado</v>
      </c>
      <c r="U502" s="515" t="s">
        <v>89</v>
      </c>
      <c r="V502" s="555" t="s">
        <v>2444</v>
      </c>
      <c r="W502" s="555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3642</v>
      </c>
      <c r="B503" s="79" t="s">
        <v>2168</v>
      </c>
      <c r="C503" s="619" t="s">
        <v>5110</v>
      </c>
      <c r="D503" s="620">
        <v>3924234.0</v>
      </c>
      <c r="E503" s="505" t="s">
        <v>18</v>
      </c>
      <c r="F503" s="505" t="s">
        <v>29</v>
      </c>
      <c r="G503" s="505" t="s">
        <v>110</v>
      </c>
      <c r="H503" s="505"/>
      <c r="I503" s="505"/>
      <c r="J503" s="686" t="s">
        <v>88</v>
      </c>
      <c r="K503" s="505"/>
      <c r="L503" s="515"/>
      <c r="M503" s="592"/>
      <c r="N503" s="592">
        <v>44918.0</v>
      </c>
      <c r="O503" s="515"/>
      <c r="P503" s="515" t="s">
        <v>3660</v>
      </c>
      <c r="Q503" s="594">
        <v>0.008</v>
      </c>
      <c r="R503" s="681" t="s">
        <v>5111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3642</v>
      </c>
      <c r="B504" s="79" t="s">
        <v>5112</v>
      </c>
      <c r="C504" s="597" t="s">
        <v>5113</v>
      </c>
      <c r="D504" s="515">
        <v>4431395.0</v>
      </c>
      <c r="E504" s="505" t="s">
        <v>18</v>
      </c>
      <c r="F504" s="505" t="s">
        <v>29</v>
      </c>
      <c r="G504" s="505" t="s">
        <v>137</v>
      </c>
      <c r="H504" s="505">
        <f>IFERROR(VLOOKUP(G504,'Cadastro de assessores'!A:B,2,FALSE),"Não Cadastrado")</f>
        <v>12344</v>
      </c>
      <c r="I504" s="505"/>
      <c r="J504" s="598" t="s">
        <v>2393</v>
      </c>
      <c r="K504" s="505" t="s">
        <v>88</v>
      </c>
      <c r="L504" s="515" t="s">
        <v>3659</v>
      </c>
      <c r="M504" s="592">
        <v>44076.0</v>
      </c>
      <c r="N504" s="592">
        <v>44076.0</v>
      </c>
      <c r="O504" s="600">
        <v>44930.0</v>
      </c>
      <c r="P504" s="515" t="s">
        <v>3660</v>
      </c>
      <c r="Q504" s="594">
        <v>0.012</v>
      </c>
      <c r="R504" s="601" t="s">
        <v>5024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89</v>
      </c>
      <c r="V504" s="515" t="s">
        <v>2410</v>
      </c>
      <c r="W504" s="515" t="s">
        <v>29</v>
      </c>
      <c r="X504" s="596" t="s">
        <v>3653</v>
      </c>
      <c r="Y504" s="596" t="s">
        <v>3653</v>
      </c>
      <c r="Z504" s="596" t="s">
        <v>3653</v>
      </c>
      <c r="AA504" s="596" t="s">
        <v>3653</v>
      </c>
      <c r="AB504" s="596" t="s">
        <v>3653</v>
      </c>
      <c r="AC504" s="596" t="s">
        <v>3653</v>
      </c>
      <c r="AD504" s="596" t="s">
        <v>3653</v>
      </c>
      <c r="AE504" s="596" t="s">
        <v>3653</v>
      </c>
      <c r="AF504" s="596" t="s">
        <v>3653</v>
      </c>
      <c r="AG504" s="596" t="s">
        <v>3653</v>
      </c>
      <c r="AH504" s="596" t="s">
        <v>3653</v>
      </c>
      <c r="AI504" s="596" t="s">
        <v>5114</v>
      </c>
      <c r="AJ504" s="596" t="s">
        <v>5115</v>
      </c>
      <c r="AK504" s="596" t="s">
        <v>5116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3642</v>
      </c>
      <c r="B505" s="79" t="s">
        <v>5117</v>
      </c>
      <c r="C505" s="564" t="s">
        <v>5118</v>
      </c>
      <c r="D505" s="555">
        <v>5577058.0</v>
      </c>
      <c r="E505" s="515" t="s">
        <v>18</v>
      </c>
      <c r="F505" s="504" t="s">
        <v>19</v>
      </c>
      <c r="G505" s="515" t="s">
        <v>230</v>
      </c>
      <c r="H505" s="504" t="str">
        <f>IFERROR(VLOOKUP(G505,'Cadastro de assessores'!A:B,2,FALSE),"Não Cadastrado")</f>
        <v>18009</v>
      </c>
      <c r="I505" s="504"/>
      <c r="J505" s="598" t="s">
        <v>2393</v>
      </c>
      <c r="K505" s="515" t="s">
        <v>2393</v>
      </c>
      <c r="L505" s="515" t="s">
        <v>3646</v>
      </c>
      <c r="M505" s="600">
        <v>44355.0</v>
      </c>
      <c r="N505" s="600">
        <v>44355.0</v>
      </c>
      <c r="O505" s="600">
        <v>44683.0</v>
      </c>
      <c r="P505" s="515" t="s">
        <v>3657</v>
      </c>
      <c r="Q505" s="594">
        <v>0.007</v>
      </c>
      <c r="R505" s="210" t="s">
        <v>5119</v>
      </c>
      <c r="S505" s="595"/>
      <c r="T505" s="515" t="str">
        <f t="shared" si="53"/>
        <v/>
      </c>
      <c r="U505" s="515" t="s">
        <v>89</v>
      </c>
      <c r="V505" s="555" t="s">
        <v>2449</v>
      </c>
      <c r="W505" s="555" t="s">
        <v>121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2396</v>
      </c>
      <c r="BF505" s="443" t="s">
        <v>2396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3642</v>
      </c>
      <c r="B506" s="79" t="s">
        <v>2171</v>
      </c>
      <c r="C506" s="626" t="s">
        <v>2169</v>
      </c>
      <c r="D506" s="555">
        <v>9145079.0</v>
      </c>
      <c r="E506" s="505" t="s">
        <v>18</v>
      </c>
      <c r="F506" s="591" t="s">
        <v>29</v>
      </c>
      <c r="G506" s="505" t="s">
        <v>137</v>
      </c>
      <c r="H506" s="504">
        <f>IFERROR(VLOOKUP(G506,'Cadastro de assessores'!A:B,2,FALSE),"Não Cadastrado")</f>
        <v>12344</v>
      </c>
      <c r="I506" s="504"/>
      <c r="J506" s="505" t="s">
        <v>88</v>
      </c>
      <c r="K506" s="505" t="s">
        <v>88</v>
      </c>
      <c r="L506" s="505" t="s">
        <v>3659</v>
      </c>
      <c r="M506" s="592">
        <v>44802.0</v>
      </c>
      <c r="N506" s="592">
        <v>44802.0</v>
      </c>
      <c r="O506" s="515"/>
      <c r="P506" s="515" t="s">
        <v>3657</v>
      </c>
      <c r="Q506" s="594">
        <v>0.007</v>
      </c>
      <c r="R506" s="210"/>
      <c r="S506" s="595"/>
      <c r="T506" s="515"/>
      <c r="U506" s="515"/>
      <c r="V506" s="555"/>
      <c r="W506" s="555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3642</v>
      </c>
      <c r="B507" s="79" t="s">
        <v>5120</v>
      </c>
      <c r="C507" s="564" t="s">
        <v>5121</v>
      </c>
      <c r="D507" s="555">
        <v>6065361.0</v>
      </c>
      <c r="E507" s="515" t="s">
        <v>18</v>
      </c>
      <c r="F507" s="504" t="s">
        <v>19</v>
      </c>
      <c r="G507" s="515" t="s">
        <v>3978</v>
      </c>
      <c r="H507" s="515" t="str">
        <f>IFERROR(VLOOKUP(G507,'Cadastro de assessores'!A:B,2,FALSE),"Não Cadastrado")</f>
        <v>14294</v>
      </c>
      <c r="I507" s="515"/>
      <c r="J507" s="598" t="s">
        <v>2393</v>
      </c>
      <c r="K507" s="515" t="s">
        <v>2393</v>
      </c>
      <c r="L507" s="505" t="s">
        <v>3646</v>
      </c>
      <c r="M507" s="600">
        <v>44414.0</v>
      </c>
      <c r="N507" s="600">
        <v>44414.0</v>
      </c>
      <c r="O507" s="600">
        <v>44818.0</v>
      </c>
      <c r="P507" s="515" t="s">
        <v>3660</v>
      </c>
      <c r="Q507" s="594">
        <v>0.012</v>
      </c>
      <c r="R507" s="210" t="s">
        <v>5122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89</v>
      </c>
      <c r="V507" s="555" t="s">
        <v>4341</v>
      </c>
      <c r="W507" s="555" t="s">
        <v>180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3642</v>
      </c>
      <c r="B508" s="79" t="s">
        <v>2184</v>
      </c>
      <c r="C508" s="597" t="s">
        <v>5123</v>
      </c>
      <c r="D508" s="515">
        <v>4459682.0</v>
      </c>
      <c r="E508" s="505" t="s">
        <v>86</v>
      </c>
      <c r="F508" s="505" t="s">
        <v>29</v>
      </c>
      <c r="G508" s="505" t="s">
        <v>110</v>
      </c>
      <c r="H508" s="505">
        <f>IFERROR(VLOOKUP(G508,'Cadastro de assessores'!A:B,2,FALSE),"Não Cadastrado")</f>
        <v>12332</v>
      </c>
      <c r="I508" s="505"/>
      <c r="J508" s="505" t="s">
        <v>88</v>
      </c>
      <c r="K508" s="505" t="s">
        <v>88</v>
      </c>
      <c r="L508" s="515" t="s">
        <v>3659</v>
      </c>
      <c r="M508" s="592">
        <v>44090.0</v>
      </c>
      <c r="N508" s="592">
        <v>44105.0</v>
      </c>
      <c r="O508" s="515"/>
      <c r="P508" s="515" t="s">
        <v>3651</v>
      </c>
      <c r="Q508" s="594">
        <v>0.015</v>
      </c>
      <c r="R508" s="687" t="s">
        <v>5124</v>
      </c>
      <c r="S508" s="595"/>
      <c r="T508" s="515" t="str">
        <f t="shared" si="54"/>
        <v/>
      </c>
      <c r="U508" s="515" t="s">
        <v>89</v>
      </c>
      <c r="V508" s="515" t="s">
        <v>2453</v>
      </c>
      <c r="W508" s="515" t="s">
        <v>29</v>
      </c>
      <c r="X508" s="596" t="s">
        <v>3653</v>
      </c>
      <c r="Y508" s="596" t="s">
        <v>3653</v>
      </c>
      <c r="Z508" s="596" t="s">
        <v>3653</v>
      </c>
      <c r="AA508" s="596" t="s">
        <v>3653</v>
      </c>
      <c r="AB508" s="596" t="s">
        <v>3653</v>
      </c>
      <c r="AC508" s="596" t="s">
        <v>3653</v>
      </c>
      <c r="AD508" s="596" t="s">
        <v>3653</v>
      </c>
      <c r="AE508" s="596" t="s">
        <v>3653</v>
      </c>
      <c r="AF508" s="596" t="s">
        <v>3653</v>
      </c>
      <c r="AG508" s="596" t="s">
        <v>3653</v>
      </c>
      <c r="AH508" s="596" t="s">
        <v>3653</v>
      </c>
      <c r="AI508" s="596" t="s">
        <v>3653</v>
      </c>
      <c r="AJ508" s="596" t="s">
        <v>5125</v>
      </c>
      <c r="AK508" s="596" t="s">
        <v>5126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3642</v>
      </c>
      <c r="B509" s="79" t="s">
        <v>2190</v>
      </c>
      <c r="C509" s="597" t="s">
        <v>2188</v>
      </c>
      <c r="D509" s="515">
        <v>2331277.0</v>
      </c>
      <c r="E509" s="505" t="s">
        <v>18</v>
      </c>
      <c r="F509" s="505" t="s">
        <v>29</v>
      </c>
      <c r="G509" s="505" t="s">
        <v>2633</v>
      </c>
      <c r="H509" s="505" t="str">
        <f>IFERROR(VLOOKUP(G509,'Cadastro de assessores'!A:B,2,FALSE),"Não Cadastrado")</f>
        <v>18236</v>
      </c>
      <c r="I509" s="505"/>
      <c r="J509" s="505" t="s">
        <v>88</v>
      </c>
      <c r="K509" s="505" t="s">
        <v>88</v>
      </c>
      <c r="L509" s="515" t="s">
        <v>3659</v>
      </c>
      <c r="M509" s="592">
        <v>44279.0</v>
      </c>
      <c r="N509" s="592">
        <v>44279.0</v>
      </c>
      <c r="O509" s="515"/>
      <c r="P509" s="515" t="s">
        <v>3664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89</v>
      </c>
      <c r="V509" s="515" t="s">
        <v>4978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3642</v>
      </c>
      <c r="B510" s="79" t="s">
        <v>5127</v>
      </c>
      <c r="C510" s="564" t="s">
        <v>5128</v>
      </c>
      <c r="D510" s="504">
        <v>3600186.0</v>
      </c>
      <c r="E510" s="515" t="s">
        <v>18</v>
      </c>
      <c r="F510" s="504" t="s">
        <v>19</v>
      </c>
      <c r="G510" s="515" t="s">
        <v>3978</v>
      </c>
      <c r="H510" s="515" t="str">
        <f>IFERROR(VLOOKUP(G510,'Cadastro de assessores'!A:B,2,FALSE),"Não Cadastrado")</f>
        <v>14294</v>
      </c>
      <c r="I510" s="515"/>
      <c r="J510" s="598" t="s">
        <v>2393</v>
      </c>
      <c r="K510" s="515" t="s">
        <v>2393</v>
      </c>
      <c r="L510" s="515" t="s">
        <v>3646</v>
      </c>
      <c r="M510" s="600">
        <v>44454.0</v>
      </c>
      <c r="N510" s="600">
        <v>44454.0</v>
      </c>
      <c r="O510" s="554">
        <v>44684.0</v>
      </c>
      <c r="P510" s="555" t="s">
        <v>3657</v>
      </c>
      <c r="Q510" s="594">
        <v>0.007</v>
      </c>
      <c r="R510" s="210" t="s">
        <v>5129</v>
      </c>
      <c r="S510" s="595"/>
      <c r="T510" s="515" t="str">
        <f t="shared" si="54"/>
        <v>Não Qualificado</v>
      </c>
      <c r="U510" s="515" t="s">
        <v>89</v>
      </c>
      <c r="V510" s="555" t="s">
        <v>5130</v>
      </c>
      <c r="W510" s="555" t="s">
        <v>180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2396</v>
      </c>
      <c r="BF510" s="443" t="s">
        <v>2396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3642</v>
      </c>
      <c r="B511" s="79" t="s">
        <v>2205</v>
      </c>
      <c r="C511" s="597" t="s">
        <v>5131</v>
      </c>
      <c r="D511" s="515">
        <v>8521711.0</v>
      </c>
      <c r="E511" s="505" t="s">
        <v>18</v>
      </c>
      <c r="F511" s="505" t="s">
        <v>29</v>
      </c>
      <c r="G511" s="505" t="s">
        <v>137</v>
      </c>
      <c r="H511" s="505">
        <f>IFERROR(VLOOKUP(G511,'Cadastro de assessores'!A:B,2,FALSE),"Não Cadastrado")</f>
        <v>12344</v>
      </c>
      <c r="I511" s="505"/>
      <c r="J511" s="505" t="s">
        <v>88</v>
      </c>
      <c r="K511" s="505" t="s">
        <v>88</v>
      </c>
      <c r="L511" s="515" t="s">
        <v>3659</v>
      </c>
      <c r="M511" s="605">
        <v>44715.0</v>
      </c>
      <c r="N511" s="605">
        <v>44718.0</v>
      </c>
      <c r="O511" s="515"/>
      <c r="P511" s="515" t="s">
        <v>3657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89</v>
      </c>
      <c r="V511" s="515" t="s">
        <v>2482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2396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3642</v>
      </c>
      <c r="B512" s="79" t="s">
        <v>2210</v>
      </c>
      <c r="C512" s="597" t="s">
        <v>2211</v>
      </c>
      <c r="D512" s="515">
        <v>4437315.0</v>
      </c>
      <c r="E512" s="505" t="s">
        <v>86</v>
      </c>
      <c r="F512" s="505" t="s">
        <v>29</v>
      </c>
      <c r="G512" s="505" t="s">
        <v>3702</v>
      </c>
      <c r="H512" s="505" t="str">
        <f>IFERROR(VLOOKUP(G512,'Cadastro de assessores'!A:B,2,FALSE),"Não Cadastrado")</f>
        <v>1441</v>
      </c>
      <c r="I512" s="505"/>
      <c r="J512" s="505" t="s">
        <v>88</v>
      </c>
      <c r="K512" s="505" t="s">
        <v>88</v>
      </c>
      <c r="L512" s="515" t="s">
        <v>3659</v>
      </c>
      <c r="M512" s="592">
        <v>44082.0</v>
      </c>
      <c r="N512" s="592">
        <v>44082.0</v>
      </c>
      <c r="O512" s="515"/>
      <c r="P512" s="515" t="s">
        <v>3647</v>
      </c>
      <c r="Q512" s="594">
        <v>0.02</v>
      </c>
      <c r="R512" s="601" t="s">
        <v>5132</v>
      </c>
      <c r="S512" s="595"/>
      <c r="T512" s="515" t="str">
        <f t="shared" si="54"/>
        <v/>
      </c>
      <c r="U512" s="515" t="s">
        <v>89</v>
      </c>
      <c r="V512" s="515" t="s">
        <v>2432</v>
      </c>
      <c r="W512" s="515" t="s">
        <v>29</v>
      </c>
      <c r="X512" s="596" t="s">
        <v>3653</v>
      </c>
      <c r="Y512" s="596" t="s">
        <v>3653</v>
      </c>
      <c r="Z512" s="596" t="s">
        <v>3653</v>
      </c>
      <c r="AA512" s="596" t="s">
        <v>3653</v>
      </c>
      <c r="AB512" s="596" t="s">
        <v>3653</v>
      </c>
      <c r="AC512" s="596" t="s">
        <v>3653</v>
      </c>
      <c r="AD512" s="596" t="s">
        <v>3653</v>
      </c>
      <c r="AE512" s="596" t="s">
        <v>3653</v>
      </c>
      <c r="AF512" s="596" t="s">
        <v>3653</v>
      </c>
      <c r="AG512" s="596" t="s">
        <v>3653</v>
      </c>
      <c r="AH512" s="596" t="s">
        <v>3653</v>
      </c>
      <c r="AI512" s="596" t="s">
        <v>5133</v>
      </c>
      <c r="AJ512" s="596" t="s">
        <v>5134</v>
      </c>
      <c r="AK512" s="596" t="s">
        <v>5135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3642</v>
      </c>
      <c r="B513" s="79" t="s">
        <v>5136</v>
      </c>
      <c r="C513" s="564" t="s">
        <v>5137</v>
      </c>
      <c r="D513" s="555">
        <v>5917601.0</v>
      </c>
      <c r="E513" s="515" t="s">
        <v>18</v>
      </c>
      <c r="F513" s="504" t="s">
        <v>29</v>
      </c>
      <c r="G513" s="504" t="s">
        <v>3533</v>
      </c>
      <c r="H513" s="504" t="str">
        <f>IFERROR(VLOOKUP(G513,'Cadastro de assessores'!A:B,2,FALSE),"Não Cadastrado")</f>
        <v>18266</v>
      </c>
      <c r="I513" s="504"/>
      <c r="J513" s="598" t="s">
        <v>2393</v>
      </c>
      <c r="K513" s="515" t="s">
        <v>2393</v>
      </c>
      <c r="L513" s="515" t="s">
        <v>3646</v>
      </c>
      <c r="M513" s="600">
        <v>44397.0</v>
      </c>
      <c r="N513" s="600">
        <v>44397.0</v>
      </c>
      <c r="O513" s="554">
        <v>44622.0</v>
      </c>
      <c r="P513" s="555" t="s">
        <v>3664</v>
      </c>
      <c r="Q513" s="594">
        <v>0.025</v>
      </c>
      <c r="R513" s="210" t="s">
        <v>5138</v>
      </c>
      <c r="S513" s="595"/>
      <c r="T513" s="515" t="str">
        <f t="shared" si="54"/>
        <v>Não Qualificado</v>
      </c>
      <c r="U513" s="515" t="s">
        <v>89</v>
      </c>
      <c r="V513" s="515" t="s">
        <v>2453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2396</v>
      </c>
      <c r="BF513" s="443" t="s">
        <v>2396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3642</v>
      </c>
      <c r="B514" s="79" t="s">
        <v>2227</v>
      </c>
      <c r="C514" s="597" t="s">
        <v>5139</v>
      </c>
      <c r="D514" s="515">
        <v>4367434.0</v>
      </c>
      <c r="E514" s="505" t="s">
        <v>86</v>
      </c>
      <c r="F514" s="505" t="s">
        <v>29</v>
      </c>
      <c r="G514" s="505" t="s">
        <v>3913</v>
      </c>
      <c r="H514" s="505" t="str">
        <f>IFERROR(VLOOKUP(G514,'Cadastro de assessores'!A:B,2,FALSE),"Não Cadastrado")</f>
        <v>17243</v>
      </c>
      <c r="I514" s="505"/>
      <c r="J514" s="505" t="s">
        <v>88</v>
      </c>
      <c r="K514" s="505" t="s">
        <v>88</v>
      </c>
      <c r="L514" s="515" t="s">
        <v>3659</v>
      </c>
      <c r="M514" s="593">
        <v>44147.0</v>
      </c>
      <c r="N514" s="593">
        <v>44147.0</v>
      </c>
      <c r="O514" s="515"/>
      <c r="P514" s="515" t="s">
        <v>3664</v>
      </c>
      <c r="Q514" s="594">
        <v>0.025</v>
      </c>
      <c r="R514" s="601" t="s">
        <v>5140</v>
      </c>
      <c r="S514" s="595"/>
      <c r="T514" s="515" t="str">
        <f t="shared" si="54"/>
        <v>Não Qualificado</v>
      </c>
      <c r="U514" s="515" t="s">
        <v>89</v>
      </c>
      <c r="V514" s="515" t="s">
        <v>2432</v>
      </c>
      <c r="W514" s="515" t="s">
        <v>29</v>
      </c>
      <c r="X514" s="596" t="s">
        <v>3653</v>
      </c>
      <c r="Y514" s="596" t="s">
        <v>3653</v>
      </c>
      <c r="Z514" s="596" t="s">
        <v>3653</v>
      </c>
      <c r="AA514" s="596" t="s">
        <v>3653</v>
      </c>
      <c r="AB514" s="596" t="s">
        <v>3653</v>
      </c>
      <c r="AC514" s="596" t="s">
        <v>3653</v>
      </c>
      <c r="AD514" s="596" t="s">
        <v>3653</v>
      </c>
      <c r="AE514" s="596" t="s">
        <v>3653</v>
      </c>
      <c r="AF514" s="596" t="s">
        <v>3653</v>
      </c>
      <c r="AG514" s="596" t="s">
        <v>3653</v>
      </c>
      <c r="AH514" s="596" t="s">
        <v>3653</v>
      </c>
      <c r="AI514" s="596" t="s">
        <v>3653</v>
      </c>
      <c r="AJ514" s="596" t="s">
        <v>3653</v>
      </c>
      <c r="AK514" s="596" t="s">
        <v>5141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3642</v>
      </c>
      <c r="B515" s="79" t="s">
        <v>2230</v>
      </c>
      <c r="C515" s="597" t="s">
        <v>5142</v>
      </c>
      <c r="D515" s="515">
        <v>6163576.0</v>
      </c>
      <c r="E515" s="505" t="s">
        <v>18</v>
      </c>
      <c r="F515" s="505" t="s">
        <v>19</v>
      </c>
      <c r="G515" s="505" t="s">
        <v>201</v>
      </c>
      <c r="H515" s="505" t="str">
        <f>IFERROR(VLOOKUP(G515,'Cadastro de assessores'!A:B,2,FALSE),"Não Cadastrado")</f>
        <v>18890</v>
      </c>
      <c r="I515" s="505"/>
      <c r="J515" s="624" t="s">
        <v>88</v>
      </c>
      <c r="K515" s="505"/>
      <c r="L515" s="624" t="s">
        <v>3659</v>
      </c>
      <c r="M515" s="592"/>
      <c r="N515" s="592">
        <v>44847.0</v>
      </c>
      <c r="O515" s="515"/>
      <c r="P515" s="515" t="s">
        <v>3657</v>
      </c>
      <c r="Q515" s="594">
        <v>0.01</v>
      </c>
      <c r="R515" s="601" t="s">
        <v>5143</v>
      </c>
      <c r="S515" s="595"/>
      <c r="T515" s="515"/>
      <c r="U515" s="515"/>
      <c r="V515" s="515"/>
      <c r="W515" s="515" t="s">
        <v>121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3642</v>
      </c>
      <c r="B516" s="79" t="s">
        <v>5144</v>
      </c>
      <c r="C516" s="597" t="s">
        <v>5145</v>
      </c>
      <c r="D516" s="515">
        <v>4418396.0</v>
      </c>
      <c r="E516" s="505" t="s">
        <v>86</v>
      </c>
      <c r="F516" s="505" t="s">
        <v>29</v>
      </c>
      <c r="G516" s="505" t="s">
        <v>5146</v>
      </c>
      <c r="H516" s="505" t="str">
        <f>IFERROR(VLOOKUP(G516,'Cadastro de assessores'!A:B,2,FALSE),"Não Cadastrado")</f>
        <v>16072</v>
      </c>
      <c r="I516" s="505"/>
      <c r="J516" s="624" t="s">
        <v>3645</v>
      </c>
      <c r="K516" s="505" t="s">
        <v>88</v>
      </c>
      <c r="L516" s="624" t="s">
        <v>3646</v>
      </c>
      <c r="M516" s="592">
        <v>44075.0</v>
      </c>
      <c r="N516" s="592">
        <v>44082.0</v>
      </c>
      <c r="O516" s="515"/>
      <c r="P516" s="515" t="s">
        <v>3647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89</v>
      </c>
      <c r="V516" s="515" t="s">
        <v>2453</v>
      </c>
      <c r="W516" s="515" t="s">
        <v>29</v>
      </c>
      <c r="X516" s="596" t="s">
        <v>3653</v>
      </c>
      <c r="Y516" s="596" t="s">
        <v>3653</v>
      </c>
      <c r="Z516" s="596" t="s">
        <v>3653</v>
      </c>
      <c r="AA516" s="596" t="s">
        <v>3653</v>
      </c>
      <c r="AB516" s="596" t="s">
        <v>3653</v>
      </c>
      <c r="AC516" s="596" t="s">
        <v>3653</v>
      </c>
      <c r="AD516" s="596" t="s">
        <v>3653</v>
      </c>
      <c r="AE516" s="596" t="s">
        <v>3653</v>
      </c>
      <c r="AF516" s="596" t="s">
        <v>3653</v>
      </c>
      <c r="AG516" s="596" t="s">
        <v>3653</v>
      </c>
      <c r="AH516" s="596" t="s">
        <v>3653</v>
      </c>
      <c r="AI516" s="596" t="s">
        <v>5147</v>
      </c>
      <c r="AJ516" s="596" t="s">
        <v>5148</v>
      </c>
      <c r="AK516" s="596" t="s">
        <v>5149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3642</v>
      </c>
      <c r="B517" s="79" t="s">
        <v>5150</v>
      </c>
      <c r="C517" s="597" t="s">
        <v>5151</v>
      </c>
      <c r="D517" s="515">
        <v>2847489.0</v>
      </c>
      <c r="E517" s="515" t="s">
        <v>2379</v>
      </c>
      <c r="F517" s="515" t="s">
        <v>29</v>
      </c>
      <c r="G517" s="515" t="s">
        <v>2379</v>
      </c>
      <c r="H517" s="515" t="str">
        <f>IFERROR(VLOOKUP(G517,'Cadastro de assessores'!A:B,2,FALSE),"Não Cadastrado")</f>
        <v>18986</v>
      </c>
      <c r="I517" s="515"/>
      <c r="J517" s="598" t="s">
        <v>2393</v>
      </c>
      <c r="K517" s="515" t="s">
        <v>2393</v>
      </c>
      <c r="L517" s="515" t="s">
        <v>3646</v>
      </c>
      <c r="M517" s="600">
        <v>43850.0</v>
      </c>
      <c r="N517" s="600">
        <v>43850.0</v>
      </c>
      <c r="O517" s="600">
        <v>44011.0</v>
      </c>
      <c r="P517" s="515" t="s">
        <v>3651</v>
      </c>
      <c r="Q517" s="594">
        <v>0.015</v>
      </c>
      <c r="R517" s="601" t="s">
        <v>5152</v>
      </c>
      <c r="S517" s="595"/>
      <c r="T517" s="515" t="str">
        <f t="shared" si="55"/>
        <v/>
      </c>
      <c r="U517" s="515" t="s">
        <v>89</v>
      </c>
      <c r="V517" s="515" t="s">
        <v>3313</v>
      </c>
      <c r="W517" s="515" t="s">
        <v>29</v>
      </c>
      <c r="X517" s="596" t="s">
        <v>3653</v>
      </c>
      <c r="Y517" s="596" t="s">
        <v>3653</v>
      </c>
      <c r="Z517" s="596" t="s">
        <v>3653</v>
      </c>
      <c r="AA517" s="596" t="s">
        <v>5153</v>
      </c>
      <c r="AB517" s="596" t="s">
        <v>5154</v>
      </c>
      <c r="AC517" s="596" t="s">
        <v>5155</v>
      </c>
      <c r="AD517" s="596" t="s">
        <v>5156</v>
      </c>
      <c r="AE517" s="596" t="s">
        <v>5157</v>
      </c>
      <c r="AF517" s="596" t="s">
        <v>3653</v>
      </c>
      <c r="AG517" s="596" t="s">
        <v>3653</v>
      </c>
      <c r="AH517" s="596" t="s">
        <v>3653</v>
      </c>
      <c r="AI517" s="596"/>
      <c r="AJ517" s="596" t="s">
        <v>3653</v>
      </c>
      <c r="AK517" s="596"/>
      <c r="AL517" s="443"/>
      <c r="AM517" s="443"/>
      <c r="AN517" s="443" t="s">
        <v>2430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2396</v>
      </c>
      <c r="BF517" s="443" t="s">
        <v>2396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3642</v>
      </c>
      <c r="B518" s="79" t="s">
        <v>2233</v>
      </c>
      <c r="C518" s="597" t="s">
        <v>2231</v>
      </c>
      <c r="D518" s="515">
        <v>4879786.0</v>
      </c>
      <c r="E518" s="505" t="s">
        <v>86</v>
      </c>
      <c r="F518" s="505" t="s">
        <v>29</v>
      </c>
      <c r="G518" s="505" t="s">
        <v>3910</v>
      </c>
      <c r="H518" s="505" t="str">
        <f>IFERROR(VLOOKUP(G518,'Cadastro de assessores'!A:B,2,FALSE),"Não Cadastrado")</f>
        <v>15049</v>
      </c>
      <c r="I518" s="505"/>
      <c r="J518" s="505" t="s">
        <v>88</v>
      </c>
      <c r="K518" s="505" t="s">
        <v>88</v>
      </c>
      <c r="L518" s="515" t="s">
        <v>3659</v>
      </c>
      <c r="M518" s="592">
        <v>44251.0</v>
      </c>
      <c r="N518" s="592">
        <v>44251.0</v>
      </c>
      <c r="O518" s="555"/>
      <c r="P518" s="555" t="s">
        <v>3693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89</v>
      </c>
      <c r="V518" s="515" t="s">
        <v>2432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3642</v>
      </c>
      <c r="B519" s="79" t="s">
        <v>2239</v>
      </c>
      <c r="C519" s="564" t="s">
        <v>5158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88</v>
      </c>
      <c r="K519" s="505" t="s">
        <v>88</v>
      </c>
      <c r="L519" s="515" t="s">
        <v>3659</v>
      </c>
      <c r="M519" s="605">
        <v>44665.0</v>
      </c>
      <c r="N519" s="605">
        <v>44665.0</v>
      </c>
      <c r="O519" s="555"/>
      <c r="P519" s="555" t="s">
        <v>3660</v>
      </c>
      <c r="Q519" s="594">
        <v>0.012</v>
      </c>
      <c r="R519" s="601" t="s">
        <v>5159</v>
      </c>
      <c r="S519" s="595"/>
      <c r="T519" s="515" t="str">
        <f t="shared" si="55"/>
        <v/>
      </c>
      <c r="U519" s="515" t="s">
        <v>89</v>
      </c>
      <c r="V519" s="515" t="s">
        <v>2482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3642</v>
      </c>
      <c r="B520" s="79" t="s">
        <v>5160</v>
      </c>
      <c r="C520" s="597" t="s">
        <v>5161</v>
      </c>
      <c r="D520" s="515">
        <v>4548330.0</v>
      </c>
      <c r="E520" s="505" t="s">
        <v>86</v>
      </c>
      <c r="F520" s="505" t="s">
        <v>29</v>
      </c>
      <c r="G520" s="505" t="s">
        <v>3913</v>
      </c>
      <c r="H520" s="505" t="str">
        <f>IFERROR(VLOOKUP(G520,'Cadastro de assessores'!A:B,2,FALSE),"Não Cadastrado")</f>
        <v>17243</v>
      </c>
      <c r="I520" s="505"/>
      <c r="J520" s="505" t="s">
        <v>3645</v>
      </c>
      <c r="K520" s="515" t="s">
        <v>88</v>
      </c>
      <c r="L520" s="515" t="s">
        <v>3646</v>
      </c>
      <c r="M520" s="593">
        <v>44130.0</v>
      </c>
      <c r="N520" s="593">
        <v>44130.0</v>
      </c>
      <c r="O520" s="515"/>
      <c r="P520" s="515" t="s">
        <v>3651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329</v>
      </c>
      <c r="V520" s="515" t="s">
        <v>2395</v>
      </c>
      <c r="W520" s="515" t="s">
        <v>29</v>
      </c>
      <c r="X520" s="596" t="s">
        <v>3653</v>
      </c>
      <c r="Y520" s="596" t="s">
        <v>3653</v>
      </c>
      <c r="Z520" s="596" t="s">
        <v>3653</v>
      </c>
      <c r="AA520" s="596" t="s">
        <v>3653</v>
      </c>
      <c r="AB520" s="596" t="s">
        <v>3653</v>
      </c>
      <c r="AC520" s="596" t="s">
        <v>3653</v>
      </c>
      <c r="AD520" s="596" t="s">
        <v>3653</v>
      </c>
      <c r="AE520" s="596" t="s">
        <v>3653</v>
      </c>
      <c r="AF520" s="596" t="s">
        <v>3653</v>
      </c>
      <c r="AG520" s="596" t="s">
        <v>3653</v>
      </c>
      <c r="AH520" s="596" t="s">
        <v>3653</v>
      </c>
      <c r="AI520" s="596"/>
      <c r="AJ520" s="596" t="s">
        <v>5162</v>
      </c>
      <c r="AK520" s="596" t="s">
        <v>5163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3642</v>
      </c>
      <c r="B521" s="79" t="s">
        <v>5164</v>
      </c>
      <c r="C521" s="597" t="s">
        <v>5165</v>
      </c>
      <c r="D521" s="515">
        <v>4784067.0</v>
      </c>
      <c r="E521" s="515" t="s">
        <v>86</v>
      </c>
      <c r="F521" s="515" t="s">
        <v>29</v>
      </c>
      <c r="G521" s="515" t="s">
        <v>3702</v>
      </c>
      <c r="H521" s="515" t="str">
        <f>IFERROR(VLOOKUP(G521,'Cadastro de assessores'!A:B,2,FALSE),"Não Cadastrado")</f>
        <v>1441</v>
      </c>
      <c r="I521" s="515"/>
      <c r="J521" s="598" t="s">
        <v>2393</v>
      </c>
      <c r="K521" s="515" t="s">
        <v>2393</v>
      </c>
      <c r="L521" s="515" t="s">
        <v>3646</v>
      </c>
      <c r="M521" s="600">
        <v>44215.0</v>
      </c>
      <c r="N521" s="600">
        <v>44215.0</v>
      </c>
      <c r="O521" s="600">
        <v>44291.0</v>
      </c>
      <c r="P521" s="515" t="s">
        <v>3647</v>
      </c>
      <c r="Q521" s="594">
        <v>0.02</v>
      </c>
      <c r="R521" s="601" t="s">
        <v>5166</v>
      </c>
      <c r="S521" s="595"/>
      <c r="T521" s="515" t="str">
        <f t="shared" si="55"/>
        <v/>
      </c>
      <c r="U521" s="555" t="s">
        <v>89</v>
      </c>
      <c r="V521" s="555" t="s">
        <v>2426</v>
      </c>
      <c r="W521" s="515" t="s">
        <v>3732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3653</v>
      </c>
      <c r="AJ521" s="596" t="s">
        <v>5167</v>
      </c>
      <c r="AK521" s="596" t="s">
        <v>5163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2396</v>
      </c>
      <c r="BF521" s="443" t="s">
        <v>2396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3642</v>
      </c>
      <c r="B522" s="79" t="s">
        <v>5168</v>
      </c>
      <c r="C522" s="597" t="s">
        <v>5169</v>
      </c>
      <c r="D522" s="515">
        <v>4809599.0</v>
      </c>
      <c r="E522" s="515" t="s">
        <v>18</v>
      </c>
      <c r="F522" s="504" t="s">
        <v>19</v>
      </c>
      <c r="G522" s="515" t="s">
        <v>230</v>
      </c>
      <c r="H522" s="515" t="str">
        <f>IFERROR(VLOOKUP(G522,'Cadastro de assessores'!A:B,2,FALSE),"Não Cadastrado")</f>
        <v>18009</v>
      </c>
      <c r="I522" s="515"/>
      <c r="J522" s="598" t="s">
        <v>2393</v>
      </c>
      <c r="K522" s="515" t="s">
        <v>2393</v>
      </c>
      <c r="L522" s="515" t="s">
        <v>3646</v>
      </c>
      <c r="M522" s="600">
        <v>44229.0</v>
      </c>
      <c r="N522" s="600">
        <v>44229.0</v>
      </c>
      <c r="O522" s="600">
        <v>44683.0</v>
      </c>
      <c r="P522" s="515" t="s">
        <v>3647</v>
      </c>
      <c r="Q522" s="594">
        <v>0.02</v>
      </c>
      <c r="R522" s="601" t="s">
        <v>5170</v>
      </c>
      <c r="S522" s="595"/>
      <c r="T522" s="515" t="str">
        <f t="shared" si="55"/>
        <v>Não Qualificado</v>
      </c>
      <c r="U522" s="515" t="s">
        <v>89</v>
      </c>
      <c r="V522" s="555" t="s">
        <v>2426</v>
      </c>
      <c r="W522" s="515" t="s">
        <v>3732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2396</v>
      </c>
      <c r="BF522" s="443" t="s">
        <v>2396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3642</v>
      </c>
      <c r="B523" s="79" t="s">
        <v>5168</v>
      </c>
      <c r="C523" s="597" t="s">
        <v>5169</v>
      </c>
      <c r="D523" s="515">
        <v>4900263.0</v>
      </c>
      <c r="E523" s="515" t="s">
        <v>18</v>
      </c>
      <c r="F523" s="504" t="s">
        <v>19</v>
      </c>
      <c r="G523" s="515" t="s">
        <v>230</v>
      </c>
      <c r="H523" s="515" t="str">
        <f>IFERROR(VLOOKUP(G523,'Cadastro de assessores'!A:B,2,FALSE),"Não Cadastrado")</f>
        <v>18009</v>
      </c>
      <c r="I523" s="515"/>
      <c r="J523" s="598" t="s">
        <v>2393</v>
      </c>
      <c r="K523" s="515" t="s">
        <v>2393</v>
      </c>
      <c r="L523" s="515" t="s">
        <v>3646</v>
      </c>
      <c r="M523" s="515" t="s">
        <v>2429</v>
      </c>
      <c r="N523" s="515" t="s">
        <v>2429</v>
      </c>
      <c r="O523" s="600">
        <v>44683.0</v>
      </c>
      <c r="P523" s="555" t="s">
        <v>3693</v>
      </c>
      <c r="Q523" s="594">
        <v>0.008</v>
      </c>
      <c r="R523" s="601" t="s">
        <v>5170</v>
      </c>
      <c r="S523" s="595"/>
      <c r="T523" s="515" t="str">
        <f t="shared" si="55"/>
        <v>Não Qualificado</v>
      </c>
      <c r="U523" s="515" t="s">
        <v>89</v>
      </c>
      <c r="V523" s="555" t="s">
        <v>2426</v>
      </c>
      <c r="W523" s="515" t="s">
        <v>3732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2430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2396</v>
      </c>
      <c r="BF523" s="443" t="s">
        <v>2396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3642</v>
      </c>
      <c r="B524" s="79" t="s">
        <v>5171</v>
      </c>
      <c r="C524" s="564" t="s">
        <v>5172</v>
      </c>
      <c r="D524" s="555">
        <v>4458091.0</v>
      </c>
      <c r="E524" s="505" t="s">
        <v>18</v>
      </c>
      <c r="F524" s="591" t="s">
        <v>29</v>
      </c>
      <c r="G524" s="591" t="s">
        <v>2760</v>
      </c>
      <c r="H524" s="591" t="str">
        <f>IFERROR(VLOOKUP(G524,'Cadastro de assessores'!A:B,2,FALSE),"Não Cadastrado")</f>
        <v>13444</v>
      </c>
      <c r="I524" s="591"/>
      <c r="J524" s="505" t="s">
        <v>88</v>
      </c>
      <c r="K524" s="505" t="s">
        <v>88</v>
      </c>
      <c r="L524" s="515" t="s">
        <v>3659</v>
      </c>
      <c r="M524" s="592">
        <v>44372.0</v>
      </c>
      <c r="N524" s="592">
        <v>44372.0</v>
      </c>
      <c r="O524" s="555"/>
      <c r="P524" s="555" t="s">
        <v>3863</v>
      </c>
      <c r="Q524" s="594">
        <v>0.02</v>
      </c>
      <c r="R524" s="210"/>
      <c r="S524" s="595"/>
      <c r="T524" s="515" t="str">
        <f t="shared" si="55"/>
        <v/>
      </c>
      <c r="U524" s="515" t="s">
        <v>329</v>
      </c>
      <c r="V524" s="555" t="s">
        <v>3864</v>
      </c>
      <c r="W524" s="555" t="s">
        <v>180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3642</v>
      </c>
      <c r="B525" s="79" t="s">
        <v>5173</v>
      </c>
      <c r="C525" s="597" t="s">
        <v>5174</v>
      </c>
      <c r="D525" s="515">
        <v>4729728.0</v>
      </c>
      <c r="E525" s="505" t="s">
        <v>86</v>
      </c>
      <c r="F525" s="505" t="s">
        <v>29</v>
      </c>
      <c r="G525" s="505" t="s">
        <v>3901</v>
      </c>
      <c r="H525" s="505" t="str">
        <f>IFERROR(VLOOKUP(G525,'Cadastro de assessores'!A:B,2,FALSE),"Não Cadastrado")</f>
        <v>19634</v>
      </c>
      <c r="I525" s="505"/>
      <c r="J525" s="598" t="s">
        <v>2393</v>
      </c>
      <c r="K525" s="505" t="s">
        <v>88</v>
      </c>
      <c r="L525" s="515" t="s">
        <v>3659</v>
      </c>
      <c r="M525" s="592">
        <v>44203.0</v>
      </c>
      <c r="N525" s="592">
        <v>44203.0</v>
      </c>
      <c r="O525" s="599">
        <v>44911.0</v>
      </c>
      <c r="P525" s="515" t="s">
        <v>3651</v>
      </c>
      <c r="Q525" s="594">
        <v>0.015</v>
      </c>
      <c r="R525" s="601" t="s">
        <v>5175</v>
      </c>
      <c r="S525" s="595"/>
      <c r="T525" s="515" t="str">
        <f t="shared" si="55"/>
        <v>Não Qualificado</v>
      </c>
      <c r="U525" s="515" t="s">
        <v>89</v>
      </c>
      <c r="V525" s="515" t="s">
        <v>2453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3642</v>
      </c>
      <c r="B526" s="79" t="s">
        <v>5176</v>
      </c>
      <c r="C526" s="564" t="s">
        <v>5177</v>
      </c>
      <c r="D526" s="555">
        <v>6104436.0</v>
      </c>
      <c r="E526" s="515" t="s">
        <v>18</v>
      </c>
      <c r="F526" s="504" t="s">
        <v>19</v>
      </c>
      <c r="G526" s="515" t="s">
        <v>3978</v>
      </c>
      <c r="H526" s="515" t="str">
        <f>IFERROR(VLOOKUP(G526,'Cadastro de assessores'!A:B,2,FALSE),"Não Cadastrado")</f>
        <v>14294</v>
      </c>
      <c r="I526" s="515"/>
      <c r="J526" s="598" t="s">
        <v>2393</v>
      </c>
      <c r="K526" s="515" t="s">
        <v>2393</v>
      </c>
      <c r="L526" s="505" t="s">
        <v>3646</v>
      </c>
      <c r="M526" s="600">
        <v>44420.0</v>
      </c>
      <c r="N526" s="600">
        <v>44420.0</v>
      </c>
      <c r="O526" s="600">
        <v>44812.0</v>
      </c>
      <c r="P526" s="515" t="s">
        <v>3660</v>
      </c>
      <c r="Q526" s="594">
        <v>0.012</v>
      </c>
      <c r="R526" s="210" t="s">
        <v>5178</v>
      </c>
      <c r="S526" s="595"/>
      <c r="T526" s="515" t="str">
        <f t="shared" si="55"/>
        <v>Não Qualificado</v>
      </c>
      <c r="U526" s="515" t="s">
        <v>89</v>
      </c>
      <c r="V526" s="555" t="s">
        <v>2426</v>
      </c>
      <c r="W526" s="515" t="s">
        <v>3732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3642</v>
      </c>
      <c r="B527" s="79" t="s">
        <v>5179</v>
      </c>
      <c r="C527" s="597" t="s">
        <v>5180</v>
      </c>
      <c r="D527" s="515">
        <v>3608409.0</v>
      </c>
      <c r="E527" s="515" t="s">
        <v>86</v>
      </c>
      <c r="F527" s="515" t="s">
        <v>29</v>
      </c>
      <c r="G527" s="515" t="s">
        <v>3972</v>
      </c>
      <c r="H527" s="515" t="str">
        <f>IFERROR(VLOOKUP(G527,'Cadastro de assessores'!A:B,2,FALSE),"Não Cadastrado")</f>
        <v>17489</v>
      </c>
      <c r="I527" s="515"/>
      <c r="J527" s="598" t="s">
        <v>2393</v>
      </c>
      <c r="K527" s="515" t="s">
        <v>2393</v>
      </c>
      <c r="L527" s="515" t="s">
        <v>3646</v>
      </c>
      <c r="M527" s="600">
        <v>44092.0</v>
      </c>
      <c r="N527" s="600">
        <v>44092.0</v>
      </c>
      <c r="O527" s="599">
        <v>44490.0</v>
      </c>
      <c r="P527" s="515" t="s">
        <v>3647</v>
      </c>
      <c r="Q527" s="594">
        <v>0.02</v>
      </c>
      <c r="R527" s="601" t="s">
        <v>5181</v>
      </c>
      <c r="S527" s="595"/>
      <c r="T527" s="515" t="str">
        <f t="shared" si="55"/>
        <v>Não Qualificado</v>
      </c>
      <c r="U527" s="515" t="s">
        <v>89</v>
      </c>
      <c r="V527" s="515" t="s">
        <v>2421</v>
      </c>
      <c r="W527" s="515" t="s">
        <v>29</v>
      </c>
      <c r="X527" s="596" t="s">
        <v>3653</v>
      </c>
      <c r="Y527" s="596" t="s">
        <v>3653</v>
      </c>
      <c r="Z527" s="596" t="s">
        <v>3653</v>
      </c>
      <c r="AA527" s="596" t="s">
        <v>3653</v>
      </c>
      <c r="AB527" s="596" t="s">
        <v>3653</v>
      </c>
      <c r="AC527" s="596" t="s">
        <v>3653</v>
      </c>
      <c r="AD527" s="596" t="s">
        <v>3653</v>
      </c>
      <c r="AE527" s="596" t="s">
        <v>3653</v>
      </c>
      <c r="AF527" s="596" t="s">
        <v>3653</v>
      </c>
      <c r="AG527" s="596" t="s">
        <v>3653</v>
      </c>
      <c r="AH527" s="596" t="s">
        <v>3653</v>
      </c>
      <c r="AI527" s="596" t="s">
        <v>5182</v>
      </c>
      <c r="AJ527" s="596" t="s">
        <v>5183</v>
      </c>
      <c r="AK527" s="596" t="s">
        <v>5184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2396</v>
      </c>
      <c r="BF527" s="443" t="s">
        <v>2396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3642</v>
      </c>
      <c r="B528" s="79" t="s">
        <v>5185</v>
      </c>
      <c r="C528" s="688" t="s">
        <v>5186</v>
      </c>
      <c r="D528" s="515">
        <v>4465050.0</v>
      </c>
      <c r="E528" s="505" t="s">
        <v>18</v>
      </c>
      <c r="F528" s="505" t="s">
        <v>19</v>
      </c>
      <c r="G528" s="505" t="s">
        <v>230</v>
      </c>
      <c r="H528" s="505" t="str">
        <f>IFERROR(VLOOKUP(G528,'Cadastro de assessores'!A:B,2,FALSE),"Não Cadastrado")</f>
        <v>18009</v>
      </c>
      <c r="I528" s="505"/>
      <c r="J528" s="598" t="s">
        <v>2393</v>
      </c>
      <c r="K528" s="515" t="s">
        <v>2393</v>
      </c>
      <c r="L528" s="515" t="s">
        <v>3659</v>
      </c>
      <c r="M528" s="592">
        <v>44103.0</v>
      </c>
      <c r="N528" s="592">
        <v>44104.0</v>
      </c>
      <c r="O528" s="515"/>
      <c r="P528" s="515" t="s">
        <v>3651</v>
      </c>
      <c r="Q528" s="594">
        <v>0.015</v>
      </c>
      <c r="R528" s="685" t="s">
        <v>5187</v>
      </c>
      <c r="S528" s="595"/>
      <c r="T528" s="515" t="str">
        <f t="shared" si="55"/>
        <v/>
      </c>
      <c r="U528" s="515" t="s">
        <v>89</v>
      </c>
      <c r="V528" s="515" t="s">
        <v>2453</v>
      </c>
      <c r="W528" s="515" t="s">
        <v>29</v>
      </c>
      <c r="X528" s="596" t="s">
        <v>3653</v>
      </c>
      <c r="Y528" s="596" t="s">
        <v>3653</v>
      </c>
      <c r="Z528" s="596" t="s">
        <v>3653</v>
      </c>
      <c r="AA528" s="596" t="s">
        <v>3653</v>
      </c>
      <c r="AB528" s="596" t="s">
        <v>3653</v>
      </c>
      <c r="AC528" s="596" t="s">
        <v>3653</v>
      </c>
      <c r="AD528" s="596" t="s">
        <v>3653</v>
      </c>
      <c r="AE528" s="596" t="s">
        <v>3653</v>
      </c>
      <c r="AF528" s="596" t="s">
        <v>3653</v>
      </c>
      <c r="AG528" s="596" t="s">
        <v>3653</v>
      </c>
      <c r="AH528" s="596" t="s">
        <v>3653</v>
      </c>
      <c r="AI528" s="596" t="s">
        <v>5188</v>
      </c>
      <c r="AJ528" s="596" t="s">
        <v>5189</v>
      </c>
      <c r="AK528" s="596" t="s">
        <v>5190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3642</v>
      </c>
      <c r="B529" s="79" t="s">
        <v>5191</v>
      </c>
      <c r="C529" s="564" t="s">
        <v>5192</v>
      </c>
      <c r="D529" s="555">
        <v>5678151.0</v>
      </c>
      <c r="E529" s="515" t="s">
        <v>86</v>
      </c>
      <c r="F529" s="504" t="s">
        <v>29</v>
      </c>
      <c r="G529" s="504" t="s">
        <v>4293</v>
      </c>
      <c r="H529" s="504" t="str">
        <f>IFERROR(VLOOKUP(G529,'Cadastro de assessores'!A:B,2,FALSE),"Não Cadastrado")</f>
        <v>14091</v>
      </c>
      <c r="I529" s="504"/>
      <c r="J529" s="598" t="s">
        <v>2393</v>
      </c>
      <c r="K529" s="515" t="s">
        <v>2393</v>
      </c>
      <c r="L529" s="515" t="s">
        <v>3646</v>
      </c>
      <c r="M529" s="600">
        <v>44397.0</v>
      </c>
      <c r="N529" s="600">
        <v>44397.0</v>
      </c>
      <c r="O529" s="600">
        <v>44473.0</v>
      </c>
      <c r="P529" s="515" t="s">
        <v>3660</v>
      </c>
      <c r="Q529" s="594">
        <v>0.012</v>
      </c>
      <c r="R529" s="601" t="s">
        <v>3679</v>
      </c>
      <c r="S529" s="595"/>
      <c r="T529" s="515" t="str">
        <f t="shared" si="55"/>
        <v>Não Qualificado</v>
      </c>
      <c r="U529" s="555" t="s">
        <v>329</v>
      </c>
      <c r="V529" s="555" t="s">
        <v>2453</v>
      </c>
      <c r="W529" s="555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2396</v>
      </c>
      <c r="BF529" s="443" t="s">
        <v>2396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3642</v>
      </c>
      <c r="B530" s="79" t="s">
        <v>5193</v>
      </c>
      <c r="C530" s="569" t="s">
        <v>5194</v>
      </c>
      <c r="D530" s="608">
        <v>2129230.0</v>
      </c>
      <c r="E530" s="505" t="s">
        <v>18</v>
      </c>
      <c r="F530" s="591" t="s">
        <v>29</v>
      </c>
      <c r="G530" s="608" t="s">
        <v>3533</v>
      </c>
      <c r="H530" s="608" t="str">
        <f>IFERROR(VLOOKUP(G530,'Cadastro de assessores'!A:B,2,FALSE),"Não Cadastrado")</f>
        <v>18266</v>
      </c>
      <c r="I530" s="608"/>
      <c r="J530" s="555" t="s">
        <v>88</v>
      </c>
      <c r="K530" s="555" t="s">
        <v>88</v>
      </c>
      <c r="L530" s="555" t="s">
        <v>3659</v>
      </c>
      <c r="M530" s="592">
        <v>44426.0</v>
      </c>
      <c r="N530" s="592">
        <v>44426.0</v>
      </c>
      <c r="O530" s="608"/>
      <c r="P530" s="608" t="s">
        <v>3664</v>
      </c>
      <c r="Q530" s="610">
        <v>0.025</v>
      </c>
      <c r="R530" s="689" t="s">
        <v>5195</v>
      </c>
      <c r="S530" s="595"/>
      <c r="T530" s="515" t="str">
        <f t="shared" si="55"/>
        <v>Qualificado</v>
      </c>
      <c r="U530" s="555" t="s">
        <v>89</v>
      </c>
      <c r="V530" s="555" t="s">
        <v>2494</v>
      </c>
      <c r="W530" s="555" t="s">
        <v>715</v>
      </c>
      <c r="X530" s="690"/>
      <c r="Y530" s="690"/>
      <c r="Z530" s="690"/>
      <c r="AA530" s="690"/>
      <c r="AB530" s="690"/>
      <c r="AC530" s="690"/>
      <c r="AD530" s="690"/>
      <c r="AE530" s="690"/>
      <c r="AF530" s="690"/>
      <c r="AG530" s="690"/>
      <c r="AH530" s="690"/>
      <c r="AI530" s="690"/>
      <c r="AJ530" s="664"/>
      <c r="AK530" s="664"/>
      <c r="AL530" s="664"/>
      <c r="AM530" s="664"/>
      <c r="AN530" s="664"/>
      <c r="AO530" s="664"/>
      <c r="AP530" s="690"/>
      <c r="AQ530" s="691"/>
      <c r="AR530" s="664"/>
      <c r="AS530" s="690"/>
      <c r="AT530" s="690"/>
      <c r="AU530" s="691"/>
      <c r="AV530" s="691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3642</v>
      </c>
      <c r="B531" s="79" t="s">
        <v>2292</v>
      </c>
      <c r="C531" s="564" t="s">
        <v>5196</v>
      </c>
      <c r="D531" s="555">
        <v>417444.0</v>
      </c>
      <c r="E531" s="505" t="s">
        <v>18</v>
      </c>
      <c r="F531" s="505" t="s">
        <v>29</v>
      </c>
      <c r="G531" s="505" t="s">
        <v>3533</v>
      </c>
      <c r="H531" s="505" t="str">
        <f>IFERROR(VLOOKUP(G531,'Cadastro de assessores'!A:B,2,FALSE),"Não Cadastrado")</f>
        <v>18266</v>
      </c>
      <c r="I531" s="505"/>
      <c r="J531" s="555" t="s">
        <v>88</v>
      </c>
      <c r="K531" s="555" t="s">
        <v>88</v>
      </c>
      <c r="L531" s="515" t="s">
        <v>3659</v>
      </c>
      <c r="M531" s="592">
        <v>44329.0</v>
      </c>
      <c r="N531" s="592">
        <v>44344.0</v>
      </c>
      <c r="O531" s="555"/>
      <c r="P531" s="555" t="s">
        <v>3693</v>
      </c>
      <c r="Q531" s="594">
        <v>0.008</v>
      </c>
      <c r="R531" s="210"/>
      <c r="S531" s="595"/>
      <c r="T531" s="515" t="str">
        <f t="shared" si="55"/>
        <v>Não Qualificado</v>
      </c>
      <c r="U531" s="555" t="s">
        <v>89</v>
      </c>
      <c r="V531" s="555" t="s">
        <v>2494</v>
      </c>
      <c r="W531" s="555" t="s">
        <v>715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3642</v>
      </c>
      <c r="B532" s="79" t="s">
        <v>5197</v>
      </c>
      <c r="C532" s="564" t="s">
        <v>5198</v>
      </c>
      <c r="D532" s="555">
        <v>4841689.0</v>
      </c>
      <c r="E532" s="505" t="s">
        <v>18</v>
      </c>
      <c r="F532" s="591" t="s">
        <v>19</v>
      </c>
      <c r="G532" s="505" t="s">
        <v>230</v>
      </c>
      <c r="H532" s="505" t="str">
        <f>IFERROR(VLOOKUP(G532,'Cadastro de assessores'!A:B,2,FALSE),"Não Cadastrado")</f>
        <v>18009</v>
      </c>
      <c r="I532" s="505"/>
      <c r="J532" s="624" t="s">
        <v>88</v>
      </c>
      <c r="K532" s="624" t="s">
        <v>88</v>
      </c>
      <c r="L532" s="624" t="s">
        <v>4987</v>
      </c>
      <c r="M532" s="592">
        <v>44256.0</v>
      </c>
      <c r="N532" s="592">
        <v>44256.0</v>
      </c>
      <c r="O532" s="555"/>
      <c r="P532" s="555" t="s">
        <v>3647</v>
      </c>
      <c r="Q532" s="594">
        <v>0.02</v>
      </c>
      <c r="R532" s="601" t="s">
        <v>5199</v>
      </c>
      <c r="S532" s="595"/>
      <c r="T532" s="515" t="str">
        <f t="shared" si="55"/>
        <v/>
      </c>
      <c r="U532" s="515" t="s">
        <v>89</v>
      </c>
      <c r="V532" s="515" t="s">
        <v>2449</v>
      </c>
      <c r="W532" s="515" t="s">
        <v>121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2430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3642</v>
      </c>
      <c r="B533" s="79" t="s">
        <v>2298</v>
      </c>
      <c r="C533" s="564" t="s">
        <v>5200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5" t="s">
        <v>88</v>
      </c>
      <c r="K533" s="555" t="s">
        <v>88</v>
      </c>
      <c r="L533" s="555" t="s">
        <v>3659</v>
      </c>
      <c r="M533" s="605">
        <v>44651.0</v>
      </c>
      <c r="N533" s="605">
        <v>44655.0</v>
      </c>
      <c r="O533" s="608"/>
      <c r="P533" s="608" t="s">
        <v>3657</v>
      </c>
      <c r="Q533" s="610">
        <v>0.007</v>
      </c>
      <c r="R533" s="689"/>
      <c r="S533" s="595"/>
      <c r="T533" s="515" t="str">
        <f t="shared" si="55"/>
        <v/>
      </c>
      <c r="U533" s="515" t="s">
        <v>89</v>
      </c>
      <c r="V533" s="515" t="s">
        <v>2482</v>
      </c>
      <c r="W533" s="515" t="s">
        <v>19</v>
      </c>
      <c r="X533" s="690"/>
      <c r="Y533" s="690"/>
      <c r="Z533" s="690"/>
      <c r="AA533" s="690"/>
      <c r="AB533" s="690"/>
      <c r="AC533" s="690"/>
      <c r="AD533" s="690"/>
      <c r="AE533" s="690"/>
      <c r="AF533" s="690"/>
      <c r="AG533" s="690"/>
      <c r="AH533" s="690"/>
      <c r="AI533" s="690"/>
      <c r="AJ533" s="664"/>
      <c r="AK533" s="664"/>
      <c r="AL533" s="664"/>
      <c r="AM533" s="664"/>
      <c r="AN533" s="664"/>
      <c r="AO533" s="664"/>
      <c r="AP533" s="690"/>
      <c r="AQ533" s="691"/>
      <c r="AR533" s="664"/>
      <c r="AS533" s="690"/>
      <c r="AT533" s="690"/>
      <c r="AU533" s="691"/>
      <c r="AV533" s="691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3642</v>
      </c>
      <c r="B534" s="79" t="s">
        <v>2321</v>
      </c>
      <c r="C534" s="564" t="s">
        <v>5201</v>
      </c>
      <c r="D534" s="604">
        <v>2897612.0</v>
      </c>
      <c r="E534" s="505" t="s">
        <v>18</v>
      </c>
      <c r="F534" s="505" t="s">
        <v>5202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5" t="s">
        <v>88</v>
      </c>
      <c r="K534" s="555" t="s">
        <v>88</v>
      </c>
      <c r="L534" s="555" t="s">
        <v>3659</v>
      </c>
      <c r="M534" s="605">
        <v>44812.0</v>
      </c>
      <c r="N534" s="605">
        <v>44812.0</v>
      </c>
      <c r="O534" s="608"/>
      <c r="P534" s="608" t="s">
        <v>3660</v>
      </c>
      <c r="Q534" s="610">
        <v>0.012</v>
      </c>
      <c r="R534" s="689" t="s">
        <v>4388</v>
      </c>
      <c r="S534" s="595"/>
      <c r="T534" s="515"/>
      <c r="U534" s="515"/>
      <c r="V534" s="515"/>
      <c r="W534" s="515" t="s">
        <v>121</v>
      </c>
      <c r="X534" s="690"/>
      <c r="Y534" s="690"/>
      <c r="Z534" s="690"/>
      <c r="AA534" s="690"/>
      <c r="AB534" s="690"/>
      <c r="AC534" s="690"/>
      <c r="AD534" s="690"/>
      <c r="AE534" s="690"/>
      <c r="AF534" s="690"/>
      <c r="AG534" s="690"/>
      <c r="AH534" s="690"/>
      <c r="AI534" s="690"/>
      <c r="AJ534" s="664"/>
      <c r="AK534" s="664"/>
      <c r="AL534" s="664"/>
      <c r="AM534" s="664"/>
      <c r="AN534" s="664"/>
      <c r="AO534" s="664"/>
      <c r="AP534" s="690"/>
      <c r="AQ534" s="691"/>
      <c r="AR534" s="664"/>
      <c r="AS534" s="690"/>
      <c r="AT534" s="690"/>
      <c r="AU534" s="691"/>
      <c r="AV534" s="691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3642</v>
      </c>
      <c r="B535" s="79" t="s">
        <v>5203</v>
      </c>
      <c r="C535" s="597" t="s">
        <v>5204</v>
      </c>
      <c r="D535" s="515">
        <v>4424587.0</v>
      </c>
      <c r="E535" s="515" t="s">
        <v>18</v>
      </c>
      <c r="F535" s="515" t="s">
        <v>29</v>
      </c>
      <c r="G535" s="515" t="s">
        <v>3650</v>
      </c>
      <c r="H535" s="515" t="str">
        <f>IFERROR(VLOOKUP(G535,'Cadastro de assessores'!A:B,2,FALSE),"Não Cadastrado")</f>
        <v>17679</v>
      </c>
      <c r="I535" s="515"/>
      <c r="J535" s="598" t="s">
        <v>2393</v>
      </c>
      <c r="K535" s="515" t="s">
        <v>2393</v>
      </c>
      <c r="L535" s="515" t="s">
        <v>3646</v>
      </c>
      <c r="M535" s="600">
        <v>44088.0</v>
      </c>
      <c r="N535" s="600">
        <v>44088.0</v>
      </c>
      <c r="O535" s="600">
        <v>44460.0</v>
      </c>
      <c r="P535" s="515" t="s">
        <v>3664</v>
      </c>
      <c r="Q535" s="594">
        <v>0.025</v>
      </c>
      <c r="R535" s="601" t="s">
        <v>5205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89</v>
      </c>
      <c r="V535" s="515" t="s">
        <v>2505</v>
      </c>
      <c r="W535" s="515" t="s">
        <v>29</v>
      </c>
      <c r="X535" s="596" t="s">
        <v>3653</v>
      </c>
      <c r="Y535" s="596" t="s">
        <v>3653</v>
      </c>
      <c r="Z535" s="596" t="s">
        <v>3653</v>
      </c>
      <c r="AA535" s="596" t="s">
        <v>3653</v>
      </c>
      <c r="AB535" s="596" t="s">
        <v>3653</v>
      </c>
      <c r="AC535" s="596" t="s">
        <v>3653</v>
      </c>
      <c r="AD535" s="596" t="s">
        <v>3653</v>
      </c>
      <c r="AE535" s="596" t="s">
        <v>3653</v>
      </c>
      <c r="AF535" s="596" t="s">
        <v>3653</v>
      </c>
      <c r="AG535" s="596" t="s">
        <v>3653</v>
      </c>
      <c r="AH535" s="596" t="s">
        <v>3653</v>
      </c>
      <c r="AI535" s="596" t="s">
        <v>5206</v>
      </c>
      <c r="AJ535" s="596" t="s">
        <v>5207</v>
      </c>
      <c r="AK535" s="596" t="s">
        <v>5208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2396</v>
      </c>
      <c r="BF535" s="443" t="s">
        <v>2396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3642</v>
      </c>
      <c r="B536" s="79" t="s">
        <v>5209</v>
      </c>
      <c r="C536" s="597" t="s">
        <v>5210</v>
      </c>
      <c r="D536" s="515">
        <v>480283.0</v>
      </c>
      <c r="E536" s="515" t="s">
        <v>18</v>
      </c>
      <c r="F536" s="515" t="s">
        <v>29</v>
      </c>
      <c r="G536" s="515" t="s">
        <v>4143</v>
      </c>
      <c r="H536" s="515" t="str">
        <f>IFERROR(VLOOKUP(G536,'Cadastro de assessores'!A:B,2,FALSE),"Não Cadastrado")</f>
        <v>12846</v>
      </c>
      <c r="I536" s="515"/>
      <c r="J536" s="598" t="s">
        <v>2393</v>
      </c>
      <c r="K536" s="515" t="s">
        <v>2393</v>
      </c>
      <c r="L536" s="515" t="s">
        <v>3646</v>
      </c>
      <c r="M536" s="600">
        <v>44166.0</v>
      </c>
      <c r="N536" s="600">
        <v>44166.0</v>
      </c>
      <c r="O536" s="600">
        <v>44378.0</v>
      </c>
      <c r="P536" s="515" t="s">
        <v>3651</v>
      </c>
      <c r="Q536" s="594">
        <v>0.012</v>
      </c>
      <c r="R536" s="601" t="s">
        <v>4144</v>
      </c>
      <c r="S536" s="595"/>
      <c r="T536" s="515" t="str">
        <f t="shared" si="56"/>
        <v/>
      </c>
      <c r="U536" s="515" t="s">
        <v>89</v>
      </c>
      <c r="V536" s="515" t="s">
        <v>2444</v>
      </c>
      <c r="W536" s="515" t="s">
        <v>29</v>
      </c>
      <c r="X536" s="596" t="s">
        <v>3653</v>
      </c>
      <c r="Y536" s="596" t="s">
        <v>3653</v>
      </c>
      <c r="Z536" s="596" t="s">
        <v>3653</v>
      </c>
      <c r="AA536" s="596" t="s">
        <v>3653</v>
      </c>
      <c r="AB536" s="596" t="s">
        <v>3653</v>
      </c>
      <c r="AC536" s="596" t="s">
        <v>3653</v>
      </c>
      <c r="AD536" s="596" t="s">
        <v>3653</v>
      </c>
      <c r="AE536" s="596" t="s">
        <v>3653</v>
      </c>
      <c r="AF536" s="596" t="s">
        <v>3653</v>
      </c>
      <c r="AG536" s="596" t="s">
        <v>3653</v>
      </c>
      <c r="AH536" s="596" t="s">
        <v>3653</v>
      </c>
      <c r="AI536" s="596" t="s">
        <v>3653</v>
      </c>
      <c r="AJ536" s="596" t="s">
        <v>3653</v>
      </c>
      <c r="AK536" s="596" t="s">
        <v>3653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2396</v>
      </c>
      <c r="BF536" s="443" t="s">
        <v>2396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3642</v>
      </c>
      <c r="B537" s="79" t="s">
        <v>2330</v>
      </c>
      <c r="C537" s="597" t="s">
        <v>2328</v>
      </c>
      <c r="D537" s="515">
        <v>2049496.0</v>
      </c>
      <c r="E537" s="505" t="s">
        <v>2379</v>
      </c>
      <c r="F537" s="505" t="s">
        <v>29</v>
      </c>
      <c r="G537" s="505" t="s">
        <v>2379</v>
      </c>
      <c r="H537" s="505" t="str">
        <f>IFERROR(VLOOKUP(G537,'Cadastro de assessores'!A:B,2,FALSE),"Não Cadastrado")</f>
        <v>18986</v>
      </c>
      <c r="I537" s="505"/>
      <c r="J537" s="505" t="s">
        <v>88</v>
      </c>
      <c r="K537" s="505" t="s">
        <v>88</v>
      </c>
      <c r="L537" s="515" t="s">
        <v>3659</v>
      </c>
      <c r="M537" s="592">
        <v>43655.0</v>
      </c>
      <c r="N537" s="592">
        <v>43696.0</v>
      </c>
      <c r="O537" s="515"/>
      <c r="P537" s="515" t="s">
        <v>4033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89</v>
      </c>
      <c r="V537" s="515" t="s">
        <v>2505</v>
      </c>
      <c r="W537" s="515" t="s">
        <v>29</v>
      </c>
      <c r="X537" s="596" t="s">
        <v>5211</v>
      </c>
      <c r="Y537" s="596"/>
      <c r="Z537" s="596" t="s">
        <v>5212</v>
      </c>
      <c r="AA537" s="596" t="s">
        <v>5213</v>
      </c>
      <c r="AB537" s="596" t="s">
        <v>5214</v>
      </c>
      <c r="AC537" s="596" t="s">
        <v>5215</v>
      </c>
      <c r="AD537" s="596" t="s">
        <v>5216</v>
      </c>
      <c r="AE537" s="596" t="s">
        <v>5217</v>
      </c>
      <c r="AF537" s="596" t="s">
        <v>5218</v>
      </c>
      <c r="AG537" s="596" t="s">
        <v>5219</v>
      </c>
      <c r="AH537" s="596" t="s">
        <v>5220</v>
      </c>
      <c r="AI537" s="596" t="s">
        <v>5221</v>
      </c>
      <c r="AJ537" s="596" t="s">
        <v>5222</v>
      </c>
      <c r="AK537" s="596" t="s">
        <v>5223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3642</v>
      </c>
      <c r="B538" s="79" t="s">
        <v>5224</v>
      </c>
      <c r="C538" s="127" t="s">
        <v>5225</v>
      </c>
      <c r="D538" s="608">
        <v>7086435.0</v>
      </c>
      <c r="E538" s="505" t="s">
        <v>18</v>
      </c>
      <c r="F538" s="505" t="s">
        <v>29</v>
      </c>
      <c r="G538" s="505" t="s">
        <v>761</v>
      </c>
      <c r="H538" s="505">
        <f>IFERROR(VLOOKUP(G538,'Cadastro de assessores'!A:B,2,FALSE),"Não Cadastrado")</f>
        <v>12342</v>
      </c>
      <c r="I538" s="505"/>
      <c r="J538" s="505" t="s">
        <v>88</v>
      </c>
      <c r="K538" s="505" t="s">
        <v>88</v>
      </c>
      <c r="L538" s="515" t="s">
        <v>3659</v>
      </c>
      <c r="M538" s="593">
        <v>44510.0</v>
      </c>
      <c r="N538" s="593">
        <v>44517.0</v>
      </c>
      <c r="O538" s="555"/>
      <c r="P538" s="555" t="s">
        <v>3651</v>
      </c>
      <c r="Q538" s="594">
        <v>0.015</v>
      </c>
      <c r="R538" s="475" t="s">
        <v>5226</v>
      </c>
      <c r="S538" s="595"/>
      <c r="T538" s="515" t="str">
        <f t="shared" si="56"/>
        <v/>
      </c>
      <c r="U538" s="555" t="s">
        <v>89</v>
      </c>
      <c r="V538" s="555" t="s">
        <v>2486</v>
      </c>
      <c r="W538" s="555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3642</v>
      </c>
      <c r="B539" s="79" t="s">
        <v>5227</v>
      </c>
      <c r="C539" s="564" t="s">
        <v>5228</v>
      </c>
      <c r="D539" s="591">
        <v>226343.0</v>
      </c>
      <c r="E539" s="505" t="s">
        <v>18</v>
      </c>
      <c r="F539" s="591" t="s">
        <v>19</v>
      </c>
      <c r="G539" s="505" t="s">
        <v>3978</v>
      </c>
      <c r="H539" s="505" t="str">
        <f>IFERROR(VLOOKUP(G539,'Cadastro de assessores'!A:B,2,FALSE),"Não Cadastrado")</f>
        <v>14294</v>
      </c>
      <c r="I539" s="505"/>
      <c r="J539" s="624" t="s">
        <v>3645</v>
      </c>
      <c r="K539" s="624" t="s">
        <v>88</v>
      </c>
      <c r="L539" s="624" t="s">
        <v>3646</v>
      </c>
      <c r="M539" s="592">
        <v>44452.0</v>
      </c>
      <c r="N539" s="592">
        <v>44469.0</v>
      </c>
      <c r="O539" s="555"/>
      <c r="P539" s="555" t="s">
        <v>3647</v>
      </c>
      <c r="Q539" s="594">
        <v>0.02</v>
      </c>
      <c r="R539" s="210" t="s">
        <v>4340</v>
      </c>
      <c r="S539" s="595"/>
      <c r="T539" s="515" t="str">
        <f t="shared" si="56"/>
        <v>Não Qualificado</v>
      </c>
      <c r="U539" s="555" t="s">
        <v>89</v>
      </c>
      <c r="V539" s="555" t="s">
        <v>4341</v>
      </c>
      <c r="W539" s="555" t="s">
        <v>180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3642</v>
      </c>
      <c r="B540" s="79" t="s">
        <v>2339</v>
      </c>
      <c r="C540" s="597" t="s">
        <v>5229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88</v>
      </c>
      <c r="K540" s="515" t="s">
        <v>116</v>
      </c>
      <c r="L540" s="515" t="s">
        <v>3659</v>
      </c>
      <c r="M540" s="505" t="s">
        <v>2430</v>
      </c>
      <c r="N540" s="593">
        <v>44848.0</v>
      </c>
      <c r="O540" s="515"/>
      <c r="P540" s="515" t="s">
        <v>3657</v>
      </c>
      <c r="Q540" s="594">
        <v>0.007</v>
      </c>
      <c r="R540" s="601"/>
      <c r="S540" s="595"/>
      <c r="T540" s="515"/>
      <c r="U540" s="515" t="s">
        <v>89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3642</v>
      </c>
      <c r="B541" s="79" t="s">
        <v>5230</v>
      </c>
      <c r="C541" s="597" t="s">
        <v>5231</v>
      </c>
      <c r="D541" s="515">
        <v>2694253.0</v>
      </c>
      <c r="E541" s="505" t="s">
        <v>86</v>
      </c>
      <c r="F541" s="505" t="s">
        <v>29</v>
      </c>
      <c r="G541" s="505" t="s">
        <v>3913</v>
      </c>
      <c r="H541" s="505" t="str">
        <f>IFERROR(VLOOKUP(G541,'Cadastro de assessores'!A:B,2,FALSE),"Não Cadastrado")</f>
        <v>17243</v>
      </c>
      <c r="I541" s="505"/>
      <c r="J541" s="505" t="s">
        <v>88</v>
      </c>
      <c r="K541" s="505" t="s">
        <v>88</v>
      </c>
      <c r="L541" s="515" t="s">
        <v>3659</v>
      </c>
      <c r="M541" s="593">
        <v>44134.0</v>
      </c>
      <c r="N541" s="593">
        <v>44134.0</v>
      </c>
      <c r="O541" s="515"/>
      <c r="P541" s="515" t="s">
        <v>3647</v>
      </c>
      <c r="Q541" s="594">
        <v>0.02</v>
      </c>
      <c r="R541" s="601" t="s">
        <v>5232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329</v>
      </c>
      <c r="V541" s="515" t="s">
        <v>2421</v>
      </c>
      <c r="W541" s="515" t="s">
        <v>29</v>
      </c>
      <c r="X541" s="596" t="s">
        <v>3653</v>
      </c>
      <c r="Y541" s="596" t="s">
        <v>3653</v>
      </c>
      <c r="Z541" s="596" t="s">
        <v>3653</v>
      </c>
      <c r="AA541" s="596" t="s">
        <v>3653</v>
      </c>
      <c r="AB541" s="596" t="s">
        <v>3653</v>
      </c>
      <c r="AC541" s="596" t="s">
        <v>3653</v>
      </c>
      <c r="AD541" s="596" t="s">
        <v>3653</v>
      </c>
      <c r="AE541" s="596" t="s">
        <v>3653</v>
      </c>
      <c r="AF541" s="596" t="s">
        <v>3653</v>
      </c>
      <c r="AG541" s="596" t="s">
        <v>3653</v>
      </c>
      <c r="AH541" s="596" t="s">
        <v>3653</v>
      </c>
      <c r="AI541" s="596" t="s">
        <v>3653</v>
      </c>
      <c r="AJ541" s="596" t="s">
        <v>5233</v>
      </c>
      <c r="AK541" s="596" t="s">
        <v>5234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3642</v>
      </c>
      <c r="B542" s="79" t="s">
        <v>5235</v>
      </c>
      <c r="C542" s="597" t="s">
        <v>5236</v>
      </c>
      <c r="D542" s="515">
        <v>4906342.0</v>
      </c>
      <c r="E542" s="515" t="s">
        <v>18</v>
      </c>
      <c r="F542" s="515" t="s">
        <v>19</v>
      </c>
      <c r="G542" s="515" t="s">
        <v>230</v>
      </c>
      <c r="H542" s="515" t="str">
        <f>IFERROR(VLOOKUP(G542,'Cadastro de assessores'!A:B,2,FALSE),"Não Cadastrado")</f>
        <v>18009</v>
      </c>
      <c r="I542" s="515"/>
      <c r="J542" s="598" t="s">
        <v>2393</v>
      </c>
      <c r="K542" s="515" t="s">
        <v>2393</v>
      </c>
      <c r="L542" s="515" t="s">
        <v>3646</v>
      </c>
      <c r="M542" s="600"/>
      <c r="N542" s="600">
        <v>44294.0</v>
      </c>
      <c r="O542" s="635">
        <v>44651.0</v>
      </c>
      <c r="P542" s="555" t="s">
        <v>3647</v>
      </c>
      <c r="Q542" s="594">
        <v>0.02</v>
      </c>
      <c r="R542" s="601" t="s">
        <v>5237</v>
      </c>
      <c r="S542" s="595"/>
      <c r="T542" s="515" t="str">
        <f t="shared" si="57"/>
        <v>Não Qualificado</v>
      </c>
      <c r="U542" s="515" t="s">
        <v>89</v>
      </c>
      <c r="V542" s="515" t="s">
        <v>2449</v>
      </c>
      <c r="W542" s="515" t="s">
        <v>121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2430</v>
      </c>
      <c r="AO542" s="443" t="s">
        <v>2430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2396</v>
      </c>
      <c r="BF542" s="443" t="s">
        <v>2396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3642</v>
      </c>
      <c r="B543" s="79" t="s">
        <v>2353</v>
      </c>
      <c r="C543" s="597" t="s">
        <v>5238</v>
      </c>
      <c r="D543" s="515">
        <v>4733764.0</v>
      </c>
      <c r="E543" s="515" t="s">
        <v>86</v>
      </c>
      <c r="F543" s="515" t="s">
        <v>29</v>
      </c>
      <c r="G543" s="515" t="s">
        <v>5239</v>
      </c>
      <c r="H543" s="515" t="str">
        <f>IFERROR(VLOOKUP(G543,'Cadastro de assessores'!A:B,2,FALSE),"Não Cadastrado")</f>
        <v>18992</v>
      </c>
      <c r="I543" s="515"/>
      <c r="J543" s="598" t="s">
        <v>2393</v>
      </c>
      <c r="K543" s="515" t="s">
        <v>2393</v>
      </c>
      <c r="L543" s="515" t="s">
        <v>3646</v>
      </c>
      <c r="M543" s="600"/>
      <c r="N543" s="600">
        <v>44209.0</v>
      </c>
      <c r="O543" s="635">
        <v>44512.0</v>
      </c>
      <c r="P543" s="555" t="s">
        <v>3693</v>
      </c>
      <c r="Q543" s="594">
        <v>0.008</v>
      </c>
      <c r="R543" s="601" t="s">
        <v>5240</v>
      </c>
      <c r="S543" s="595"/>
      <c r="T543" s="515" t="str">
        <f t="shared" si="57"/>
        <v>Não Qualificado</v>
      </c>
      <c r="U543" s="515" t="s">
        <v>89</v>
      </c>
      <c r="V543" s="515" t="s">
        <v>2432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2396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2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2362</v>
      </c>
      <c r="D545" s="693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2"/>
      <c r="T545" s="471"/>
      <c r="U545" s="471"/>
      <c r="V545" s="471"/>
      <c r="W545" s="471"/>
      <c r="X545" s="694">
        <f t="shared" ref="X545:AZ545" si="58">SUM(X3:X543)</f>
        <v>0</v>
      </c>
      <c r="Y545" s="694">
        <f t="shared" si="58"/>
        <v>0</v>
      </c>
      <c r="Z545" s="694">
        <f t="shared" si="58"/>
        <v>0</v>
      </c>
      <c r="AA545" s="694">
        <f t="shared" si="58"/>
        <v>0</v>
      </c>
      <c r="AB545" s="694">
        <f t="shared" si="58"/>
        <v>0</v>
      </c>
      <c r="AC545" s="694">
        <f t="shared" si="58"/>
        <v>0</v>
      </c>
      <c r="AD545" s="694">
        <f t="shared" si="58"/>
        <v>0</v>
      </c>
      <c r="AE545" s="694">
        <f t="shared" si="58"/>
        <v>0</v>
      </c>
      <c r="AF545" s="694">
        <f t="shared" si="58"/>
        <v>0</v>
      </c>
      <c r="AG545" s="694">
        <f t="shared" si="58"/>
        <v>0</v>
      </c>
      <c r="AH545" s="694">
        <f t="shared" si="58"/>
        <v>0</v>
      </c>
      <c r="AI545" s="694">
        <f t="shared" si="58"/>
        <v>0</v>
      </c>
      <c r="AJ545" s="694">
        <f t="shared" si="58"/>
        <v>0</v>
      </c>
      <c r="AK545" s="694">
        <f t="shared" si="58"/>
        <v>0</v>
      </c>
      <c r="AL545" s="694">
        <f t="shared" si="58"/>
        <v>49939606.47</v>
      </c>
      <c r="AM545" s="694">
        <f t="shared" si="58"/>
        <v>56320445.3</v>
      </c>
      <c r="AN545" s="694">
        <f t="shared" si="58"/>
        <v>61178277.87</v>
      </c>
      <c r="AO545" s="694">
        <f t="shared" si="58"/>
        <v>127507478</v>
      </c>
      <c r="AP545" s="694">
        <f t="shared" si="58"/>
        <v>122724856.2</v>
      </c>
      <c r="AQ545" s="694">
        <f t="shared" si="58"/>
        <v>131155083.4</v>
      </c>
      <c r="AR545" s="694">
        <f t="shared" si="58"/>
        <v>131412065.4</v>
      </c>
      <c r="AS545" s="694">
        <f t="shared" si="58"/>
        <v>136452066.2</v>
      </c>
      <c r="AT545" s="694">
        <f t="shared" si="58"/>
        <v>140158681.6</v>
      </c>
      <c r="AU545" s="694">
        <f t="shared" si="58"/>
        <v>71262668.03</v>
      </c>
      <c r="AV545" s="694">
        <f t="shared" si="58"/>
        <v>69124058.38</v>
      </c>
      <c r="AW545" s="694">
        <f t="shared" si="58"/>
        <v>76850538.54</v>
      </c>
      <c r="AX545" s="694">
        <f t="shared" si="58"/>
        <v>69027370.7</v>
      </c>
      <c r="AY545" s="694">
        <f t="shared" si="58"/>
        <v>73362806.81</v>
      </c>
      <c r="AZ545" s="694">
        <f t="shared" si="58"/>
        <v>80914890.3</v>
      </c>
      <c r="BA545" s="694">
        <f t="shared" ref="BA545:BT545" si="59">SUM(BA2:BA543)</f>
        <v>86755962.91</v>
      </c>
      <c r="BB545" s="694">
        <f t="shared" si="59"/>
        <v>91413422.46</v>
      </c>
      <c r="BC545" s="694">
        <f t="shared" si="59"/>
        <v>101114599.6</v>
      </c>
      <c r="BD545" s="694">
        <f t="shared" si="59"/>
        <v>97384990.45</v>
      </c>
      <c r="BE545" s="694">
        <f t="shared" si="59"/>
        <v>129049070.1</v>
      </c>
      <c r="BF545" s="694">
        <f t="shared" si="59"/>
        <v>133680411</v>
      </c>
      <c r="BG545" s="694">
        <f t="shared" si="59"/>
        <v>132712631.9</v>
      </c>
      <c r="BH545" s="694">
        <f t="shared" si="59"/>
        <v>133649376.4</v>
      </c>
      <c r="BI545" s="694">
        <f t="shared" si="59"/>
        <v>134917880</v>
      </c>
      <c r="BJ545" s="694">
        <f t="shared" si="59"/>
        <v>135978013.7</v>
      </c>
      <c r="BK545" s="694">
        <f t="shared" si="59"/>
        <v>129078340.2</v>
      </c>
      <c r="BL545" s="694">
        <f t="shared" si="59"/>
        <v>134130576.3</v>
      </c>
      <c r="BM545" s="694">
        <f t="shared" si="59"/>
        <v>118095517.4</v>
      </c>
      <c r="BN545" s="694">
        <f t="shared" si="59"/>
        <v>79431765.17</v>
      </c>
      <c r="BO545" s="694">
        <f t="shared" si="59"/>
        <v>40285042.4</v>
      </c>
      <c r="BP545" s="694">
        <f t="shared" si="59"/>
        <v>25774006.55</v>
      </c>
      <c r="BQ545" s="694">
        <f t="shared" si="59"/>
        <v>20333651.86</v>
      </c>
      <c r="BR545" s="694">
        <f t="shared" si="59"/>
        <v>17231025.4</v>
      </c>
      <c r="BS545" s="694">
        <f t="shared" si="59"/>
        <v>14167989.99</v>
      </c>
      <c r="BT545" s="694">
        <f t="shared" si="59"/>
        <v>9188538.68</v>
      </c>
    </row>
    <row r="546" ht="15.75" customHeight="1">
      <c r="A546" s="534"/>
      <c r="B546" s="534"/>
      <c r="C546" s="534" t="s">
        <v>2364</v>
      </c>
      <c r="D546" s="693">
        <f>COUNTIF(J:J,"Encerrada")</f>
        <v>198</v>
      </c>
      <c r="E546" s="471"/>
      <c r="F546" s="471"/>
      <c r="G546" s="695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2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5241</v>
      </c>
      <c r="D547" s="693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2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5242</v>
      </c>
      <c r="BL547" s="274" t="s">
        <v>5243</v>
      </c>
      <c r="BM547" s="274" t="s">
        <v>5244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5245</v>
      </c>
      <c r="D548" s="693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2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3642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5246</v>
      </c>
      <c r="D549" s="693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6"/>
      <c r="N549" s="696"/>
      <c r="O549" s="483"/>
      <c r="P549" s="483"/>
      <c r="Q549" s="473"/>
      <c r="R549" s="475"/>
      <c r="S549" s="692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7"/>
      <c r="L550" s="697"/>
      <c r="M550" s="696"/>
      <c r="N550" s="696"/>
      <c r="O550" s="471"/>
      <c r="P550" s="471"/>
      <c r="Q550" s="473"/>
      <c r="R550" s="475"/>
      <c r="S550" s="692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2376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2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3552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8"/>
      <c r="L552" s="698"/>
      <c r="M552" s="696"/>
      <c r="N552" s="696"/>
      <c r="O552" s="483"/>
      <c r="P552" s="483"/>
      <c r="Q552" s="473"/>
      <c r="R552" s="475"/>
      <c r="S552" s="692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3458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6"/>
      <c r="N553" s="696"/>
      <c r="O553" s="471"/>
      <c r="P553" s="471"/>
      <c r="Q553" s="473"/>
      <c r="R553" s="475"/>
      <c r="S553" s="692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8"/>
      <c r="L554" s="698"/>
      <c r="M554" s="696"/>
      <c r="N554" s="696"/>
      <c r="O554" s="483"/>
      <c r="P554" s="483"/>
      <c r="Q554" s="473"/>
      <c r="R554" s="475"/>
      <c r="S554" s="692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6"/>
      <c r="N555" s="696"/>
      <c r="O555" s="471"/>
      <c r="P555" s="471"/>
      <c r="Q555" s="473"/>
      <c r="R555" s="475"/>
      <c r="S555" s="692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5247</v>
      </c>
      <c r="BK555" s="274" t="s">
        <v>5248</v>
      </c>
      <c r="BL555" s="274" t="s">
        <v>5249</v>
      </c>
      <c r="BM555" s="274" t="s">
        <v>5249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DDAD74BE-86DE-4367-A5CC-7F0296794B75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6ABE31C0-E26C-48D4-98C8-D04880C01291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9" t="s">
        <v>2</v>
      </c>
      <c r="B1" s="700" t="s">
        <v>1</v>
      </c>
      <c r="C1" s="700" t="s">
        <v>5250</v>
      </c>
    </row>
    <row r="2">
      <c r="A2" s="701" t="s">
        <v>1082</v>
      </c>
      <c r="B2" s="702" t="s">
        <v>5251</v>
      </c>
      <c r="C2" s="703">
        <v>1.6407251E7</v>
      </c>
      <c r="E2" s="704" t="s">
        <v>5252</v>
      </c>
      <c r="F2" s="705">
        <v>45433.0</v>
      </c>
    </row>
    <row r="3">
      <c r="A3" s="701" t="s">
        <v>322</v>
      </c>
      <c r="B3" s="702" t="s">
        <v>5253</v>
      </c>
      <c r="C3" s="703">
        <v>8152026.0</v>
      </c>
    </row>
    <row r="4">
      <c r="A4" s="701" t="s">
        <v>5254</v>
      </c>
      <c r="B4" s="702" t="s">
        <v>5255</v>
      </c>
      <c r="C4" s="703">
        <v>7327476.0</v>
      </c>
    </row>
    <row r="5">
      <c r="A5" s="701" t="s">
        <v>303</v>
      </c>
      <c r="B5" s="702" t="s">
        <v>5256</v>
      </c>
      <c r="C5" s="703">
        <v>6260765.0</v>
      </c>
    </row>
    <row r="6">
      <c r="A6" s="701" t="s">
        <v>5257</v>
      </c>
      <c r="B6" s="702" t="s">
        <v>5258</v>
      </c>
      <c r="C6" s="703">
        <v>5893781.0</v>
      </c>
    </row>
    <row r="7">
      <c r="A7" s="701" t="s">
        <v>1635</v>
      </c>
      <c r="B7" s="702" t="s">
        <v>5259</v>
      </c>
      <c r="C7" s="703">
        <v>4521245.0</v>
      </c>
    </row>
    <row r="8">
      <c r="A8" s="701" t="s">
        <v>712</v>
      </c>
      <c r="B8" s="702" t="s">
        <v>5260</v>
      </c>
      <c r="C8" s="703">
        <v>4419963.0</v>
      </c>
    </row>
    <row r="9">
      <c r="A9" s="701" t="s">
        <v>397</v>
      </c>
      <c r="B9" s="702" t="s">
        <v>5261</v>
      </c>
      <c r="C9" s="703">
        <v>4287023.0</v>
      </c>
    </row>
    <row r="10">
      <c r="A10" s="701" t="s">
        <v>694</v>
      </c>
      <c r="B10" s="702" t="s">
        <v>5262</v>
      </c>
      <c r="C10" s="703">
        <v>4174461.0</v>
      </c>
    </row>
    <row r="11">
      <c r="A11" s="701" t="s">
        <v>2241</v>
      </c>
      <c r="B11" s="702" t="s">
        <v>5263</v>
      </c>
      <c r="C11" s="703">
        <v>4093326.0</v>
      </c>
    </row>
    <row r="12">
      <c r="A12" s="701" t="s">
        <v>629</v>
      </c>
      <c r="B12" s="702" t="s">
        <v>5264</v>
      </c>
      <c r="C12" s="703">
        <v>4010518.0</v>
      </c>
    </row>
    <row r="13">
      <c r="A13" s="701" t="s">
        <v>5265</v>
      </c>
      <c r="B13" s="702" t="s">
        <v>5266</v>
      </c>
      <c r="C13" s="703">
        <v>3944292.0</v>
      </c>
    </row>
    <row r="14">
      <c r="A14" s="701" t="s">
        <v>370</v>
      </c>
      <c r="B14" s="702" t="s">
        <v>5267</v>
      </c>
      <c r="C14" s="703">
        <v>3815731.0</v>
      </c>
    </row>
    <row r="15">
      <c r="A15" s="701" t="s">
        <v>2212</v>
      </c>
      <c r="B15" s="702" t="s">
        <v>5268</v>
      </c>
      <c r="C15" s="703">
        <v>3739187.0</v>
      </c>
    </row>
    <row r="16">
      <c r="A16" s="701" t="s">
        <v>5269</v>
      </c>
      <c r="B16" s="702" t="s">
        <v>5270</v>
      </c>
      <c r="C16" s="703">
        <v>3591634.0</v>
      </c>
    </row>
    <row r="17">
      <c r="A17" s="701" t="s">
        <v>729</v>
      </c>
      <c r="B17" s="702" t="s">
        <v>5271</v>
      </c>
      <c r="C17" s="703">
        <v>3399053.0</v>
      </c>
    </row>
    <row r="18">
      <c r="A18" s="701" t="s">
        <v>1387</v>
      </c>
      <c r="B18" s="702" t="s">
        <v>5272</v>
      </c>
      <c r="C18" s="703">
        <v>3234493.0</v>
      </c>
    </row>
    <row r="19">
      <c r="A19" s="701" t="s">
        <v>5273</v>
      </c>
      <c r="B19" s="702" t="s">
        <v>5274</v>
      </c>
      <c r="C19" s="703">
        <v>3216013.0</v>
      </c>
    </row>
    <row r="20" ht="15.75" customHeight="1">
      <c r="A20" s="701" t="s">
        <v>1027</v>
      </c>
      <c r="B20" s="702" t="s">
        <v>5275</v>
      </c>
      <c r="C20" s="703">
        <v>3040761.0</v>
      </c>
    </row>
    <row r="21" ht="15.75" customHeight="1">
      <c r="A21" s="701" t="s">
        <v>5276</v>
      </c>
      <c r="B21" s="702" t="s">
        <v>5277</v>
      </c>
      <c r="C21" s="703">
        <v>3029461.0</v>
      </c>
    </row>
    <row r="22" ht="15.75" customHeight="1">
      <c r="A22" s="701" t="s">
        <v>1290</v>
      </c>
      <c r="B22" s="702" t="s">
        <v>5278</v>
      </c>
      <c r="C22" s="703">
        <v>2870961.0</v>
      </c>
    </row>
    <row r="23" ht="15.75" customHeight="1">
      <c r="A23" s="701" t="s">
        <v>873</v>
      </c>
      <c r="B23" s="702" t="s">
        <v>5279</v>
      </c>
      <c r="C23" s="703">
        <v>2863928.0</v>
      </c>
    </row>
    <row r="24" ht="15.75" customHeight="1">
      <c r="A24" s="701" t="s">
        <v>400</v>
      </c>
      <c r="B24" s="702" t="s">
        <v>5280</v>
      </c>
      <c r="C24" s="703">
        <v>2859104.0</v>
      </c>
    </row>
    <row r="25" ht="15.75" customHeight="1">
      <c r="A25" s="701" t="s">
        <v>1909</v>
      </c>
      <c r="B25" s="702" t="s">
        <v>5281</v>
      </c>
      <c r="C25" s="703">
        <v>2816034.0</v>
      </c>
    </row>
    <row r="26" ht="15.75" customHeight="1">
      <c r="A26" s="701" t="s">
        <v>1620</v>
      </c>
      <c r="B26" s="702" t="s">
        <v>5259</v>
      </c>
      <c r="C26" s="703">
        <v>2789791.0</v>
      </c>
    </row>
    <row r="27" ht="15.75" customHeight="1">
      <c r="A27" s="701" t="s">
        <v>5282</v>
      </c>
      <c r="B27" s="702" t="s">
        <v>5283</v>
      </c>
      <c r="C27" s="703">
        <v>2616384.0</v>
      </c>
    </row>
    <row r="28" ht="15.75" customHeight="1">
      <c r="A28" s="701" t="s">
        <v>423</v>
      </c>
      <c r="B28" s="702" t="s">
        <v>5284</v>
      </c>
      <c r="C28" s="703">
        <v>2549102.0</v>
      </c>
    </row>
    <row r="29" ht="15.75" customHeight="1">
      <c r="A29" s="701" t="s">
        <v>5285</v>
      </c>
      <c r="B29" s="702" t="s">
        <v>5286</v>
      </c>
      <c r="C29" s="703">
        <v>2499338.0</v>
      </c>
    </row>
    <row r="30" ht="15.75" customHeight="1">
      <c r="A30" s="701" t="s">
        <v>1530</v>
      </c>
      <c r="B30" s="702" t="s">
        <v>5287</v>
      </c>
      <c r="C30" s="703">
        <v>2358991.0</v>
      </c>
    </row>
    <row r="31" ht="15.75" customHeight="1">
      <c r="A31" s="701" t="s">
        <v>1788</v>
      </c>
      <c r="B31" s="702" t="s">
        <v>5288</v>
      </c>
      <c r="C31" s="703">
        <v>2315750.0</v>
      </c>
    </row>
    <row r="32" ht="15.75" customHeight="1">
      <c r="A32" s="701" t="s">
        <v>332</v>
      </c>
      <c r="B32" s="702" t="s">
        <v>5289</v>
      </c>
      <c r="C32" s="703">
        <v>2311219.0</v>
      </c>
    </row>
    <row r="33" ht="15.75" customHeight="1">
      <c r="A33" s="701" t="s">
        <v>1842</v>
      </c>
      <c r="B33" s="702" t="s">
        <v>5290</v>
      </c>
      <c r="C33" s="703">
        <v>2151158.0</v>
      </c>
    </row>
    <row r="34" ht="15.75" customHeight="1">
      <c r="A34" s="701" t="s">
        <v>1249</v>
      </c>
      <c r="B34" s="702" t="s">
        <v>5291</v>
      </c>
      <c r="C34" s="703">
        <v>2028819.0</v>
      </c>
    </row>
    <row r="35" ht="15.75" customHeight="1">
      <c r="A35" s="701" t="s">
        <v>5292</v>
      </c>
      <c r="B35" s="702" t="s">
        <v>5293</v>
      </c>
      <c r="C35" s="703">
        <v>1998404.0</v>
      </c>
    </row>
    <row r="36" ht="15.75" customHeight="1">
      <c r="A36" s="701" t="s">
        <v>311</v>
      </c>
      <c r="B36" s="702" t="s">
        <v>5294</v>
      </c>
      <c r="C36" s="703">
        <v>1979497.0</v>
      </c>
    </row>
    <row r="37" ht="15.75" customHeight="1">
      <c r="A37" s="701" t="s">
        <v>5295</v>
      </c>
      <c r="B37" s="702" t="s">
        <v>5296</v>
      </c>
      <c r="C37" s="703">
        <v>1905555.0</v>
      </c>
    </row>
    <row r="38" ht="15.75" customHeight="1">
      <c r="A38" s="701" t="s">
        <v>1528</v>
      </c>
      <c r="B38" s="702" t="s">
        <v>5287</v>
      </c>
      <c r="C38" s="703">
        <v>1892385.0</v>
      </c>
    </row>
    <row r="39" ht="15.75" customHeight="1">
      <c r="A39" s="701" t="s">
        <v>1641</v>
      </c>
      <c r="B39" s="702" t="s">
        <v>5259</v>
      </c>
      <c r="C39" s="703">
        <v>1884381.0</v>
      </c>
    </row>
    <row r="40" ht="15.75" customHeight="1">
      <c r="A40" s="701" t="s">
        <v>477</v>
      </c>
      <c r="B40" s="702" t="s">
        <v>5297</v>
      </c>
      <c r="C40" s="703">
        <v>1856858.0</v>
      </c>
    </row>
    <row r="41" ht="15.75" customHeight="1">
      <c r="A41" s="701" t="s">
        <v>1980</v>
      </c>
      <c r="B41" s="702" t="s">
        <v>5298</v>
      </c>
      <c r="C41" s="703">
        <v>1836942.0</v>
      </c>
    </row>
    <row r="42" ht="15.75" customHeight="1">
      <c r="A42" s="701" t="s">
        <v>2268</v>
      </c>
      <c r="B42" s="702" t="s">
        <v>5299</v>
      </c>
      <c r="C42" s="703">
        <v>1827494.0</v>
      </c>
    </row>
    <row r="43" ht="15.75" customHeight="1">
      <c r="A43" s="701" t="s">
        <v>1784</v>
      </c>
      <c r="B43" s="702" t="s">
        <v>5300</v>
      </c>
      <c r="C43" s="703">
        <v>1813003.0</v>
      </c>
    </row>
    <row r="44" ht="15.75" customHeight="1">
      <c r="A44" s="701" t="s">
        <v>2132</v>
      </c>
      <c r="B44" s="702" t="s">
        <v>5301</v>
      </c>
      <c r="C44" s="703">
        <v>1803183.0</v>
      </c>
    </row>
    <row r="45" ht="15.75" customHeight="1">
      <c r="A45" s="701" t="s">
        <v>933</v>
      </c>
      <c r="B45" s="702" t="s">
        <v>5302</v>
      </c>
      <c r="C45" s="703">
        <v>1801295.0</v>
      </c>
    </row>
    <row r="46" ht="15.75" customHeight="1">
      <c r="A46" s="701" t="s">
        <v>551</v>
      </c>
      <c r="B46" s="702" t="s">
        <v>5303</v>
      </c>
      <c r="C46" s="703">
        <v>1695432.0</v>
      </c>
    </row>
    <row r="47" ht="15.75" customHeight="1">
      <c r="A47" s="701" t="s">
        <v>1760</v>
      </c>
      <c r="B47" s="702" t="s">
        <v>5304</v>
      </c>
      <c r="C47" s="703">
        <v>1671571.0</v>
      </c>
    </row>
    <row r="48" ht="15.75" customHeight="1">
      <c r="A48" s="701" t="s">
        <v>782</v>
      </c>
      <c r="B48" s="702" t="s">
        <v>5305</v>
      </c>
      <c r="C48" s="703">
        <v>1658497.0</v>
      </c>
    </row>
    <row r="49" ht="15.75" customHeight="1">
      <c r="A49" s="701" t="s">
        <v>979</v>
      </c>
      <c r="B49" s="702" t="s">
        <v>5306</v>
      </c>
      <c r="C49" s="703">
        <v>1649839.0</v>
      </c>
    </row>
    <row r="50" ht="15.75" customHeight="1">
      <c r="A50" s="701" t="s">
        <v>1091</v>
      </c>
      <c r="B50" s="702" t="s">
        <v>5307</v>
      </c>
      <c r="C50" s="703">
        <v>1626874.0</v>
      </c>
    </row>
    <row r="51" ht="15.75" customHeight="1">
      <c r="A51" s="701" t="s">
        <v>259</v>
      </c>
      <c r="B51" s="702" t="s">
        <v>5308</v>
      </c>
      <c r="C51" s="703">
        <v>1623123.0</v>
      </c>
    </row>
    <row r="52" ht="15.75" customHeight="1">
      <c r="A52" s="701" t="s">
        <v>2294</v>
      </c>
      <c r="B52" s="702" t="s">
        <v>5309</v>
      </c>
      <c r="C52" s="703">
        <v>1535174.0</v>
      </c>
    </row>
    <row r="53" ht="15.75" customHeight="1">
      <c r="A53" s="701" t="s">
        <v>1771</v>
      </c>
      <c r="B53" s="702" t="s">
        <v>5310</v>
      </c>
      <c r="C53" s="703">
        <v>1504347.0</v>
      </c>
    </row>
    <row r="54" ht="15.75" customHeight="1">
      <c r="A54" s="701" t="s">
        <v>1570</v>
      </c>
      <c r="B54" s="702" t="s">
        <v>5311</v>
      </c>
      <c r="C54" s="703">
        <v>1458529.0</v>
      </c>
    </row>
    <row r="55" ht="15.75" customHeight="1">
      <c r="A55" s="701" t="s">
        <v>238</v>
      </c>
      <c r="B55" s="702" t="s">
        <v>5312</v>
      </c>
      <c r="C55" s="703">
        <v>1445595.0</v>
      </c>
    </row>
    <row r="56" ht="15.75" customHeight="1">
      <c r="A56" s="701" t="s">
        <v>2167</v>
      </c>
      <c r="B56" s="702" t="s">
        <v>5313</v>
      </c>
      <c r="C56" s="703">
        <v>1445434.0</v>
      </c>
    </row>
    <row r="57" ht="15.75" customHeight="1">
      <c r="A57" s="701" t="s">
        <v>1200</v>
      </c>
      <c r="B57" s="702" t="s">
        <v>5314</v>
      </c>
      <c r="C57" s="703">
        <v>1409331.0</v>
      </c>
    </row>
    <row r="58" ht="15.75" customHeight="1">
      <c r="A58" s="701" t="s">
        <v>1786</v>
      </c>
      <c r="B58" s="702" t="s">
        <v>5300</v>
      </c>
      <c r="C58" s="703">
        <v>1392584.0</v>
      </c>
    </row>
    <row r="59" ht="15.75" customHeight="1">
      <c r="A59" s="701" t="s">
        <v>1078</v>
      </c>
      <c r="B59" s="702" t="s">
        <v>5315</v>
      </c>
      <c r="C59" s="703">
        <v>1382829.0</v>
      </c>
    </row>
    <row r="60" ht="15.75" customHeight="1">
      <c r="A60" s="701" t="s">
        <v>1719</v>
      </c>
      <c r="B60" s="702" t="s">
        <v>5316</v>
      </c>
      <c r="C60" s="703">
        <v>1365212.0</v>
      </c>
    </row>
    <row r="61" ht="15.75" customHeight="1">
      <c r="A61" s="701" t="s">
        <v>2129</v>
      </c>
      <c r="B61" s="702" t="s">
        <v>5317</v>
      </c>
      <c r="C61" s="703">
        <v>1354869.0</v>
      </c>
    </row>
    <row r="62" ht="15.75" customHeight="1">
      <c r="A62" s="701" t="s">
        <v>904</v>
      </c>
      <c r="B62" s="702" t="s">
        <v>5318</v>
      </c>
      <c r="C62" s="703">
        <v>1313491.0</v>
      </c>
    </row>
    <row r="63" ht="15.75" customHeight="1">
      <c r="A63" s="701" t="s">
        <v>1900</v>
      </c>
      <c r="B63" s="702" t="s">
        <v>5319</v>
      </c>
      <c r="C63" s="703">
        <v>1303532.0</v>
      </c>
    </row>
    <row r="64" ht="15.75" customHeight="1">
      <c r="A64" s="701" t="s">
        <v>1606</v>
      </c>
      <c r="B64" s="702" t="s">
        <v>5259</v>
      </c>
      <c r="C64" s="703">
        <v>1290283.0</v>
      </c>
    </row>
    <row r="65" ht="15.75" customHeight="1">
      <c r="A65" s="701" t="s">
        <v>1711</v>
      </c>
      <c r="B65" s="702" t="s">
        <v>5320</v>
      </c>
      <c r="C65" s="703">
        <v>1288958.0</v>
      </c>
    </row>
    <row r="66" ht="15.75" customHeight="1">
      <c r="A66" s="701" t="s">
        <v>1424</v>
      </c>
      <c r="B66" s="702" t="s">
        <v>5321</v>
      </c>
      <c r="C66" s="703">
        <v>1268024.0</v>
      </c>
    </row>
    <row r="67" ht="15.75" customHeight="1">
      <c r="A67" s="701" t="s">
        <v>1730</v>
      </c>
      <c r="B67" s="702" t="s">
        <v>5322</v>
      </c>
      <c r="C67" s="703">
        <v>1246716.0</v>
      </c>
    </row>
    <row r="68" ht="15.75" customHeight="1">
      <c r="A68" s="701" t="s">
        <v>767</v>
      </c>
      <c r="B68" s="702" t="s">
        <v>5323</v>
      </c>
      <c r="C68" s="703">
        <v>1235117.0</v>
      </c>
    </row>
    <row r="69" ht="15.75" customHeight="1">
      <c r="A69" s="701" t="s">
        <v>1632</v>
      </c>
      <c r="B69" s="702" t="s">
        <v>5259</v>
      </c>
      <c r="C69" s="703">
        <v>1208783.0</v>
      </c>
    </row>
    <row r="70" ht="15.75" customHeight="1">
      <c r="A70" s="701" t="s">
        <v>1302</v>
      </c>
      <c r="B70" s="702" t="s">
        <v>5324</v>
      </c>
      <c r="C70" s="703">
        <v>1179459.0</v>
      </c>
    </row>
    <row r="71" ht="15.75" customHeight="1">
      <c r="A71" s="701" t="s">
        <v>807</v>
      </c>
      <c r="B71" s="702" t="s">
        <v>5325</v>
      </c>
      <c r="C71" s="703">
        <v>1175738.0</v>
      </c>
    </row>
    <row r="72" ht="15.75" customHeight="1">
      <c r="A72" s="701" t="s">
        <v>1534</v>
      </c>
      <c r="B72" s="702" t="s">
        <v>5287</v>
      </c>
      <c r="C72" s="703">
        <v>1131672.0</v>
      </c>
    </row>
    <row r="73" ht="15.75" customHeight="1">
      <c r="A73" s="701" t="s">
        <v>568</v>
      </c>
      <c r="B73" s="702" t="s">
        <v>5326</v>
      </c>
      <c r="C73" s="703">
        <v>1077453.0</v>
      </c>
    </row>
    <row r="74" ht="15.75" customHeight="1">
      <c r="A74" s="701" t="s">
        <v>595</v>
      </c>
      <c r="B74" s="702" t="s">
        <v>5327</v>
      </c>
      <c r="C74" s="703">
        <v>1072643.0</v>
      </c>
    </row>
    <row r="75" ht="15.75" customHeight="1">
      <c r="A75" s="701" t="s">
        <v>1468</v>
      </c>
      <c r="B75" s="702" t="s">
        <v>5328</v>
      </c>
      <c r="C75" s="703">
        <v>1067604.0</v>
      </c>
    </row>
    <row r="76" ht="15.75" customHeight="1">
      <c r="A76" s="701" t="s">
        <v>736</v>
      </c>
      <c r="B76" s="702" t="s">
        <v>5329</v>
      </c>
      <c r="C76" s="703">
        <v>1063157.0</v>
      </c>
    </row>
    <row r="77" ht="15.75" customHeight="1">
      <c r="A77" s="701" t="s">
        <v>1213</v>
      </c>
      <c r="B77" s="702" t="s">
        <v>5314</v>
      </c>
      <c r="C77" s="703">
        <v>1060740.0</v>
      </c>
    </row>
    <row r="78" ht="15.75" customHeight="1">
      <c r="A78" s="701" t="s">
        <v>5330</v>
      </c>
      <c r="B78" s="702" t="s">
        <v>5331</v>
      </c>
      <c r="C78" s="703">
        <v>1053528.0</v>
      </c>
    </row>
    <row r="79" ht="15.75" customHeight="1">
      <c r="A79" s="701" t="s">
        <v>1777</v>
      </c>
      <c r="B79" s="702" t="s">
        <v>5332</v>
      </c>
      <c r="C79" s="703">
        <v>1046634.0</v>
      </c>
    </row>
    <row r="80" ht="15.75" customHeight="1">
      <c r="A80" s="701" t="s">
        <v>556</v>
      </c>
      <c r="B80" s="702" t="s">
        <v>5303</v>
      </c>
      <c r="C80" s="703">
        <v>1007209.0</v>
      </c>
    </row>
    <row r="81" ht="15.75" customHeight="1">
      <c r="A81" s="701" t="s">
        <v>757</v>
      </c>
      <c r="B81" s="702" t="s">
        <v>5323</v>
      </c>
      <c r="C81" s="703">
        <v>1003819.0</v>
      </c>
    </row>
    <row r="82" ht="15.75" customHeight="1">
      <c r="A82" s="701" t="s">
        <v>57</v>
      </c>
      <c r="B82" s="702" t="s">
        <v>5333</v>
      </c>
      <c r="C82" s="703">
        <v>1002771.0</v>
      </c>
    </row>
    <row r="83" ht="15.75" customHeight="1">
      <c r="A83" s="701" t="s">
        <v>1890</v>
      </c>
      <c r="B83" s="702" t="s">
        <v>5334</v>
      </c>
      <c r="C83" s="703">
        <v>1001326.0</v>
      </c>
    </row>
    <row r="84" ht="15.75" customHeight="1">
      <c r="A84" s="701" t="s">
        <v>2310</v>
      </c>
      <c r="B84" s="702" t="s">
        <v>5335</v>
      </c>
      <c r="C84" s="703">
        <v>998617.0</v>
      </c>
    </row>
    <row r="85" ht="15.75" customHeight="1">
      <c r="A85" s="701" t="s">
        <v>1713</v>
      </c>
      <c r="B85" s="702" t="s">
        <v>5336</v>
      </c>
      <c r="C85" s="703">
        <v>989842.2</v>
      </c>
    </row>
    <row r="86" ht="15.75" customHeight="1">
      <c r="A86" s="701" t="s">
        <v>1598</v>
      </c>
      <c r="B86" s="702" t="s">
        <v>5337</v>
      </c>
      <c r="C86" s="703">
        <v>988866.7</v>
      </c>
    </row>
    <row r="87" ht="15.75" customHeight="1">
      <c r="A87" s="701" t="s">
        <v>1952</v>
      </c>
      <c r="B87" s="702" t="s">
        <v>5338</v>
      </c>
      <c r="C87" s="703">
        <v>986256.4</v>
      </c>
    </row>
    <row r="88" ht="15.75" customHeight="1">
      <c r="A88" s="701" t="s">
        <v>663</v>
      </c>
      <c r="B88" s="702" t="s">
        <v>5339</v>
      </c>
      <c r="C88" s="703">
        <v>975416.6</v>
      </c>
    </row>
    <row r="89" ht="15.75" customHeight="1">
      <c r="A89" s="701" t="s">
        <v>1085</v>
      </c>
      <c r="B89" s="702" t="s">
        <v>5251</v>
      </c>
      <c r="C89" s="703">
        <v>967304.1</v>
      </c>
    </row>
    <row r="90" ht="15.75" customHeight="1">
      <c r="A90" s="701" t="s">
        <v>1088</v>
      </c>
      <c r="B90" s="702" t="s">
        <v>5340</v>
      </c>
      <c r="C90" s="703">
        <v>952631.3</v>
      </c>
    </row>
    <row r="91" ht="15.75" customHeight="1">
      <c r="A91" s="701" t="s">
        <v>1614</v>
      </c>
      <c r="B91" s="702" t="s">
        <v>5259</v>
      </c>
      <c r="C91" s="703">
        <v>946264.2</v>
      </c>
    </row>
    <row r="92" ht="15.75" customHeight="1">
      <c r="A92" s="701" t="s">
        <v>573</v>
      </c>
      <c r="B92" s="702" t="s">
        <v>5341</v>
      </c>
      <c r="C92" s="703">
        <v>931805.5</v>
      </c>
    </row>
    <row r="93" ht="15.75" customHeight="1">
      <c r="A93" s="701" t="s">
        <v>1742</v>
      </c>
      <c r="B93" s="702" t="s">
        <v>5342</v>
      </c>
      <c r="C93" s="703">
        <v>920911.3</v>
      </c>
    </row>
    <row r="94" ht="15.75" customHeight="1">
      <c r="A94" s="701" t="s">
        <v>1333</v>
      </c>
      <c r="B94" s="702" t="s">
        <v>5343</v>
      </c>
      <c r="C94" s="703">
        <v>917731.8</v>
      </c>
    </row>
    <row r="95" ht="15.75" customHeight="1">
      <c r="A95" s="701" t="s">
        <v>5344</v>
      </c>
      <c r="B95" s="702" t="s">
        <v>5312</v>
      </c>
      <c r="C95" s="703">
        <v>912378.0</v>
      </c>
    </row>
    <row r="96" ht="15.75" customHeight="1">
      <c r="A96" s="701" t="s">
        <v>1062</v>
      </c>
      <c r="B96" s="702" t="s">
        <v>5345</v>
      </c>
      <c r="C96" s="703">
        <v>911771.0</v>
      </c>
    </row>
    <row r="97" ht="15.75" customHeight="1">
      <c r="A97" s="701" t="s">
        <v>1178</v>
      </c>
      <c r="B97" s="702" t="s">
        <v>5346</v>
      </c>
      <c r="C97" s="703">
        <v>897954.9</v>
      </c>
    </row>
    <row r="98" ht="15.75" customHeight="1">
      <c r="A98" s="701" t="s">
        <v>102</v>
      </c>
      <c r="B98" s="702" t="s">
        <v>5347</v>
      </c>
      <c r="C98" s="703">
        <v>897720.5</v>
      </c>
    </row>
    <row r="99" ht="15.75" customHeight="1">
      <c r="A99" s="701" t="s">
        <v>2251</v>
      </c>
      <c r="B99" s="702" t="s">
        <v>5348</v>
      </c>
      <c r="C99" s="703">
        <v>888061.7</v>
      </c>
    </row>
    <row r="100" ht="15.75" customHeight="1">
      <c r="A100" s="701" t="s">
        <v>1320</v>
      </c>
      <c r="B100" s="702" t="s">
        <v>5343</v>
      </c>
      <c r="C100" s="703">
        <v>866922.9</v>
      </c>
    </row>
    <row r="101" ht="15.75" customHeight="1">
      <c r="A101" s="701" t="s">
        <v>193</v>
      </c>
      <c r="B101" s="702" t="s">
        <v>5312</v>
      </c>
      <c r="C101" s="703">
        <v>865018.7</v>
      </c>
    </row>
    <row r="102" ht="15.75" customHeight="1">
      <c r="A102" s="701" t="s">
        <v>817</v>
      </c>
      <c r="B102" s="702" t="s">
        <v>5349</v>
      </c>
      <c r="C102" s="703">
        <v>864569.1</v>
      </c>
    </row>
    <row r="103" ht="15.75" customHeight="1">
      <c r="A103" s="701" t="s">
        <v>602</v>
      </c>
      <c r="B103" s="702" t="s">
        <v>5350</v>
      </c>
      <c r="C103" s="703">
        <v>855581.0</v>
      </c>
    </row>
    <row r="104" ht="15.75" customHeight="1">
      <c r="A104" s="701" t="s">
        <v>764</v>
      </c>
      <c r="B104" s="702" t="s">
        <v>5323</v>
      </c>
      <c r="C104" s="703">
        <v>846589.1</v>
      </c>
    </row>
    <row r="105" ht="15.75" customHeight="1">
      <c r="A105" s="701" t="s">
        <v>2058</v>
      </c>
      <c r="B105" s="702" t="s">
        <v>5351</v>
      </c>
      <c r="C105" s="703">
        <v>840829.1</v>
      </c>
    </row>
    <row r="106" ht="15.75" customHeight="1">
      <c r="A106" s="701" t="s">
        <v>1284</v>
      </c>
      <c r="B106" s="702" t="s">
        <v>5352</v>
      </c>
      <c r="C106" s="703">
        <v>834001.3</v>
      </c>
    </row>
    <row r="107" ht="15.75" customHeight="1">
      <c r="A107" s="701" t="s">
        <v>1215</v>
      </c>
      <c r="B107" s="702" t="s">
        <v>5314</v>
      </c>
      <c r="C107" s="703">
        <v>830293.0</v>
      </c>
    </row>
    <row r="108" ht="15.75" customHeight="1">
      <c r="A108" s="701" t="s">
        <v>625</v>
      </c>
      <c r="B108" s="702" t="s">
        <v>5264</v>
      </c>
      <c r="C108" s="703">
        <v>825861.8</v>
      </c>
    </row>
    <row r="109" ht="15.75" customHeight="1">
      <c r="A109" s="701" t="s">
        <v>5353</v>
      </c>
      <c r="B109" s="702" t="s">
        <v>5312</v>
      </c>
      <c r="C109" s="703">
        <v>824521.7</v>
      </c>
    </row>
    <row r="110" ht="15.75" customHeight="1">
      <c r="A110" s="701" t="s">
        <v>857</v>
      </c>
      <c r="B110" s="702" t="s">
        <v>5354</v>
      </c>
      <c r="C110" s="703">
        <v>815192.2</v>
      </c>
    </row>
    <row r="111" ht="15.75" customHeight="1">
      <c r="A111" s="701" t="s">
        <v>5355</v>
      </c>
      <c r="B111" s="702" t="s">
        <v>5356</v>
      </c>
      <c r="C111" s="703">
        <v>800656.3</v>
      </c>
    </row>
    <row r="112" ht="15.75" customHeight="1">
      <c r="A112" s="701" t="s">
        <v>1075</v>
      </c>
      <c r="B112" s="702" t="s">
        <v>5357</v>
      </c>
      <c r="C112" s="703">
        <v>791411.8</v>
      </c>
    </row>
    <row r="113" ht="15.75" customHeight="1">
      <c r="A113" s="701" t="s">
        <v>1235</v>
      </c>
      <c r="B113" s="702" t="s">
        <v>5358</v>
      </c>
      <c r="C113" s="703">
        <v>787925.4</v>
      </c>
    </row>
    <row r="114" ht="15.75" customHeight="1">
      <c r="A114" s="701" t="s">
        <v>320</v>
      </c>
      <c r="B114" s="702" t="s">
        <v>5253</v>
      </c>
      <c r="C114" s="703">
        <v>784910.5</v>
      </c>
    </row>
    <row r="115" ht="15.75" customHeight="1">
      <c r="A115" s="701" t="s">
        <v>801</v>
      </c>
      <c r="B115" s="702" t="s">
        <v>5359</v>
      </c>
      <c r="C115" s="703">
        <v>750596.4</v>
      </c>
    </row>
    <row r="116" ht="15.75" customHeight="1">
      <c r="A116" s="701" t="s">
        <v>1223</v>
      </c>
      <c r="B116" s="702" t="s">
        <v>5314</v>
      </c>
      <c r="C116" s="703">
        <v>739489.2</v>
      </c>
    </row>
    <row r="117" ht="15.75" customHeight="1">
      <c r="A117" s="701" t="s">
        <v>307</v>
      </c>
      <c r="B117" s="702" t="s">
        <v>5256</v>
      </c>
      <c r="C117" s="703">
        <v>728160.2</v>
      </c>
    </row>
    <row r="118" ht="15.75" customHeight="1">
      <c r="A118" s="701" t="s">
        <v>1071</v>
      </c>
      <c r="B118" s="702" t="s">
        <v>5360</v>
      </c>
      <c r="C118" s="703">
        <v>725984.5</v>
      </c>
    </row>
    <row r="119" ht="15.75" customHeight="1">
      <c r="A119" s="701" t="s">
        <v>1581</v>
      </c>
      <c r="B119" s="702" t="s">
        <v>5311</v>
      </c>
      <c r="C119" s="703">
        <v>715733.8</v>
      </c>
    </row>
    <row r="120" ht="15.75" customHeight="1">
      <c r="A120" s="701" t="s">
        <v>218</v>
      </c>
      <c r="B120" s="702" t="s">
        <v>5312</v>
      </c>
      <c r="C120" s="703">
        <v>709345.7</v>
      </c>
    </row>
    <row r="121" ht="15.75" customHeight="1">
      <c r="A121" s="701" t="s">
        <v>2008</v>
      </c>
      <c r="B121" s="702" t="s">
        <v>5361</v>
      </c>
      <c r="C121" s="703">
        <v>707249.6</v>
      </c>
    </row>
    <row r="122" ht="15.75" customHeight="1">
      <c r="A122" s="701" t="s">
        <v>772</v>
      </c>
      <c r="B122" s="702" t="s">
        <v>5362</v>
      </c>
      <c r="C122" s="703">
        <v>705417.2</v>
      </c>
    </row>
    <row r="123" ht="15.75" customHeight="1">
      <c r="A123" s="701" t="s">
        <v>1833</v>
      </c>
      <c r="B123" s="702" t="s">
        <v>5290</v>
      </c>
      <c r="C123" s="703">
        <v>695554.3</v>
      </c>
    </row>
    <row r="124" ht="15.75" customHeight="1">
      <c r="A124" s="701" t="s">
        <v>276</v>
      </c>
      <c r="B124" s="702" t="s">
        <v>5363</v>
      </c>
      <c r="C124" s="703">
        <v>685242.2</v>
      </c>
    </row>
    <row r="125" ht="15.75" customHeight="1">
      <c r="A125" s="701" t="s">
        <v>1810</v>
      </c>
      <c r="B125" s="702" t="s">
        <v>5364</v>
      </c>
      <c r="C125" s="703">
        <v>684792.2</v>
      </c>
    </row>
    <row r="126" ht="15.75" customHeight="1">
      <c r="A126" s="701" t="s">
        <v>1970</v>
      </c>
      <c r="B126" s="702" t="s">
        <v>5365</v>
      </c>
      <c r="C126" s="703">
        <v>679998.4</v>
      </c>
    </row>
    <row r="127" ht="15.75" customHeight="1">
      <c r="A127" s="701" t="s">
        <v>289</v>
      </c>
      <c r="B127" s="702" t="s">
        <v>5366</v>
      </c>
      <c r="C127" s="703">
        <v>677796.6</v>
      </c>
    </row>
    <row r="128" ht="15.75" customHeight="1">
      <c r="A128" s="701" t="s">
        <v>888</v>
      </c>
      <c r="B128" s="702" t="s">
        <v>5367</v>
      </c>
      <c r="C128" s="703">
        <v>668647.0</v>
      </c>
    </row>
    <row r="129" ht="15.75" customHeight="1">
      <c r="A129" s="701" t="s">
        <v>1617</v>
      </c>
      <c r="B129" s="702" t="s">
        <v>5259</v>
      </c>
      <c r="C129" s="703">
        <v>665397.2</v>
      </c>
    </row>
    <row r="130" ht="15.75" customHeight="1">
      <c r="A130" s="701" t="s">
        <v>5368</v>
      </c>
      <c r="B130" s="702" t="s">
        <v>5369</v>
      </c>
      <c r="C130" s="703">
        <v>662029.6</v>
      </c>
    </row>
    <row r="131" ht="15.75" customHeight="1">
      <c r="A131" s="701" t="s">
        <v>2209</v>
      </c>
      <c r="B131" s="702" t="s">
        <v>5268</v>
      </c>
      <c r="C131" s="703">
        <v>658752.5</v>
      </c>
    </row>
    <row r="132" ht="15.75" customHeight="1">
      <c r="A132" s="701" t="s">
        <v>989</v>
      </c>
      <c r="B132" s="702" t="s">
        <v>5370</v>
      </c>
      <c r="C132" s="703">
        <v>656876.6</v>
      </c>
    </row>
    <row r="133" ht="15.75" customHeight="1">
      <c r="A133" s="701" t="s">
        <v>1483</v>
      </c>
      <c r="B133" s="702" t="s">
        <v>5328</v>
      </c>
      <c r="C133" s="703">
        <v>655275.5</v>
      </c>
    </row>
    <row r="134" ht="15.75" customHeight="1">
      <c r="A134" s="701" t="s">
        <v>1872</v>
      </c>
      <c r="B134" s="702" t="s">
        <v>5371</v>
      </c>
      <c r="C134" s="703">
        <v>652380.0</v>
      </c>
    </row>
    <row r="135" ht="15.75" customHeight="1">
      <c r="A135" s="701" t="s">
        <v>463</v>
      </c>
      <c r="B135" s="702" t="s">
        <v>5297</v>
      </c>
      <c r="C135" s="703">
        <v>647289.5</v>
      </c>
    </row>
    <row r="136" ht="15.75" customHeight="1">
      <c r="A136" s="701" t="s">
        <v>1073</v>
      </c>
      <c r="B136" s="702" t="s">
        <v>5357</v>
      </c>
      <c r="C136" s="703">
        <v>645280.9</v>
      </c>
    </row>
    <row r="137" ht="15.75" customHeight="1">
      <c r="A137" s="701" t="s">
        <v>136</v>
      </c>
      <c r="B137" s="702" t="s">
        <v>5372</v>
      </c>
      <c r="C137" s="703">
        <v>641347.8</v>
      </c>
    </row>
    <row r="138" ht="15.75" customHeight="1">
      <c r="A138" s="701" t="s">
        <v>426</v>
      </c>
      <c r="B138" s="702" t="s">
        <v>5284</v>
      </c>
      <c r="C138" s="703">
        <v>637861.4</v>
      </c>
    </row>
    <row r="139" ht="15.75" customHeight="1">
      <c r="A139" s="701" t="s">
        <v>391</v>
      </c>
      <c r="B139" s="702" t="s">
        <v>5373</v>
      </c>
      <c r="C139" s="703">
        <v>627067.9</v>
      </c>
    </row>
    <row r="140" ht="15.75" customHeight="1">
      <c r="A140" s="701" t="s">
        <v>420</v>
      </c>
      <c r="B140" s="702" t="s">
        <v>5284</v>
      </c>
      <c r="C140" s="703">
        <v>622438.9</v>
      </c>
    </row>
    <row r="141" ht="15.75" customHeight="1">
      <c r="A141" s="701" t="s">
        <v>1380</v>
      </c>
      <c r="B141" s="702" t="s">
        <v>5374</v>
      </c>
      <c r="C141" s="703">
        <v>622335.2</v>
      </c>
    </row>
    <row r="142" ht="15.75" customHeight="1">
      <c r="A142" s="701" t="s">
        <v>299</v>
      </c>
      <c r="B142" s="702" t="s">
        <v>5256</v>
      </c>
      <c r="C142" s="703">
        <v>613612.1</v>
      </c>
    </row>
    <row r="143" ht="15.75" customHeight="1">
      <c r="A143" s="701" t="s">
        <v>727</v>
      </c>
      <c r="B143" s="702" t="s">
        <v>5271</v>
      </c>
      <c r="C143" s="703">
        <v>611332.4</v>
      </c>
    </row>
    <row r="144" ht="15.75" customHeight="1">
      <c r="A144" s="701" t="s">
        <v>1991</v>
      </c>
      <c r="B144" s="702" t="s">
        <v>5293</v>
      </c>
      <c r="C144" s="703">
        <v>610620.0</v>
      </c>
    </row>
    <row r="145" ht="15.75" customHeight="1">
      <c r="A145" s="701" t="s">
        <v>5375</v>
      </c>
      <c r="B145" s="702" t="s">
        <v>5376</v>
      </c>
      <c r="C145" s="703">
        <v>610019.5</v>
      </c>
    </row>
    <row r="146" ht="15.75" customHeight="1">
      <c r="A146" s="701" t="s">
        <v>1865</v>
      </c>
      <c r="B146" s="702" t="s">
        <v>5371</v>
      </c>
      <c r="C146" s="703">
        <v>603312.7</v>
      </c>
    </row>
    <row r="147" ht="15.75" customHeight="1">
      <c r="A147" s="701" t="s">
        <v>821</v>
      </c>
      <c r="B147" s="702" t="s">
        <v>5377</v>
      </c>
      <c r="C147" s="703">
        <v>602315.1</v>
      </c>
    </row>
    <row r="148" ht="15.75" customHeight="1">
      <c r="A148" s="701" t="s">
        <v>1702</v>
      </c>
      <c r="B148" s="702" t="s">
        <v>5378</v>
      </c>
      <c r="C148" s="703">
        <v>593891.5</v>
      </c>
    </row>
    <row r="149" ht="15.75" customHeight="1">
      <c r="A149" s="701" t="s">
        <v>1577</v>
      </c>
      <c r="B149" s="702" t="s">
        <v>5311</v>
      </c>
      <c r="C149" s="703">
        <v>592630.9</v>
      </c>
    </row>
    <row r="150" ht="15.75" customHeight="1">
      <c r="A150" s="701" t="s">
        <v>5379</v>
      </c>
      <c r="B150" s="702" t="s">
        <v>5380</v>
      </c>
      <c r="C150" s="703">
        <v>591807.4</v>
      </c>
    </row>
    <row r="151" ht="15.75" customHeight="1">
      <c r="A151" s="701" t="s">
        <v>1058</v>
      </c>
      <c r="B151" s="702" t="s">
        <v>5381</v>
      </c>
      <c r="C151" s="703">
        <v>588098.3</v>
      </c>
    </row>
    <row r="152" ht="15.75" customHeight="1">
      <c r="A152" s="701" t="s">
        <v>109</v>
      </c>
      <c r="B152" s="702" t="s">
        <v>5382</v>
      </c>
      <c r="C152" s="703">
        <v>584963.0</v>
      </c>
    </row>
    <row r="153" ht="15.75" customHeight="1">
      <c r="A153" s="701" t="s">
        <v>2335</v>
      </c>
      <c r="B153" s="702" t="s">
        <v>5266</v>
      </c>
      <c r="C153" s="703">
        <v>584927.3</v>
      </c>
    </row>
    <row r="154" ht="15.75" customHeight="1">
      <c r="A154" s="701" t="s">
        <v>1065</v>
      </c>
      <c r="B154" s="702" t="s">
        <v>5383</v>
      </c>
      <c r="C154" s="703">
        <v>582057.5</v>
      </c>
    </row>
    <row r="155" ht="15.75" customHeight="1">
      <c r="A155" s="701" t="s">
        <v>1515</v>
      </c>
      <c r="B155" s="702" t="s">
        <v>5384</v>
      </c>
      <c r="C155" s="703">
        <v>580111.9</v>
      </c>
    </row>
    <row r="156" ht="15.75" customHeight="1">
      <c r="A156" s="701" t="s">
        <v>2081</v>
      </c>
      <c r="B156" s="702" t="s">
        <v>5385</v>
      </c>
      <c r="C156" s="703">
        <v>578861.2</v>
      </c>
    </row>
    <row r="157" ht="15.75" customHeight="1">
      <c r="A157" s="701" t="s">
        <v>2126</v>
      </c>
      <c r="B157" s="702" t="s">
        <v>5386</v>
      </c>
      <c r="C157" s="703">
        <v>578220.8</v>
      </c>
    </row>
    <row r="158" ht="15.75" customHeight="1">
      <c r="A158" s="701" t="s">
        <v>846</v>
      </c>
      <c r="B158" s="702" t="s">
        <v>5387</v>
      </c>
      <c r="C158" s="703">
        <v>576333.1</v>
      </c>
    </row>
    <row r="159" ht="15.75" customHeight="1">
      <c r="A159" s="701" t="s">
        <v>1123</v>
      </c>
      <c r="B159" s="702" t="s">
        <v>5388</v>
      </c>
      <c r="C159" s="703">
        <v>576282.6</v>
      </c>
    </row>
    <row r="160" ht="15.75" customHeight="1">
      <c r="A160" s="701" t="s">
        <v>890</v>
      </c>
      <c r="B160" s="702" t="s">
        <v>5367</v>
      </c>
      <c r="C160" s="703">
        <v>565416.6</v>
      </c>
    </row>
    <row r="161" ht="15.75" customHeight="1">
      <c r="A161" s="701" t="s">
        <v>804</v>
      </c>
      <c r="B161" s="702" t="s">
        <v>5389</v>
      </c>
      <c r="C161" s="703">
        <v>561708.2</v>
      </c>
    </row>
    <row r="162" ht="15.75" customHeight="1">
      <c r="A162" s="701" t="s">
        <v>673</v>
      </c>
      <c r="B162" s="702" t="s">
        <v>5390</v>
      </c>
      <c r="C162" s="703">
        <v>556144.0</v>
      </c>
    </row>
    <row r="163" ht="15.75" customHeight="1">
      <c r="A163" s="701" t="s">
        <v>1068</v>
      </c>
      <c r="B163" s="702" t="s">
        <v>5391</v>
      </c>
      <c r="C163" s="703">
        <v>554688.8</v>
      </c>
    </row>
    <row r="164" ht="15.75" customHeight="1">
      <c r="A164" s="701" t="s">
        <v>453</v>
      </c>
      <c r="B164" s="702" t="s">
        <v>5392</v>
      </c>
      <c r="C164" s="703">
        <v>552903.9</v>
      </c>
    </row>
    <row r="165" ht="15.75" customHeight="1">
      <c r="A165" s="701" t="s">
        <v>432</v>
      </c>
      <c r="B165" s="702" t="s">
        <v>5284</v>
      </c>
      <c r="C165" s="703">
        <v>550179.6</v>
      </c>
    </row>
    <row r="166" ht="15.75" customHeight="1">
      <c r="A166" s="701" t="s">
        <v>1873</v>
      </c>
      <c r="B166" s="702" t="s">
        <v>5371</v>
      </c>
      <c r="C166" s="703">
        <v>548721.8</v>
      </c>
    </row>
    <row r="167" ht="15.75" customHeight="1">
      <c r="A167" s="701" t="s">
        <v>537</v>
      </c>
      <c r="B167" s="702" t="s">
        <v>5393</v>
      </c>
      <c r="C167" s="703">
        <v>547400.3</v>
      </c>
    </row>
    <row r="168" ht="15.75" customHeight="1">
      <c r="A168" s="701" t="s">
        <v>590</v>
      </c>
      <c r="B168" s="702" t="s">
        <v>5394</v>
      </c>
      <c r="C168" s="703">
        <v>540824.2</v>
      </c>
    </row>
    <row r="169" ht="15.75" customHeight="1">
      <c r="A169" s="701" t="s">
        <v>864</v>
      </c>
      <c r="B169" s="702" t="s">
        <v>5395</v>
      </c>
      <c r="C169" s="703">
        <v>539934.2</v>
      </c>
    </row>
    <row r="170" ht="15.75" customHeight="1">
      <c r="A170" s="701" t="s">
        <v>1474</v>
      </c>
      <c r="B170" s="702" t="s">
        <v>5328</v>
      </c>
      <c r="C170" s="703">
        <v>536299.3</v>
      </c>
    </row>
    <row r="171" ht="15.75" customHeight="1">
      <c r="A171" s="701" t="s">
        <v>682</v>
      </c>
      <c r="B171" s="702" t="s">
        <v>5396</v>
      </c>
      <c r="C171" s="703">
        <v>531339.2</v>
      </c>
    </row>
    <row r="172" ht="15.75" customHeight="1">
      <c r="A172" s="701" t="s">
        <v>2238</v>
      </c>
      <c r="B172" s="702" t="s">
        <v>5397</v>
      </c>
      <c r="C172" s="703">
        <v>523852.4</v>
      </c>
    </row>
    <row r="173" ht="15.75" customHeight="1">
      <c r="A173" s="701" t="s">
        <v>1187</v>
      </c>
      <c r="B173" s="702" t="s">
        <v>5398</v>
      </c>
      <c r="C173" s="703">
        <v>514921.2</v>
      </c>
    </row>
    <row r="174" ht="15.75" customHeight="1">
      <c r="A174" s="701" t="s">
        <v>1161</v>
      </c>
      <c r="B174" s="702" t="s">
        <v>5399</v>
      </c>
      <c r="C174" s="703">
        <v>510031.9</v>
      </c>
    </row>
    <row r="175" ht="15.75" customHeight="1">
      <c r="A175" s="701" t="s">
        <v>827</v>
      </c>
      <c r="B175" s="702" t="s">
        <v>5400</v>
      </c>
      <c r="C175" s="703">
        <v>506808.4</v>
      </c>
    </row>
    <row r="176" ht="15.75" customHeight="1">
      <c r="A176" s="701" t="s">
        <v>724</v>
      </c>
      <c r="B176" s="702" t="s">
        <v>5401</v>
      </c>
      <c r="C176" s="703">
        <v>501702.9</v>
      </c>
    </row>
    <row r="177" ht="15.75" customHeight="1">
      <c r="A177" s="701" t="s">
        <v>2123</v>
      </c>
      <c r="B177" s="702" t="s">
        <v>5402</v>
      </c>
      <c r="C177" s="703">
        <v>501405.7</v>
      </c>
    </row>
    <row r="178" ht="15.75" customHeight="1">
      <c r="A178" s="701" t="s">
        <v>2248</v>
      </c>
      <c r="B178" s="702" t="s">
        <v>5403</v>
      </c>
      <c r="C178" s="703">
        <v>499376.5</v>
      </c>
    </row>
    <row r="179" ht="15.75" customHeight="1">
      <c r="A179" s="701" t="s">
        <v>1722</v>
      </c>
      <c r="B179" s="702" t="s">
        <v>5404</v>
      </c>
      <c r="C179" s="703">
        <v>494062.9</v>
      </c>
    </row>
    <row r="180" ht="15.75" customHeight="1">
      <c r="A180" s="701" t="s">
        <v>2226</v>
      </c>
      <c r="B180" s="702" t="s">
        <v>5405</v>
      </c>
      <c r="C180" s="703">
        <v>481998.8</v>
      </c>
    </row>
    <row r="181" ht="15.75" customHeight="1">
      <c r="A181" s="701" t="s">
        <v>85</v>
      </c>
      <c r="B181" s="702" t="s">
        <v>5406</v>
      </c>
      <c r="C181" s="703">
        <v>474406.2</v>
      </c>
    </row>
    <row r="182" ht="15.75" customHeight="1">
      <c r="A182" s="701" t="s">
        <v>1689</v>
      </c>
      <c r="B182" s="702" t="s">
        <v>5407</v>
      </c>
      <c r="C182" s="703">
        <v>473352.8</v>
      </c>
    </row>
    <row r="183" ht="15.75" customHeight="1">
      <c r="A183" s="701" t="s">
        <v>1906</v>
      </c>
      <c r="B183" s="702" t="s">
        <v>5408</v>
      </c>
      <c r="C183" s="703">
        <v>472819.3</v>
      </c>
    </row>
    <row r="184" ht="15.75" customHeight="1">
      <c r="A184" s="701" t="s">
        <v>1839</v>
      </c>
      <c r="B184" s="702" t="s">
        <v>5290</v>
      </c>
      <c r="C184" s="703">
        <v>469332.2</v>
      </c>
    </row>
    <row r="185" ht="15.75" customHeight="1">
      <c r="A185" s="701" t="s">
        <v>2317</v>
      </c>
      <c r="B185" s="702" t="s">
        <v>5409</v>
      </c>
      <c r="C185" s="703">
        <v>462347.2</v>
      </c>
    </row>
    <row r="186" ht="15.75" customHeight="1">
      <c r="A186" s="701" t="s">
        <v>1887</v>
      </c>
      <c r="B186" s="702" t="s">
        <v>5410</v>
      </c>
      <c r="C186" s="703">
        <v>462318.4</v>
      </c>
    </row>
    <row r="187" ht="15.75" customHeight="1">
      <c r="A187" s="701" t="s">
        <v>375</v>
      </c>
      <c r="B187" s="702" t="s">
        <v>5411</v>
      </c>
      <c r="C187" s="703">
        <v>456670.8</v>
      </c>
    </row>
    <row r="188" ht="15.75" customHeight="1">
      <c r="A188" s="701" t="s">
        <v>5412</v>
      </c>
      <c r="B188" s="702" t="s">
        <v>5413</v>
      </c>
      <c r="C188" s="703">
        <v>456240.2</v>
      </c>
    </row>
    <row r="189" ht="15.75" customHeight="1">
      <c r="A189" s="701" t="s">
        <v>247</v>
      </c>
      <c r="B189" s="702" t="s">
        <v>5312</v>
      </c>
      <c r="C189" s="703">
        <v>450229.7</v>
      </c>
    </row>
    <row r="190" ht="15.75" customHeight="1">
      <c r="A190" s="701" t="s">
        <v>692</v>
      </c>
      <c r="B190" s="702" t="s">
        <v>5262</v>
      </c>
      <c r="C190" s="703">
        <v>450146.9</v>
      </c>
    </row>
    <row r="191" ht="15.75" customHeight="1">
      <c r="A191" s="701" t="s">
        <v>2192</v>
      </c>
      <c r="B191" s="702" t="s">
        <v>5414</v>
      </c>
      <c r="C191" s="703">
        <v>439584.4</v>
      </c>
    </row>
    <row r="192" ht="15.75" customHeight="1">
      <c r="A192" s="701" t="s">
        <v>1846</v>
      </c>
      <c r="B192" s="702" t="s">
        <v>5290</v>
      </c>
      <c r="C192" s="703">
        <v>438051.9</v>
      </c>
    </row>
    <row r="193" ht="15.75" customHeight="1">
      <c r="A193" s="701" t="s">
        <v>548</v>
      </c>
      <c r="B193" s="702" t="s">
        <v>5415</v>
      </c>
      <c r="C193" s="703">
        <v>436327.3</v>
      </c>
    </row>
    <row r="194" ht="15.75" customHeight="1">
      <c r="A194" s="701" t="s">
        <v>1767</v>
      </c>
      <c r="B194" s="702" t="s">
        <v>5416</v>
      </c>
      <c r="C194" s="703">
        <v>435283.5</v>
      </c>
    </row>
    <row r="195" ht="15.75" customHeight="1">
      <c r="A195" s="701" t="s">
        <v>1536</v>
      </c>
      <c r="B195" s="702" t="s">
        <v>5287</v>
      </c>
      <c r="C195" s="703">
        <v>430906.4</v>
      </c>
    </row>
    <row r="196" ht="15.75" customHeight="1">
      <c r="A196" s="701" t="s">
        <v>2319</v>
      </c>
      <c r="B196" s="702" t="s">
        <v>5417</v>
      </c>
      <c r="C196" s="703">
        <v>430541.0</v>
      </c>
    </row>
    <row r="197" ht="15.75" customHeight="1">
      <c r="A197" s="701" t="s">
        <v>2278</v>
      </c>
      <c r="B197" s="702" t="s">
        <v>5418</v>
      </c>
      <c r="C197" s="703">
        <v>428694.4</v>
      </c>
    </row>
    <row r="198" ht="15.75" customHeight="1">
      <c r="A198" s="701" t="s">
        <v>441</v>
      </c>
      <c r="B198" s="702" t="s">
        <v>5419</v>
      </c>
      <c r="C198" s="703">
        <v>428486.9</v>
      </c>
    </row>
    <row r="199" ht="15.75" customHeight="1">
      <c r="A199" s="701" t="s">
        <v>1047</v>
      </c>
      <c r="B199" s="702" t="s">
        <v>5420</v>
      </c>
      <c r="C199" s="703">
        <v>428356.1</v>
      </c>
    </row>
    <row r="200" ht="15.75" customHeight="1">
      <c r="A200" s="701" t="s">
        <v>1457</v>
      </c>
      <c r="B200" s="702" t="s">
        <v>5421</v>
      </c>
      <c r="C200" s="703">
        <v>426364.7</v>
      </c>
    </row>
    <row r="201" ht="15.75" customHeight="1">
      <c r="A201" s="701" t="s">
        <v>1203</v>
      </c>
      <c r="B201" s="702" t="s">
        <v>5314</v>
      </c>
      <c r="C201" s="703">
        <v>425425.8</v>
      </c>
    </row>
    <row r="202" ht="15.75" customHeight="1">
      <c r="A202" s="701" t="s">
        <v>1611</v>
      </c>
      <c r="B202" s="702" t="s">
        <v>5259</v>
      </c>
      <c r="C202" s="703">
        <v>425397.6</v>
      </c>
    </row>
    <row r="203" ht="15.75" customHeight="1">
      <c r="A203" s="701" t="s">
        <v>949</v>
      </c>
      <c r="B203" s="702" t="s">
        <v>5422</v>
      </c>
      <c r="C203" s="703">
        <v>424840.0</v>
      </c>
    </row>
    <row r="204" ht="15.75" customHeight="1">
      <c r="A204" s="701" t="s">
        <v>587</v>
      </c>
      <c r="B204" s="702" t="s">
        <v>5423</v>
      </c>
      <c r="C204" s="703">
        <v>408767.0</v>
      </c>
    </row>
    <row r="205" ht="15.75" customHeight="1">
      <c r="A205" s="701" t="s">
        <v>915</v>
      </c>
      <c r="B205" s="702" t="s">
        <v>5424</v>
      </c>
      <c r="C205" s="703">
        <v>404737.6</v>
      </c>
    </row>
    <row r="206" ht="15.75" customHeight="1">
      <c r="A206" s="701" t="s">
        <v>1502</v>
      </c>
      <c r="B206" s="702" t="s">
        <v>5425</v>
      </c>
      <c r="C206" s="703">
        <v>396654.3</v>
      </c>
    </row>
    <row r="207" ht="15.75" customHeight="1">
      <c r="A207" s="701" t="s">
        <v>1041</v>
      </c>
      <c r="B207" s="702" t="s">
        <v>5420</v>
      </c>
      <c r="C207" s="703">
        <v>389327.6</v>
      </c>
    </row>
    <row r="208" ht="15.75" customHeight="1">
      <c r="A208" s="701" t="s">
        <v>972</v>
      </c>
      <c r="B208" s="702" t="s">
        <v>5426</v>
      </c>
      <c r="C208" s="703">
        <v>384907.3</v>
      </c>
    </row>
    <row r="209" ht="15.75" customHeight="1">
      <c r="A209" s="701" t="s">
        <v>1602</v>
      </c>
      <c r="B209" s="702" t="s">
        <v>5259</v>
      </c>
      <c r="C209" s="703">
        <v>375245.1</v>
      </c>
    </row>
    <row r="210" ht="15.75" customHeight="1">
      <c r="A210" s="701" t="s">
        <v>1443</v>
      </c>
      <c r="B210" s="702" t="s">
        <v>5427</v>
      </c>
      <c r="C210" s="703">
        <v>373843.6</v>
      </c>
    </row>
    <row r="211" ht="15.75" customHeight="1">
      <c r="A211" s="701" t="s">
        <v>2005</v>
      </c>
      <c r="B211" s="702" t="s">
        <v>5428</v>
      </c>
      <c r="C211" s="703">
        <v>373086.8</v>
      </c>
    </row>
    <row r="212" ht="15.75" customHeight="1">
      <c r="A212" s="701" t="s">
        <v>2232</v>
      </c>
      <c r="B212" s="702" t="s">
        <v>5397</v>
      </c>
      <c r="C212" s="703">
        <v>370886.2</v>
      </c>
    </row>
    <row r="213" ht="15.75" customHeight="1">
      <c r="A213" s="701" t="s">
        <v>460</v>
      </c>
      <c r="B213" s="702" t="s">
        <v>5297</v>
      </c>
      <c r="C213" s="703">
        <v>370078.1</v>
      </c>
    </row>
    <row r="214" ht="15.75" customHeight="1">
      <c r="A214" s="701" t="s">
        <v>1798</v>
      </c>
      <c r="B214" s="702" t="s">
        <v>5364</v>
      </c>
      <c r="C214" s="703">
        <v>370072.6</v>
      </c>
    </row>
    <row r="215" ht="15.75" customHeight="1">
      <c r="A215" s="701" t="s">
        <v>1566</v>
      </c>
      <c r="B215" s="702" t="s">
        <v>5311</v>
      </c>
      <c r="C215" s="703">
        <v>368581.9</v>
      </c>
    </row>
    <row r="216" ht="15.75" customHeight="1">
      <c r="A216" s="701" t="s">
        <v>983</v>
      </c>
      <c r="B216" s="702" t="s">
        <v>5429</v>
      </c>
      <c r="C216" s="703">
        <v>368465.4</v>
      </c>
    </row>
    <row r="217" ht="15.75" customHeight="1">
      <c r="A217" s="701" t="s">
        <v>2085</v>
      </c>
      <c r="B217" s="702" t="s">
        <v>5385</v>
      </c>
      <c r="C217" s="703">
        <v>366690.3</v>
      </c>
    </row>
    <row r="218" ht="15.75" customHeight="1">
      <c r="A218" s="701" t="s">
        <v>182</v>
      </c>
      <c r="B218" s="702" t="s">
        <v>5430</v>
      </c>
      <c r="C218" s="703">
        <v>362760.0</v>
      </c>
    </row>
    <row r="219" ht="15.75" customHeight="1">
      <c r="A219" s="701" t="s">
        <v>898</v>
      </c>
      <c r="B219" s="702" t="s">
        <v>5431</v>
      </c>
      <c r="C219" s="703">
        <v>362195.6</v>
      </c>
    </row>
    <row r="220" ht="15.75" customHeight="1">
      <c r="A220" s="701" t="s">
        <v>497</v>
      </c>
      <c r="B220" s="702" t="s">
        <v>5432</v>
      </c>
      <c r="C220" s="703">
        <v>362168.5</v>
      </c>
    </row>
    <row r="221" ht="15.75" customHeight="1">
      <c r="A221" s="701" t="s">
        <v>660</v>
      </c>
      <c r="B221" s="702" t="s">
        <v>5433</v>
      </c>
      <c r="C221" s="703">
        <v>358239.8</v>
      </c>
    </row>
    <row r="222" ht="15.75" customHeight="1">
      <c r="A222" s="701" t="s">
        <v>2107</v>
      </c>
      <c r="B222" s="702" t="s">
        <v>5434</v>
      </c>
      <c r="C222" s="703">
        <v>355879.1</v>
      </c>
    </row>
    <row r="223" ht="15.75" customHeight="1">
      <c r="A223" s="701" t="s">
        <v>1507</v>
      </c>
      <c r="B223" s="702" t="s">
        <v>5435</v>
      </c>
      <c r="C223" s="703">
        <v>354004.3</v>
      </c>
    </row>
    <row r="224" ht="15.75" customHeight="1">
      <c r="A224" s="701" t="s">
        <v>1054</v>
      </c>
      <c r="B224" s="702" t="s">
        <v>5436</v>
      </c>
      <c r="C224" s="703">
        <v>353330.0</v>
      </c>
    </row>
    <row r="225" ht="15.75" customHeight="1">
      <c r="A225" s="701" t="s">
        <v>524</v>
      </c>
      <c r="B225" s="702" t="s">
        <v>5437</v>
      </c>
      <c r="C225" s="703">
        <v>348437.3</v>
      </c>
    </row>
    <row r="226" ht="15.75" customHeight="1">
      <c r="A226" s="701" t="s">
        <v>811</v>
      </c>
      <c r="B226" s="702" t="s">
        <v>5438</v>
      </c>
      <c r="C226" s="703">
        <v>345877.3</v>
      </c>
    </row>
    <row r="227" ht="15.75" customHeight="1">
      <c r="A227" s="701" t="s">
        <v>1398</v>
      </c>
      <c r="B227" s="702" t="s">
        <v>5439</v>
      </c>
      <c r="C227" s="703">
        <v>340957.8</v>
      </c>
    </row>
    <row r="228" ht="15.75" customHeight="1">
      <c r="A228" s="701" t="s">
        <v>5440</v>
      </c>
      <c r="B228" s="702" t="s">
        <v>5441</v>
      </c>
      <c r="C228" s="703">
        <v>340201.4</v>
      </c>
    </row>
    <row r="229" ht="15.75" customHeight="1">
      <c r="A229" s="701" t="s">
        <v>720</v>
      </c>
      <c r="B229" s="702" t="s">
        <v>5442</v>
      </c>
      <c r="C229" s="703">
        <v>338913.8</v>
      </c>
    </row>
    <row r="230" ht="15.75" customHeight="1">
      <c r="A230" s="701" t="s">
        <v>830</v>
      </c>
      <c r="B230" s="702" t="s">
        <v>5443</v>
      </c>
      <c r="C230" s="703">
        <v>337357.9</v>
      </c>
    </row>
    <row r="231" ht="15.75" customHeight="1">
      <c r="A231" s="701" t="s">
        <v>1585</v>
      </c>
      <c r="B231" s="702" t="s">
        <v>5444</v>
      </c>
      <c r="C231" s="703">
        <v>336863.9</v>
      </c>
    </row>
    <row r="232" ht="15.75" customHeight="1">
      <c r="A232" s="701" t="s">
        <v>1146</v>
      </c>
      <c r="B232" s="702" t="s">
        <v>5445</v>
      </c>
      <c r="C232" s="703">
        <v>333553.2</v>
      </c>
    </row>
    <row r="233" ht="15.75" customHeight="1">
      <c r="A233" s="701" t="s">
        <v>1667</v>
      </c>
      <c r="B233" s="702" t="s">
        <v>5446</v>
      </c>
      <c r="C233" s="703">
        <v>331592.1</v>
      </c>
    </row>
    <row r="234" ht="15.75" customHeight="1">
      <c r="A234" s="701" t="s">
        <v>2271</v>
      </c>
      <c r="B234" s="702" t="s">
        <v>5447</v>
      </c>
      <c r="C234" s="703">
        <v>326714.4</v>
      </c>
    </row>
    <row r="235" ht="15.75" customHeight="1">
      <c r="A235" s="701" t="s">
        <v>1348</v>
      </c>
      <c r="B235" s="702" t="s">
        <v>5448</v>
      </c>
      <c r="C235" s="703">
        <v>326610.2</v>
      </c>
    </row>
    <row r="236" ht="15.75" customHeight="1">
      <c r="A236" s="701" t="s">
        <v>1869</v>
      </c>
      <c r="B236" s="702" t="s">
        <v>5371</v>
      </c>
      <c r="C236" s="703">
        <v>325919.5</v>
      </c>
    </row>
    <row r="237" ht="15.75" customHeight="1">
      <c r="A237" s="701" t="s">
        <v>1271</v>
      </c>
      <c r="B237" s="702" t="s">
        <v>5449</v>
      </c>
      <c r="C237" s="703">
        <v>325245.8</v>
      </c>
    </row>
    <row r="238" ht="15.75" customHeight="1">
      <c r="A238" s="701" t="s">
        <v>1310</v>
      </c>
      <c r="B238" s="702" t="s">
        <v>5258</v>
      </c>
      <c r="C238" s="703">
        <v>324853.8</v>
      </c>
    </row>
    <row r="239" ht="15.75" customHeight="1">
      <c r="A239" s="701" t="s">
        <v>1328</v>
      </c>
      <c r="B239" s="702" t="s">
        <v>5343</v>
      </c>
      <c r="C239" s="703">
        <v>321142.7</v>
      </c>
    </row>
    <row r="240" ht="15.75" customHeight="1">
      <c r="A240" s="701" t="s">
        <v>1131</v>
      </c>
      <c r="B240" s="702" t="s">
        <v>5450</v>
      </c>
      <c r="C240" s="703">
        <v>319570.4</v>
      </c>
    </row>
    <row r="241" ht="15.75" customHeight="1">
      <c r="A241" s="701" t="s">
        <v>1193</v>
      </c>
      <c r="B241" s="702" t="s">
        <v>5314</v>
      </c>
      <c r="C241" s="703">
        <v>317070.5</v>
      </c>
    </row>
    <row r="242" ht="15.75" customHeight="1">
      <c r="A242" s="701" t="s">
        <v>5451</v>
      </c>
      <c r="B242" s="702" t="s">
        <v>5348</v>
      </c>
      <c r="C242" s="703">
        <v>316376.6</v>
      </c>
    </row>
    <row r="243" ht="15.75" customHeight="1">
      <c r="A243" s="701" t="s">
        <v>1708</v>
      </c>
      <c r="B243" s="702" t="s">
        <v>5320</v>
      </c>
      <c r="C243" s="703">
        <v>311212.7</v>
      </c>
    </row>
    <row r="244" ht="15.75" customHeight="1">
      <c r="A244" s="701" t="s">
        <v>501</v>
      </c>
      <c r="B244" s="702" t="s">
        <v>5452</v>
      </c>
      <c r="C244" s="703">
        <v>310368.9</v>
      </c>
    </row>
    <row r="245" ht="15.75" customHeight="1">
      <c r="A245" s="701" t="s">
        <v>2297</v>
      </c>
      <c r="B245" s="702" t="s">
        <v>5453</v>
      </c>
      <c r="C245" s="703">
        <v>303840.5</v>
      </c>
    </row>
    <row r="246" ht="15.75" customHeight="1">
      <c r="A246" s="701" t="s">
        <v>2182</v>
      </c>
      <c r="B246" s="702" t="s">
        <v>5454</v>
      </c>
      <c r="C246" s="703">
        <v>302965.4</v>
      </c>
    </row>
    <row r="247" ht="15.75" customHeight="1">
      <c r="A247" s="701" t="s">
        <v>1149</v>
      </c>
      <c r="B247" s="702" t="s">
        <v>5455</v>
      </c>
      <c r="C247" s="703">
        <v>301366.3</v>
      </c>
    </row>
    <row r="248" ht="15.75" customHeight="1">
      <c r="A248" s="701" t="s">
        <v>481</v>
      </c>
      <c r="B248" s="702" t="s">
        <v>5297</v>
      </c>
      <c r="C248" s="703">
        <v>300114.2</v>
      </c>
    </row>
    <row r="249" ht="15.75" customHeight="1">
      <c r="A249" s="701" t="s">
        <v>959</v>
      </c>
      <c r="B249" s="702" t="s">
        <v>5456</v>
      </c>
      <c r="C249" s="703">
        <v>300008.9</v>
      </c>
    </row>
    <row r="250" ht="15.75" customHeight="1">
      <c r="A250" s="701" t="s">
        <v>605</v>
      </c>
      <c r="B250" s="702" t="s">
        <v>5350</v>
      </c>
      <c r="C250" s="703">
        <v>299539.6</v>
      </c>
    </row>
    <row r="251" ht="15.75" customHeight="1">
      <c r="A251" s="701" t="s">
        <v>622</v>
      </c>
      <c r="B251" s="702" t="s">
        <v>5457</v>
      </c>
      <c r="C251" s="703">
        <v>297504.4</v>
      </c>
    </row>
    <row r="252" ht="15.75" customHeight="1">
      <c r="A252" s="701" t="s">
        <v>132</v>
      </c>
      <c r="B252" s="702" t="s">
        <v>5372</v>
      </c>
      <c r="C252" s="703">
        <v>296203.8</v>
      </c>
    </row>
    <row r="253" ht="15.75" customHeight="1">
      <c r="A253" s="701" t="s">
        <v>912</v>
      </c>
      <c r="B253" s="702" t="s">
        <v>5424</v>
      </c>
      <c r="C253" s="703">
        <v>295077.7</v>
      </c>
    </row>
    <row r="254" ht="15.75" customHeight="1">
      <c r="A254" s="701" t="s">
        <v>1102</v>
      </c>
      <c r="B254" s="702" t="s">
        <v>5458</v>
      </c>
      <c r="C254" s="703">
        <v>294620.3</v>
      </c>
    </row>
    <row r="255" ht="15.75" customHeight="1">
      <c r="A255" s="701" t="s">
        <v>340</v>
      </c>
      <c r="B255" s="702" t="s">
        <v>5459</v>
      </c>
      <c r="C255" s="703">
        <v>290196.0</v>
      </c>
    </row>
    <row r="256" ht="15.75" customHeight="1">
      <c r="A256" s="701" t="s">
        <v>1014</v>
      </c>
      <c r="B256" s="702" t="s">
        <v>5275</v>
      </c>
      <c r="C256" s="703">
        <v>290091.8</v>
      </c>
    </row>
    <row r="257" ht="15.75" customHeight="1">
      <c r="A257" s="701" t="s">
        <v>379</v>
      </c>
      <c r="B257" s="702" t="s">
        <v>5411</v>
      </c>
      <c r="C257" s="703">
        <v>289536.3</v>
      </c>
    </row>
    <row r="258" ht="15.75" customHeight="1">
      <c r="A258" s="701" t="s">
        <v>670</v>
      </c>
      <c r="B258" s="702" t="s">
        <v>5460</v>
      </c>
      <c r="C258" s="703">
        <v>288516.2</v>
      </c>
    </row>
    <row r="259" ht="15.75" customHeight="1">
      <c r="A259" s="701" t="s">
        <v>2069</v>
      </c>
      <c r="B259" s="702" t="s">
        <v>5461</v>
      </c>
      <c r="C259" s="703">
        <v>282677.3</v>
      </c>
    </row>
    <row r="260" ht="15.75" customHeight="1">
      <c r="A260" s="701" t="s">
        <v>1751</v>
      </c>
      <c r="B260" s="702" t="s">
        <v>5462</v>
      </c>
      <c r="C260" s="703">
        <v>281409.2</v>
      </c>
    </row>
    <row r="261" ht="15.75" customHeight="1">
      <c r="A261" s="701" t="s">
        <v>849</v>
      </c>
      <c r="B261" s="702" t="s">
        <v>5387</v>
      </c>
      <c r="C261" s="703">
        <v>279354.4</v>
      </c>
    </row>
    <row r="262" ht="15.75" customHeight="1">
      <c r="A262" s="701" t="s">
        <v>1440</v>
      </c>
      <c r="B262" s="702" t="s">
        <v>5463</v>
      </c>
      <c r="C262" s="703">
        <v>278565.9</v>
      </c>
    </row>
    <row r="263" ht="15.75" customHeight="1">
      <c r="A263" s="701" t="s">
        <v>1254</v>
      </c>
      <c r="B263" s="702" t="s">
        <v>5291</v>
      </c>
      <c r="C263" s="703">
        <v>278285.7</v>
      </c>
    </row>
    <row r="264" ht="15.75" customHeight="1">
      <c r="A264" s="701" t="s">
        <v>1985</v>
      </c>
      <c r="B264" s="702" t="s">
        <v>5298</v>
      </c>
      <c r="C264" s="703">
        <v>275201.9</v>
      </c>
    </row>
    <row r="265" ht="15.75" customHeight="1">
      <c r="A265" s="701" t="s">
        <v>434</v>
      </c>
      <c r="B265" s="702" t="s">
        <v>5419</v>
      </c>
      <c r="C265" s="703">
        <v>268889.1</v>
      </c>
    </row>
    <row r="266" ht="15.75" customHeight="1">
      <c r="A266" s="701" t="s">
        <v>2206</v>
      </c>
      <c r="B266" s="702" t="s">
        <v>5464</v>
      </c>
      <c r="C266" s="703">
        <v>267742.1</v>
      </c>
    </row>
    <row r="267" ht="15.75" customHeight="1">
      <c r="A267" s="701" t="s">
        <v>1412</v>
      </c>
      <c r="B267" s="702" t="s">
        <v>5465</v>
      </c>
      <c r="C267" s="703">
        <v>267449.2</v>
      </c>
    </row>
    <row r="268" ht="15.75" customHeight="1">
      <c r="A268" s="701" t="s">
        <v>490</v>
      </c>
      <c r="B268" s="702" t="s">
        <v>5466</v>
      </c>
      <c r="C268" s="703">
        <v>266820.6</v>
      </c>
    </row>
    <row r="269" ht="15.75" customHeight="1">
      <c r="A269" s="701" t="s">
        <v>1408</v>
      </c>
      <c r="B269" s="702" t="s">
        <v>5465</v>
      </c>
      <c r="C269" s="703">
        <v>264211.9</v>
      </c>
    </row>
    <row r="270" ht="15.75" customHeight="1">
      <c r="A270" s="701" t="s">
        <v>1105</v>
      </c>
      <c r="B270" s="702" t="s">
        <v>5467</v>
      </c>
      <c r="C270" s="703">
        <v>261234.8</v>
      </c>
    </row>
    <row r="271" ht="15.75" customHeight="1">
      <c r="A271" s="701" t="s">
        <v>580</v>
      </c>
      <c r="B271" s="702" t="s">
        <v>5468</v>
      </c>
      <c r="C271" s="703">
        <v>257976.7</v>
      </c>
    </row>
    <row r="272" ht="15.75" customHeight="1">
      <c r="A272" s="701" t="s">
        <v>2326</v>
      </c>
      <c r="B272" s="702" t="s">
        <v>5469</v>
      </c>
      <c r="C272" s="703">
        <v>255227.7</v>
      </c>
    </row>
    <row r="273" ht="15.75" customHeight="1">
      <c r="A273" s="701" t="s">
        <v>1763</v>
      </c>
      <c r="B273" s="702" t="s">
        <v>5470</v>
      </c>
      <c r="C273" s="703">
        <v>254385.5</v>
      </c>
    </row>
    <row r="274" ht="15.75" customHeight="1">
      <c r="A274" s="701" t="s">
        <v>328</v>
      </c>
      <c r="B274" s="702" t="s">
        <v>5471</v>
      </c>
      <c r="C274" s="703">
        <v>252018.5</v>
      </c>
    </row>
    <row r="275" ht="15.75" customHeight="1">
      <c r="A275" s="701" t="s">
        <v>1956</v>
      </c>
      <c r="B275" s="702" t="s">
        <v>5472</v>
      </c>
      <c r="C275" s="703">
        <v>251390.6</v>
      </c>
    </row>
    <row r="276" ht="15.75" customHeight="1">
      <c r="A276" s="701" t="s">
        <v>2275</v>
      </c>
      <c r="B276" s="702" t="s">
        <v>5447</v>
      </c>
      <c r="C276" s="703">
        <v>250282.5</v>
      </c>
    </row>
    <row r="277" ht="15.75" customHeight="1">
      <c r="A277" s="701" t="s">
        <v>1108</v>
      </c>
      <c r="B277" s="702" t="s">
        <v>5473</v>
      </c>
      <c r="C277" s="703">
        <v>248932.0</v>
      </c>
    </row>
    <row r="278" ht="15.75" customHeight="1">
      <c r="A278" s="701" t="s">
        <v>1802</v>
      </c>
      <c r="B278" s="702" t="s">
        <v>5364</v>
      </c>
      <c r="C278" s="703">
        <v>248150.2</v>
      </c>
    </row>
    <row r="279" ht="15.75" customHeight="1">
      <c r="A279" s="701" t="s">
        <v>1559</v>
      </c>
      <c r="B279" s="702" t="s">
        <v>5356</v>
      </c>
      <c r="C279" s="703">
        <v>246186.3</v>
      </c>
    </row>
    <row r="280" ht="15.75" customHeight="1">
      <c r="A280" s="701" t="s">
        <v>2347</v>
      </c>
      <c r="B280" s="702" t="s">
        <v>5474</v>
      </c>
      <c r="C280" s="703">
        <v>243234.7</v>
      </c>
    </row>
    <row r="281" ht="15.75" customHeight="1">
      <c r="A281" s="701" t="s">
        <v>969</v>
      </c>
      <c r="B281" s="702" t="s">
        <v>5475</v>
      </c>
      <c r="C281" s="703">
        <v>241672.4</v>
      </c>
    </row>
    <row r="282" ht="15.75" customHeight="1">
      <c r="A282" s="701" t="s">
        <v>2136</v>
      </c>
      <c r="B282" s="702" t="s">
        <v>5301</v>
      </c>
      <c r="C282" s="703">
        <v>241627.6</v>
      </c>
    </row>
    <row r="283" ht="15.75" customHeight="1">
      <c r="A283" s="701" t="s">
        <v>2146</v>
      </c>
      <c r="B283" s="702" t="s">
        <v>5476</v>
      </c>
      <c r="C283" s="703">
        <v>240920.8</v>
      </c>
    </row>
    <row r="284" ht="15.75" customHeight="1">
      <c r="A284" s="701" t="s">
        <v>141</v>
      </c>
      <c r="B284" s="702" t="s">
        <v>5477</v>
      </c>
      <c r="C284" s="703">
        <v>240570.5</v>
      </c>
    </row>
    <row r="285" ht="15.75" customHeight="1">
      <c r="A285" s="701" t="s">
        <v>599</v>
      </c>
      <c r="B285" s="702" t="s">
        <v>5350</v>
      </c>
      <c r="C285" s="703">
        <v>238275.4</v>
      </c>
    </row>
    <row r="286" ht="15.75" customHeight="1">
      <c r="A286" s="701" t="s">
        <v>1592</v>
      </c>
      <c r="B286" s="702" t="s">
        <v>5478</v>
      </c>
      <c r="C286" s="703">
        <v>234438.5</v>
      </c>
    </row>
    <row r="287" ht="15.75" customHeight="1">
      <c r="A287" s="701" t="s">
        <v>521</v>
      </c>
      <c r="B287" s="702" t="s">
        <v>5479</v>
      </c>
      <c r="C287" s="703">
        <v>234294.4</v>
      </c>
    </row>
    <row r="288" ht="15.75" customHeight="1">
      <c r="A288" s="701" t="s">
        <v>798</v>
      </c>
      <c r="B288" s="702" t="s">
        <v>5480</v>
      </c>
      <c r="C288" s="703">
        <v>232394.6</v>
      </c>
    </row>
    <row r="289" ht="15.75" customHeight="1">
      <c r="A289" s="701" t="s">
        <v>474</v>
      </c>
      <c r="B289" s="702" t="s">
        <v>5297</v>
      </c>
      <c r="C289" s="703">
        <v>231135.6</v>
      </c>
    </row>
    <row r="290" ht="15.75" customHeight="1">
      <c r="A290" s="701" t="s">
        <v>437</v>
      </c>
      <c r="B290" s="702" t="s">
        <v>5419</v>
      </c>
      <c r="C290" s="703">
        <v>230950.0</v>
      </c>
    </row>
    <row r="291" ht="15.75" customHeight="1">
      <c r="A291" s="701" t="s">
        <v>366</v>
      </c>
      <c r="B291" s="702" t="s">
        <v>5481</v>
      </c>
      <c r="C291" s="703">
        <v>229084.7</v>
      </c>
    </row>
    <row r="292" ht="15.75" customHeight="1">
      <c r="A292" s="701" t="s">
        <v>2021</v>
      </c>
      <c r="B292" s="702" t="s">
        <v>5482</v>
      </c>
      <c r="C292" s="703">
        <v>224251.0</v>
      </c>
    </row>
    <row r="293" ht="15.75" customHeight="1">
      <c r="A293" s="701" t="s">
        <v>2075</v>
      </c>
      <c r="B293" s="702" t="s">
        <v>5483</v>
      </c>
      <c r="C293" s="703">
        <v>223360.5</v>
      </c>
    </row>
    <row r="294" ht="15.75" customHeight="1">
      <c r="A294" s="701" t="s">
        <v>417</v>
      </c>
      <c r="B294" s="702" t="s">
        <v>5284</v>
      </c>
      <c r="C294" s="703">
        <v>222286.3</v>
      </c>
    </row>
    <row r="295" ht="15.75" customHeight="1">
      <c r="A295" s="701" t="s">
        <v>545</v>
      </c>
      <c r="B295" s="702" t="s">
        <v>5484</v>
      </c>
      <c r="C295" s="703">
        <v>221887.6</v>
      </c>
    </row>
    <row r="296" ht="15.75" customHeight="1">
      <c r="A296" s="701" t="s">
        <v>410</v>
      </c>
      <c r="B296" s="702" t="s">
        <v>5284</v>
      </c>
      <c r="C296" s="703">
        <v>221368.8</v>
      </c>
    </row>
    <row r="297" ht="15.75" customHeight="1">
      <c r="A297" s="701" t="s">
        <v>2024</v>
      </c>
      <c r="B297" s="702" t="s">
        <v>5482</v>
      </c>
      <c r="C297" s="703">
        <v>219295.5</v>
      </c>
    </row>
    <row r="298" ht="15.75" customHeight="1">
      <c r="A298" s="701" t="s">
        <v>1918</v>
      </c>
      <c r="B298" s="702" t="s">
        <v>5281</v>
      </c>
      <c r="C298" s="703">
        <v>215822.3</v>
      </c>
    </row>
    <row r="299" ht="15.75" customHeight="1">
      <c r="A299" s="701" t="s">
        <v>2313</v>
      </c>
      <c r="B299" s="702" t="s">
        <v>5409</v>
      </c>
      <c r="C299" s="703">
        <v>214371.9</v>
      </c>
    </row>
    <row r="300" ht="15.75" customHeight="1">
      <c r="A300" s="701" t="s">
        <v>388</v>
      </c>
      <c r="B300" s="702" t="s">
        <v>5485</v>
      </c>
      <c r="C300" s="703">
        <v>213481.8</v>
      </c>
    </row>
    <row r="301" ht="15.75" customHeight="1">
      <c r="A301" s="701" t="s">
        <v>836</v>
      </c>
      <c r="B301" s="702" t="s">
        <v>5486</v>
      </c>
      <c r="C301" s="703">
        <v>213238.7</v>
      </c>
    </row>
    <row r="302" ht="15.75" customHeight="1">
      <c r="A302" s="701" t="s">
        <v>1940</v>
      </c>
      <c r="B302" s="702" t="s">
        <v>5487</v>
      </c>
      <c r="C302" s="703">
        <v>212704.1</v>
      </c>
    </row>
    <row r="303" ht="15.75" customHeight="1">
      <c r="A303" s="701" t="s">
        <v>651</v>
      </c>
      <c r="B303" s="702" t="s">
        <v>5488</v>
      </c>
      <c r="C303" s="703">
        <v>209734.8</v>
      </c>
    </row>
    <row r="304" ht="15.75" customHeight="1">
      <c r="A304" s="701" t="s">
        <v>2157</v>
      </c>
      <c r="B304" s="702" t="s">
        <v>5489</v>
      </c>
      <c r="C304" s="703">
        <v>209238.8</v>
      </c>
    </row>
    <row r="305" ht="15.75" customHeight="1">
      <c r="A305" s="701" t="s">
        <v>1168</v>
      </c>
      <c r="B305" s="702" t="s">
        <v>5399</v>
      </c>
      <c r="C305" s="703">
        <v>208431.8</v>
      </c>
    </row>
    <row r="306" ht="15.75" customHeight="1">
      <c r="A306" s="701" t="s">
        <v>699</v>
      </c>
      <c r="B306" s="702" t="s">
        <v>5490</v>
      </c>
      <c r="C306" s="703">
        <v>208004.6</v>
      </c>
    </row>
    <row r="307" ht="15.75" customHeight="1">
      <c r="A307" s="701" t="s">
        <v>1903</v>
      </c>
      <c r="B307" s="702" t="s">
        <v>5319</v>
      </c>
      <c r="C307" s="703">
        <v>206815.7</v>
      </c>
    </row>
    <row r="308" ht="15.75" customHeight="1">
      <c r="A308" s="701" t="s">
        <v>126</v>
      </c>
      <c r="B308" s="702" t="s">
        <v>5372</v>
      </c>
      <c r="C308" s="703">
        <v>205535.4</v>
      </c>
    </row>
    <row r="309" ht="15.75" customHeight="1">
      <c r="A309" s="701" t="s">
        <v>1135</v>
      </c>
      <c r="B309" s="702" t="s">
        <v>5491</v>
      </c>
      <c r="C309" s="703">
        <v>204578.1</v>
      </c>
    </row>
    <row r="310" ht="15.75" customHeight="1">
      <c r="A310" s="701" t="s">
        <v>1306</v>
      </c>
      <c r="B310" s="702" t="s">
        <v>5492</v>
      </c>
      <c r="C310" s="703">
        <v>203133.8</v>
      </c>
    </row>
    <row r="311" ht="15.75" customHeight="1">
      <c r="A311" s="701" t="s">
        <v>2170</v>
      </c>
      <c r="B311" s="702" t="s">
        <v>5493</v>
      </c>
      <c r="C311" s="703">
        <v>202636.6</v>
      </c>
    </row>
    <row r="312" ht="15.75" customHeight="1">
      <c r="A312" s="701" t="s">
        <v>2344</v>
      </c>
      <c r="B312" s="702" t="s">
        <v>5474</v>
      </c>
      <c r="C312" s="703">
        <v>202367.1</v>
      </c>
    </row>
    <row r="313" ht="15.75" customHeight="1">
      <c r="A313" s="701" t="s">
        <v>2316</v>
      </c>
      <c r="B313" s="702" t="s">
        <v>5409</v>
      </c>
      <c r="C313" s="703">
        <v>202037.1</v>
      </c>
    </row>
    <row r="314" ht="15.75" customHeight="1">
      <c r="A314" s="701" t="s">
        <v>1265</v>
      </c>
      <c r="B314" s="702" t="s">
        <v>5494</v>
      </c>
      <c r="C314" s="703">
        <v>200715.7</v>
      </c>
    </row>
    <row r="315" ht="15.75" customHeight="1">
      <c r="A315" s="701" t="s">
        <v>381</v>
      </c>
      <c r="B315" s="702" t="s">
        <v>5411</v>
      </c>
      <c r="C315" s="703">
        <v>196789.8</v>
      </c>
    </row>
    <row r="316" ht="15.75" customHeight="1">
      <c r="A316" s="701" t="s">
        <v>1433</v>
      </c>
      <c r="B316" s="702" t="s">
        <v>5495</v>
      </c>
      <c r="C316" s="703">
        <v>191002.1</v>
      </c>
    </row>
    <row r="317" ht="15.75" customHeight="1">
      <c r="A317" s="701" t="s">
        <v>955</v>
      </c>
      <c r="B317" s="702" t="s">
        <v>5422</v>
      </c>
      <c r="C317" s="703">
        <v>190536.2</v>
      </c>
    </row>
    <row r="318" ht="15.75" customHeight="1">
      <c r="A318" s="701" t="s">
        <v>2012</v>
      </c>
      <c r="B318" s="702" t="s">
        <v>5496</v>
      </c>
      <c r="C318" s="703">
        <v>189151.4</v>
      </c>
    </row>
    <row r="319" ht="15.75" customHeight="1">
      <c r="A319" s="701" t="s">
        <v>1191</v>
      </c>
      <c r="B319" s="702" t="s">
        <v>5398</v>
      </c>
      <c r="C319" s="703">
        <v>187991.6</v>
      </c>
    </row>
    <row r="320" ht="15.75" customHeight="1">
      <c r="A320" s="701" t="s">
        <v>1876</v>
      </c>
      <c r="B320" s="702" t="s">
        <v>5371</v>
      </c>
      <c r="C320" s="703">
        <v>185534.6</v>
      </c>
    </row>
    <row r="321" ht="15.75" customHeight="1">
      <c r="A321" s="701" t="s">
        <v>1653</v>
      </c>
      <c r="B321" s="702" t="s">
        <v>5413</v>
      </c>
      <c r="C321" s="703">
        <v>180549.8</v>
      </c>
    </row>
    <row r="322" ht="15.75" customHeight="1">
      <c r="A322" s="701" t="s">
        <v>470</v>
      </c>
      <c r="B322" s="702" t="s">
        <v>5297</v>
      </c>
      <c r="C322" s="703">
        <v>179468.1</v>
      </c>
    </row>
    <row r="323" ht="15.75" customHeight="1">
      <c r="A323" s="701" t="s">
        <v>656</v>
      </c>
      <c r="B323" s="702" t="s">
        <v>5488</v>
      </c>
      <c r="C323" s="703">
        <v>178169.1</v>
      </c>
    </row>
    <row r="324" ht="15.75" customHeight="1">
      <c r="A324" s="701" t="s">
        <v>2303</v>
      </c>
      <c r="B324" s="702" t="s">
        <v>5497</v>
      </c>
      <c r="C324" s="703">
        <v>176793.1</v>
      </c>
    </row>
    <row r="325" ht="15.75" customHeight="1">
      <c r="A325" s="701" t="s">
        <v>1568</v>
      </c>
      <c r="B325" s="702" t="s">
        <v>5311</v>
      </c>
      <c r="C325" s="703">
        <v>173947.2</v>
      </c>
    </row>
    <row r="326" ht="15.75" customHeight="1">
      <c r="A326" s="701" t="s">
        <v>5498</v>
      </c>
      <c r="B326" s="702" t="s">
        <v>5499</v>
      </c>
      <c r="C326" s="703">
        <v>173750.9</v>
      </c>
    </row>
    <row r="327" ht="15.75" customHeight="1">
      <c r="A327" s="701" t="s">
        <v>619</v>
      </c>
      <c r="B327" s="702" t="s">
        <v>5457</v>
      </c>
      <c r="C327" s="703">
        <v>171880.4</v>
      </c>
    </row>
    <row r="328" ht="15.75" customHeight="1">
      <c r="A328" s="701" t="s">
        <v>2110</v>
      </c>
      <c r="B328" s="702" t="s">
        <v>5500</v>
      </c>
      <c r="C328" s="703">
        <v>171761.2</v>
      </c>
    </row>
    <row r="329" ht="15.75" customHeight="1">
      <c r="A329" s="701" t="s">
        <v>197</v>
      </c>
      <c r="B329" s="702" t="s">
        <v>5312</v>
      </c>
      <c r="C329" s="703">
        <v>171204.8</v>
      </c>
    </row>
    <row r="330" ht="15.75" customHeight="1">
      <c r="A330" s="701" t="s">
        <v>2306</v>
      </c>
      <c r="B330" s="702" t="s">
        <v>5497</v>
      </c>
      <c r="C330" s="703">
        <v>170563.8</v>
      </c>
    </row>
    <row r="331" ht="15.75" customHeight="1">
      <c r="A331" s="701" t="s">
        <v>314</v>
      </c>
      <c r="B331" s="702" t="s">
        <v>5501</v>
      </c>
      <c r="C331" s="703">
        <v>169933.0</v>
      </c>
    </row>
    <row r="332" ht="15.75" customHeight="1">
      <c r="A332" s="701" t="s">
        <v>1257</v>
      </c>
      <c r="B332" s="702" t="s">
        <v>5494</v>
      </c>
      <c r="C332" s="703">
        <v>169473.6</v>
      </c>
    </row>
    <row r="333" ht="15.75" customHeight="1">
      <c r="A333" s="701" t="s">
        <v>1326</v>
      </c>
      <c r="B333" s="702" t="s">
        <v>5343</v>
      </c>
      <c r="C333" s="703">
        <v>169415.7</v>
      </c>
    </row>
    <row r="334" ht="15.75" customHeight="1">
      <c r="A334" s="701" t="s">
        <v>1512</v>
      </c>
      <c r="B334" s="702" t="s">
        <v>5502</v>
      </c>
      <c r="C334" s="703">
        <v>168628.7</v>
      </c>
    </row>
    <row r="335" ht="15.75" customHeight="1">
      <c r="A335" s="701" t="s">
        <v>1363</v>
      </c>
      <c r="B335" s="702" t="s">
        <v>5503</v>
      </c>
      <c r="C335" s="703">
        <v>166895.5</v>
      </c>
    </row>
    <row r="336" ht="15.75" customHeight="1">
      <c r="A336" s="701" t="s">
        <v>1006</v>
      </c>
      <c r="B336" s="702" t="s">
        <v>5275</v>
      </c>
      <c r="C336" s="703">
        <v>166494.1</v>
      </c>
    </row>
    <row r="337" ht="15.75" customHeight="1">
      <c r="A337" s="701" t="s">
        <v>2204</v>
      </c>
      <c r="B337" s="702" t="s">
        <v>5504</v>
      </c>
      <c r="C337" s="703">
        <v>166307.7</v>
      </c>
    </row>
    <row r="338" ht="15.75" customHeight="1">
      <c r="A338" s="701" t="s">
        <v>869</v>
      </c>
      <c r="B338" s="702" t="s">
        <v>5395</v>
      </c>
      <c r="C338" s="703">
        <v>163433.3</v>
      </c>
    </row>
    <row r="339" ht="15.75" customHeight="1">
      <c r="A339" s="701" t="s">
        <v>225</v>
      </c>
      <c r="B339" s="702" t="s">
        <v>5312</v>
      </c>
      <c r="C339" s="703">
        <v>162464.5</v>
      </c>
    </row>
    <row r="340" ht="15.75" customHeight="1">
      <c r="A340" s="701" t="s">
        <v>1982</v>
      </c>
      <c r="B340" s="702" t="s">
        <v>5298</v>
      </c>
      <c r="C340" s="703">
        <v>161818.2</v>
      </c>
    </row>
    <row r="341" ht="15.75" customHeight="1">
      <c r="A341" s="701" t="s">
        <v>1532</v>
      </c>
      <c r="B341" s="702" t="s">
        <v>5287</v>
      </c>
      <c r="C341" s="703">
        <v>160910.5</v>
      </c>
    </row>
    <row r="342" ht="15.75" customHeight="1">
      <c r="A342" s="701" t="s">
        <v>214</v>
      </c>
      <c r="B342" s="702" t="s">
        <v>5312</v>
      </c>
      <c r="C342" s="703">
        <v>160658.5</v>
      </c>
    </row>
    <row r="343" ht="15.75" customHeight="1">
      <c r="A343" s="701" t="s">
        <v>1806</v>
      </c>
      <c r="B343" s="702" t="s">
        <v>5364</v>
      </c>
      <c r="C343" s="703">
        <v>160646.7</v>
      </c>
    </row>
    <row r="344" ht="15.75" customHeight="1">
      <c r="A344" s="701" t="s">
        <v>1880</v>
      </c>
      <c r="B344" s="702" t="s">
        <v>5371</v>
      </c>
      <c r="C344" s="703">
        <v>159701.9</v>
      </c>
    </row>
    <row r="345" ht="15.75" customHeight="1">
      <c r="A345" s="701" t="s">
        <v>730</v>
      </c>
      <c r="B345" s="702" t="s">
        <v>5271</v>
      </c>
      <c r="C345" s="703">
        <v>159496.2</v>
      </c>
    </row>
    <row r="346" ht="15.75" customHeight="1">
      <c r="A346" s="701" t="s">
        <v>1298</v>
      </c>
      <c r="B346" s="702" t="s">
        <v>5505</v>
      </c>
      <c r="C346" s="703">
        <v>154873.7</v>
      </c>
    </row>
    <row r="347" ht="15.75" customHeight="1">
      <c r="A347" s="701" t="s">
        <v>2198</v>
      </c>
      <c r="B347" s="702" t="s">
        <v>5506</v>
      </c>
      <c r="C347" s="703">
        <v>153961.1</v>
      </c>
    </row>
    <row r="348" ht="15.75" customHeight="1">
      <c r="A348" s="701" t="s">
        <v>2329</v>
      </c>
      <c r="B348" s="702" t="s">
        <v>5507</v>
      </c>
      <c r="C348" s="703">
        <v>151303.3</v>
      </c>
    </row>
    <row r="349" ht="15.75" customHeight="1">
      <c r="A349" s="701" t="s">
        <v>1988</v>
      </c>
      <c r="B349" s="702" t="s">
        <v>5293</v>
      </c>
      <c r="C349" s="703">
        <v>151241.5</v>
      </c>
    </row>
    <row r="350" ht="15.75" customHeight="1">
      <c r="A350" s="701" t="s">
        <v>1999</v>
      </c>
      <c r="B350" s="702" t="s">
        <v>5293</v>
      </c>
      <c r="C350" s="703">
        <v>149838.2</v>
      </c>
    </row>
    <row r="351" ht="15.75" customHeight="1">
      <c r="A351" s="701" t="s">
        <v>1661</v>
      </c>
      <c r="B351" s="702" t="s">
        <v>5508</v>
      </c>
      <c r="C351" s="703">
        <v>144580.0</v>
      </c>
    </row>
    <row r="352" ht="15.75" customHeight="1">
      <c r="A352" s="701" t="s">
        <v>1849</v>
      </c>
      <c r="B352" s="702" t="s">
        <v>5290</v>
      </c>
      <c r="C352" s="703">
        <v>144213.1</v>
      </c>
    </row>
    <row r="353" ht="15.75" customHeight="1">
      <c r="A353" s="701" t="s">
        <v>1189</v>
      </c>
      <c r="B353" s="702" t="s">
        <v>5398</v>
      </c>
      <c r="C353" s="703">
        <v>142375.0</v>
      </c>
    </row>
    <row r="354" ht="15.75" customHeight="1">
      <c r="A354" s="701" t="s">
        <v>1355</v>
      </c>
      <c r="B354" s="702" t="s">
        <v>5503</v>
      </c>
      <c r="C354" s="703">
        <v>142056.5</v>
      </c>
    </row>
    <row r="355" ht="15.75" customHeight="1">
      <c r="A355" s="701" t="s">
        <v>1373</v>
      </c>
      <c r="B355" s="702" t="s">
        <v>5509</v>
      </c>
      <c r="C355" s="703">
        <v>141389.3</v>
      </c>
    </row>
    <row r="356" ht="15.75" customHeight="1">
      <c r="A356" s="701" t="s">
        <v>511</v>
      </c>
      <c r="B356" s="702" t="s">
        <v>5510</v>
      </c>
      <c r="C356" s="703">
        <v>141352.2</v>
      </c>
    </row>
    <row r="357" ht="15.75" customHeight="1">
      <c r="A357" s="701" t="s">
        <v>1035</v>
      </c>
      <c r="B357" s="702" t="s">
        <v>5420</v>
      </c>
      <c r="C357" s="703">
        <v>141008.1</v>
      </c>
    </row>
    <row r="358" ht="15.75" customHeight="1">
      <c r="A358" s="701" t="s">
        <v>2143</v>
      </c>
      <c r="B358" s="702" t="s">
        <v>5511</v>
      </c>
      <c r="C358" s="703">
        <v>140632.7</v>
      </c>
    </row>
    <row r="359" ht="15.75" customHeight="1">
      <c r="A359" s="701" t="s">
        <v>1820</v>
      </c>
      <c r="B359" s="702" t="s">
        <v>5270</v>
      </c>
      <c r="C359" s="703">
        <v>140571.3</v>
      </c>
    </row>
    <row r="360" ht="15.75" customHeight="1">
      <c r="A360" s="701" t="s">
        <v>1934</v>
      </c>
      <c r="B360" s="702" t="s">
        <v>5512</v>
      </c>
      <c r="C360" s="703">
        <v>140383.4</v>
      </c>
    </row>
    <row r="361" ht="15.75" customHeight="1">
      <c r="A361" s="701" t="s">
        <v>760</v>
      </c>
      <c r="B361" s="702" t="s">
        <v>5323</v>
      </c>
      <c r="C361" s="703">
        <v>139924.0</v>
      </c>
    </row>
    <row r="362" ht="15.75" customHeight="1">
      <c r="A362" s="701" t="s">
        <v>1728</v>
      </c>
      <c r="B362" s="702" t="s">
        <v>5513</v>
      </c>
      <c r="C362" s="703">
        <v>138102.1</v>
      </c>
    </row>
    <row r="363" ht="15.75" customHeight="1">
      <c r="A363" s="701" t="s">
        <v>1748</v>
      </c>
      <c r="B363" s="702" t="s">
        <v>5342</v>
      </c>
      <c r="C363" s="703">
        <v>137699.3</v>
      </c>
    </row>
    <row r="364" ht="15.75" customHeight="1">
      <c r="A364" s="701" t="s">
        <v>2112</v>
      </c>
      <c r="B364" s="702" t="s">
        <v>5500</v>
      </c>
      <c r="C364" s="703">
        <v>135260.3</v>
      </c>
    </row>
    <row r="365" ht="15.75" customHeight="1">
      <c r="A365" s="701" t="s">
        <v>2031</v>
      </c>
      <c r="B365" s="702" t="s">
        <v>5514</v>
      </c>
      <c r="C365" s="703">
        <v>133953.0</v>
      </c>
    </row>
    <row r="366" ht="15.75" customHeight="1">
      <c r="A366" s="701" t="s">
        <v>1344</v>
      </c>
      <c r="B366" s="702" t="s">
        <v>5515</v>
      </c>
      <c r="C366" s="703">
        <v>133423.2</v>
      </c>
    </row>
    <row r="367" ht="15.75" customHeight="1">
      <c r="A367" s="701" t="s">
        <v>1260</v>
      </c>
      <c r="B367" s="702" t="s">
        <v>5494</v>
      </c>
      <c r="C367" s="703">
        <v>133199.8</v>
      </c>
    </row>
    <row r="368" ht="15.75" customHeight="1">
      <c r="A368" s="701" t="s">
        <v>684</v>
      </c>
      <c r="B368" s="702" t="s">
        <v>5396</v>
      </c>
      <c r="C368" s="703">
        <v>132453.5</v>
      </c>
    </row>
    <row r="369" ht="15.75" customHeight="1">
      <c r="A369" s="701" t="s">
        <v>123</v>
      </c>
      <c r="B369" s="702" t="s">
        <v>5382</v>
      </c>
      <c r="C369" s="703">
        <v>131885.9</v>
      </c>
    </row>
    <row r="370" ht="15.75" customHeight="1">
      <c r="A370" s="701" t="s">
        <v>493</v>
      </c>
      <c r="B370" s="702" t="s">
        <v>5516</v>
      </c>
      <c r="C370" s="703">
        <v>131544.8</v>
      </c>
    </row>
    <row r="371" ht="15.75" customHeight="1">
      <c r="A371" s="701" t="s">
        <v>2351</v>
      </c>
      <c r="B371" s="702" t="s">
        <v>5517</v>
      </c>
      <c r="C371" s="703">
        <v>131131.1</v>
      </c>
    </row>
    <row r="372" ht="15.75" customHeight="1">
      <c r="A372" s="701" t="s">
        <v>170</v>
      </c>
      <c r="B372" s="702" t="s">
        <v>5518</v>
      </c>
      <c r="C372" s="703">
        <v>130119.5</v>
      </c>
    </row>
    <row r="373" ht="15.75" customHeight="1">
      <c r="A373" s="701" t="s">
        <v>1549</v>
      </c>
      <c r="B373" s="702" t="s">
        <v>5356</v>
      </c>
      <c r="C373" s="703">
        <v>130070.5</v>
      </c>
    </row>
    <row r="374" ht="15.75" customHeight="1">
      <c r="A374" s="701" t="s">
        <v>2113</v>
      </c>
      <c r="B374" s="702" t="s">
        <v>5500</v>
      </c>
      <c r="C374" s="703">
        <v>122343.6</v>
      </c>
    </row>
    <row r="375" ht="15.75" customHeight="1">
      <c r="A375" s="701" t="s">
        <v>5519</v>
      </c>
      <c r="B375" s="702" t="s">
        <v>5520</v>
      </c>
      <c r="C375" s="703">
        <v>120926.7</v>
      </c>
    </row>
    <row r="376" ht="15.75" customHeight="1">
      <c r="A376" s="701" t="s">
        <v>508</v>
      </c>
      <c r="B376" s="702" t="s">
        <v>5510</v>
      </c>
      <c r="C376" s="703">
        <v>120661.0</v>
      </c>
    </row>
    <row r="377" ht="15.75" customHeight="1">
      <c r="A377" s="701" t="s">
        <v>861</v>
      </c>
      <c r="B377" s="702" t="s">
        <v>5521</v>
      </c>
      <c r="C377" s="703">
        <v>120175.5</v>
      </c>
    </row>
    <row r="378" ht="15.75" customHeight="1">
      <c r="A378" s="701" t="s">
        <v>337</v>
      </c>
      <c r="B378" s="702" t="s">
        <v>5522</v>
      </c>
      <c r="C378" s="703">
        <v>120094.3</v>
      </c>
    </row>
    <row r="379" ht="15.75" customHeight="1">
      <c r="A379" s="701" t="s">
        <v>1526</v>
      </c>
      <c r="B379" s="702" t="s">
        <v>5287</v>
      </c>
      <c r="C379" s="703">
        <v>117260.3</v>
      </c>
    </row>
    <row r="380" ht="15.75" customHeight="1">
      <c r="A380" s="701" t="s">
        <v>892</v>
      </c>
      <c r="B380" s="702" t="s">
        <v>5431</v>
      </c>
      <c r="C380" s="703">
        <v>115809.6</v>
      </c>
    </row>
    <row r="381" ht="15.75" customHeight="1">
      <c r="A381" s="701" t="s">
        <v>529</v>
      </c>
      <c r="B381" s="702" t="s">
        <v>5523</v>
      </c>
      <c r="C381" s="703">
        <v>115722.6</v>
      </c>
    </row>
    <row r="382" ht="15.75" customHeight="1">
      <c r="A382" s="701" t="s">
        <v>1893</v>
      </c>
      <c r="B382" s="702" t="s">
        <v>5524</v>
      </c>
      <c r="C382" s="703">
        <v>115693.2</v>
      </c>
    </row>
    <row r="383" ht="15.75" customHeight="1">
      <c r="A383" s="701" t="s">
        <v>1836</v>
      </c>
      <c r="B383" s="702" t="s">
        <v>5290</v>
      </c>
      <c r="C383" s="703">
        <v>115617.4</v>
      </c>
    </row>
    <row r="384" ht="15.75" customHeight="1">
      <c r="A384" s="701" t="s">
        <v>1792</v>
      </c>
      <c r="B384" s="702" t="s">
        <v>5525</v>
      </c>
      <c r="C384" s="703">
        <v>115351.0</v>
      </c>
    </row>
    <row r="385" ht="15.75" customHeight="1">
      <c r="A385" s="701" t="s">
        <v>2235</v>
      </c>
      <c r="B385" s="702" t="s">
        <v>5397</v>
      </c>
      <c r="C385" s="703">
        <v>115340.0</v>
      </c>
    </row>
    <row r="386" ht="15.75" customHeight="1">
      <c r="A386" s="701" t="s">
        <v>1278</v>
      </c>
      <c r="B386" s="702" t="s">
        <v>5526</v>
      </c>
      <c r="C386" s="703">
        <v>115309.9</v>
      </c>
    </row>
    <row r="387" ht="15.75" customHeight="1">
      <c r="A387" s="701" t="s">
        <v>467</v>
      </c>
      <c r="B387" s="702" t="s">
        <v>5297</v>
      </c>
      <c r="C387" s="703">
        <v>112958.1</v>
      </c>
    </row>
    <row r="388" ht="15.75" customHeight="1">
      <c r="A388" s="701" t="s">
        <v>1275</v>
      </c>
      <c r="B388" s="702" t="s">
        <v>5527</v>
      </c>
      <c r="C388" s="703">
        <v>112494.9</v>
      </c>
    </row>
    <row r="389" ht="15.75" customHeight="1">
      <c r="A389" s="701" t="s">
        <v>1056</v>
      </c>
      <c r="B389" s="702" t="s">
        <v>5436</v>
      </c>
      <c r="C389" s="703">
        <v>112103.4</v>
      </c>
    </row>
    <row r="390" ht="15.75" customHeight="1">
      <c r="A390" s="701" t="s">
        <v>1401</v>
      </c>
      <c r="B390" s="702" t="s">
        <v>5528</v>
      </c>
      <c r="C390" s="703">
        <v>111329.9</v>
      </c>
    </row>
    <row r="391" ht="15.75" customHeight="1">
      <c r="A391" s="701" t="s">
        <v>1977</v>
      </c>
      <c r="B391" s="702" t="s">
        <v>5298</v>
      </c>
      <c r="C391" s="703">
        <v>111266.9</v>
      </c>
    </row>
    <row r="392" ht="15.75" customHeight="1">
      <c r="A392" s="701" t="s">
        <v>753</v>
      </c>
      <c r="B392" s="702" t="s">
        <v>5323</v>
      </c>
      <c r="C392" s="703">
        <v>109621.2</v>
      </c>
    </row>
    <row r="393" ht="15.75" customHeight="1">
      <c r="A393" s="701" t="s">
        <v>895</v>
      </c>
      <c r="B393" s="702" t="s">
        <v>5431</v>
      </c>
      <c r="C393" s="703">
        <v>109568.1</v>
      </c>
    </row>
    <row r="394" ht="15.75" customHeight="1">
      <c r="A394" s="701" t="s">
        <v>992</v>
      </c>
      <c r="B394" s="702" t="s">
        <v>5370</v>
      </c>
      <c r="C394" s="703">
        <v>109104.2</v>
      </c>
    </row>
    <row r="395" ht="15.75" customHeight="1">
      <c r="A395" s="701" t="s">
        <v>1915</v>
      </c>
      <c r="B395" s="702" t="s">
        <v>5281</v>
      </c>
      <c r="C395" s="703">
        <v>109078.8</v>
      </c>
    </row>
    <row r="396" ht="15.75" customHeight="1">
      <c r="A396" s="701" t="s">
        <v>266</v>
      </c>
      <c r="B396" s="702" t="s">
        <v>5308</v>
      </c>
      <c r="C396" s="703">
        <v>108472.8</v>
      </c>
    </row>
    <row r="397" ht="15.75" customHeight="1">
      <c r="A397" s="701" t="s">
        <v>450</v>
      </c>
      <c r="B397" s="702" t="s">
        <v>5392</v>
      </c>
      <c r="C397" s="703">
        <v>106966.3</v>
      </c>
    </row>
    <row r="398" ht="15.75" customHeight="1">
      <c r="A398" s="701" t="s">
        <v>1965</v>
      </c>
      <c r="B398" s="702" t="s">
        <v>5529</v>
      </c>
      <c r="C398" s="703">
        <v>106564.4</v>
      </c>
    </row>
    <row r="399" ht="15.75" customHeight="1">
      <c r="A399" s="701" t="s">
        <v>1420</v>
      </c>
      <c r="B399" s="702" t="s">
        <v>5321</v>
      </c>
      <c r="C399" s="703">
        <v>106337.7</v>
      </c>
    </row>
    <row r="400" ht="15.75" customHeight="1">
      <c r="A400" s="701" t="s">
        <v>1590</v>
      </c>
      <c r="B400" s="702" t="s">
        <v>5478</v>
      </c>
      <c r="C400" s="703">
        <v>106019.0</v>
      </c>
    </row>
    <row r="401" ht="15.75" customHeight="1">
      <c r="A401" s="701" t="s">
        <v>2266</v>
      </c>
      <c r="B401" s="702" t="s">
        <v>5299</v>
      </c>
      <c r="C401" s="703">
        <v>104210.5</v>
      </c>
    </row>
    <row r="402" ht="15.75" customHeight="1">
      <c r="A402" s="701" t="s">
        <v>2078</v>
      </c>
      <c r="B402" s="702" t="s">
        <v>5483</v>
      </c>
      <c r="C402" s="703">
        <v>103220.1</v>
      </c>
    </row>
    <row r="403" ht="15.75" customHeight="1">
      <c r="A403" s="701" t="s">
        <v>1705</v>
      </c>
      <c r="B403" s="702" t="s">
        <v>5320</v>
      </c>
      <c r="C403" s="703">
        <v>103190.4</v>
      </c>
    </row>
    <row r="404" ht="15.75" customHeight="1">
      <c r="A404" s="701" t="s">
        <v>554</v>
      </c>
      <c r="B404" s="702" t="s">
        <v>5303</v>
      </c>
      <c r="C404" s="703">
        <v>103047.7</v>
      </c>
    </row>
    <row r="405" ht="15.75" customHeight="1">
      <c r="A405" s="701" t="s">
        <v>794</v>
      </c>
      <c r="B405" s="702" t="s">
        <v>5530</v>
      </c>
      <c r="C405" s="703">
        <v>102866.5</v>
      </c>
    </row>
    <row r="406" ht="15.75" customHeight="1">
      <c r="A406" s="701" t="s">
        <v>1181</v>
      </c>
      <c r="B406" s="702" t="s">
        <v>5531</v>
      </c>
      <c r="C406" s="703">
        <v>102823.0</v>
      </c>
    </row>
    <row r="407" ht="15.75" customHeight="1">
      <c r="A407" s="701" t="s">
        <v>1486</v>
      </c>
      <c r="B407" s="702" t="s">
        <v>5328</v>
      </c>
      <c r="C407" s="703">
        <v>101977.1</v>
      </c>
    </row>
    <row r="408" ht="15.75" customHeight="1">
      <c r="A408" s="701" t="s">
        <v>503</v>
      </c>
      <c r="B408" s="702" t="s">
        <v>5452</v>
      </c>
      <c r="C408" s="703">
        <v>101914.2</v>
      </c>
    </row>
    <row r="409" ht="15.75" customHeight="1">
      <c r="A409" s="701" t="s">
        <v>254</v>
      </c>
      <c r="B409" s="702" t="s">
        <v>5308</v>
      </c>
      <c r="C409" s="703">
        <v>101186.2</v>
      </c>
    </row>
    <row r="410" ht="15.75" customHeight="1">
      <c r="A410" s="701" t="s">
        <v>2223</v>
      </c>
      <c r="B410" s="702" t="s">
        <v>5405</v>
      </c>
      <c r="C410" s="703">
        <v>101028.5</v>
      </c>
    </row>
    <row r="411" ht="15.75" customHeight="1">
      <c r="A411" s="701" t="s">
        <v>999</v>
      </c>
      <c r="B411" s="702" t="s">
        <v>5532</v>
      </c>
      <c r="C411" s="703">
        <v>100691.1</v>
      </c>
    </row>
    <row r="412" ht="15.75" customHeight="1">
      <c r="A412" s="701" t="s">
        <v>577</v>
      </c>
      <c r="B412" s="702" t="s">
        <v>5468</v>
      </c>
      <c r="C412" s="703">
        <v>100596.9</v>
      </c>
    </row>
    <row r="413" ht="15.75" customHeight="1">
      <c r="A413" s="701" t="s">
        <v>677</v>
      </c>
      <c r="B413" s="702" t="s">
        <v>5396</v>
      </c>
      <c r="C413" s="703">
        <v>100318.6</v>
      </c>
    </row>
    <row r="414" ht="15.75" customHeight="1">
      <c r="A414" s="701" t="s">
        <v>2355</v>
      </c>
      <c r="B414" s="702" t="s">
        <v>5533</v>
      </c>
      <c r="C414" s="703">
        <v>100318.6</v>
      </c>
    </row>
    <row r="415" ht="15.75" customHeight="1">
      <c r="A415" s="701" t="s">
        <v>151</v>
      </c>
      <c r="B415" s="702" t="s">
        <v>5518</v>
      </c>
      <c r="C415" s="703">
        <v>100164.9</v>
      </c>
    </row>
    <row r="416" ht="15.75" customHeight="1">
      <c r="A416" s="701" t="s">
        <v>851</v>
      </c>
      <c r="B416" s="702" t="s">
        <v>5534</v>
      </c>
      <c r="C416" s="703">
        <v>100163.0</v>
      </c>
    </row>
    <row r="417" ht="15.75" customHeight="1">
      <c r="A417" s="701" t="s">
        <v>854</v>
      </c>
      <c r="B417" s="702" t="s">
        <v>5535</v>
      </c>
      <c r="C417" s="703">
        <v>99966.18</v>
      </c>
    </row>
    <row r="418" ht="15.75" customHeight="1">
      <c r="A418" s="701" t="s">
        <v>430</v>
      </c>
      <c r="B418" s="702" t="s">
        <v>5284</v>
      </c>
      <c r="C418" s="703">
        <v>98945.96</v>
      </c>
    </row>
    <row r="419" ht="15.75" customHeight="1">
      <c r="A419" s="701" t="s">
        <v>105</v>
      </c>
      <c r="B419" s="702" t="s">
        <v>5536</v>
      </c>
      <c r="C419" s="703">
        <v>98705.89</v>
      </c>
    </row>
    <row r="420" ht="15.75" customHeight="1">
      <c r="A420" s="701" t="s">
        <v>1430</v>
      </c>
      <c r="B420" s="702" t="s">
        <v>5495</v>
      </c>
      <c r="C420" s="703">
        <v>97606.59</v>
      </c>
    </row>
    <row r="421" ht="15.75" customHeight="1">
      <c r="A421" s="701" t="s">
        <v>1699</v>
      </c>
      <c r="B421" s="702" t="s">
        <v>5537</v>
      </c>
      <c r="C421" s="703">
        <v>97237.48</v>
      </c>
    </row>
    <row r="422" ht="15.75" customHeight="1">
      <c r="A422" s="701" t="s">
        <v>612</v>
      </c>
      <c r="B422" s="702" t="s">
        <v>5538</v>
      </c>
      <c r="C422" s="703">
        <v>96639.88</v>
      </c>
    </row>
    <row r="423" ht="15.75" customHeight="1">
      <c r="A423" s="701" t="s">
        <v>1404</v>
      </c>
      <c r="B423" s="702" t="s">
        <v>5465</v>
      </c>
      <c r="C423" s="703">
        <v>96457.6</v>
      </c>
    </row>
    <row r="424" ht="15.75" customHeight="1">
      <c r="A424" s="701" t="s">
        <v>2176</v>
      </c>
      <c r="B424" s="702" t="s">
        <v>5454</v>
      </c>
      <c r="C424" s="703">
        <v>96087.74</v>
      </c>
    </row>
    <row r="425" ht="15.75" customHeight="1">
      <c r="A425" s="701" t="s">
        <v>1813</v>
      </c>
      <c r="B425" s="702" t="s">
        <v>5364</v>
      </c>
      <c r="C425" s="703">
        <v>93958.45</v>
      </c>
    </row>
    <row r="426" ht="15.75" customHeight="1">
      <c r="A426" s="701" t="s">
        <v>1852</v>
      </c>
      <c r="B426" s="702" t="s">
        <v>5290</v>
      </c>
      <c r="C426" s="703">
        <v>92706.53</v>
      </c>
    </row>
    <row r="427" ht="15.75" customHeight="1">
      <c r="A427" s="701" t="s">
        <v>2179</v>
      </c>
      <c r="B427" s="702" t="s">
        <v>5454</v>
      </c>
      <c r="C427" s="703">
        <v>90648.03</v>
      </c>
    </row>
    <row r="428" ht="15.75" customHeight="1">
      <c r="A428" s="701" t="s">
        <v>1996</v>
      </c>
      <c r="B428" s="702" t="s">
        <v>5293</v>
      </c>
      <c r="C428" s="703">
        <v>86964.31</v>
      </c>
    </row>
    <row r="429" ht="15.75" customHeight="1">
      <c r="A429" s="701" t="s">
        <v>750</v>
      </c>
      <c r="B429" s="702" t="s">
        <v>5323</v>
      </c>
      <c r="C429" s="703">
        <v>86936.84</v>
      </c>
    </row>
    <row r="430" ht="15.75" customHeight="1">
      <c r="A430" s="701" t="s">
        <v>1096</v>
      </c>
      <c r="B430" s="702" t="s">
        <v>5539</v>
      </c>
      <c r="C430" s="703">
        <v>86447.22</v>
      </c>
    </row>
    <row r="431" ht="15.75" customHeight="1">
      <c r="A431" s="701" t="s">
        <v>1210</v>
      </c>
      <c r="B431" s="702" t="s">
        <v>5314</v>
      </c>
      <c r="C431" s="703">
        <v>81813.98</v>
      </c>
    </row>
    <row r="432" ht="15.75" customHeight="1">
      <c r="A432" s="701" t="s">
        <v>1552</v>
      </c>
      <c r="B432" s="702" t="s">
        <v>5356</v>
      </c>
      <c r="C432" s="703">
        <v>80786.35</v>
      </c>
    </row>
    <row r="433" ht="15.75" customHeight="1">
      <c r="A433" s="701" t="s">
        <v>1242</v>
      </c>
      <c r="B433" s="702" t="s">
        <v>5540</v>
      </c>
      <c r="C433" s="703">
        <v>80470.78</v>
      </c>
    </row>
    <row r="434" ht="15.75" customHeight="1">
      <c r="A434" s="701" t="s">
        <v>2015</v>
      </c>
      <c r="B434" s="702" t="s">
        <v>5482</v>
      </c>
      <c r="C434" s="703">
        <v>77444.57</v>
      </c>
    </row>
    <row r="435" ht="15.75" customHeight="1">
      <c r="A435" s="701" t="s">
        <v>234</v>
      </c>
      <c r="B435" s="702" t="s">
        <v>5312</v>
      </c>
      <c r="C435" s="703">
        <v>76707.85</v>
      </c>
    </row>
    <row r="436" ht="15.75" customHeight="1">
      <c r="A436" s="701" t="s">
        <v>343</v>
      </c>
      <c r="B436" s="702" t="s">
        <v>5541</v>
      </c>
      <c r="C436" s="703">
        <v>75625.66</v>
      </c>
    </row>
    <row r="437" ht="15.75" customHeight="1">
      <c r="A437" s="701" t="s">
        <v>1111</v>
      </c>
      <c r="B437" s="702" t="s">
        <v>5473</v>
      </c>
      <c r="C437" s="703">
        <v>75541.33</v>
      </c>
    </row>
    <row r="438" ht="15.75" customHeight="1">
      <c r="A438" s="701" t="s">
        <v>1206</v>
      </c>
      <c r="B438" s="702" t="s">
        <v>5314</v>
      </c>
      <c r="C438" s="703">
        <v>74878.8</v>
      </c>
    </row>
    <row r="439" ht="15.75" customHeight="1">
      <c r="A439" s="701" t="s">
        <v>1629</v>
      </c>
      <c r="B439" s="702" t="s">
        <v>5259</v>
      </c>
      <c r="C439" s="703">
        <v>74533.29</v>
      </c>
    </row>
    <row r="440" ht="15.75" customHeight="1">
      <c r="A440" s="701" t="s">
        <v>5542</v>
      </c>
      <c r="B440" s="702" t="s">
        <v>5420</v>
      </c>
      <c r="C440" s="703">
        <v>73925.91</v>
      </c>
    </row>
    <row r="441" ht="15.75" customHeight="1">
      <c r="A441" s="701" t="s">
        <v>814</v>
      </c>
      <c r="B441" s="702" t="s">
        <v>5543</v>
      </c>
      <c r="C441" s="703">
        <v>73805.91</v>
      </c>
    </row>
    <row r="442" ht="15.75" customHeight="1">
      <c r="A442" s="701" t="s">
        <v>186</v>
      </c>
      <c r="B442" s="702" t="s">
        <v>5544</v>
      </c>
      <c r="C442" s="703">
        <v>70041.03</v>
      </c>
    </row>
    <row r="443" ht="15.75" customHeight="1">
      <c r="A443" s="701" t="s">
        <v>2300</v>
      </c>
      <c r="B443" s="702" t="s">
        <v>5545</v>
      </c>
      <c r="C443" s="703">
        <v>69897.33</v>
      </c>
    </row>
    <row r="444" ht="15.75" customHeight="1">
      <c r="A444" s="701" t="s">
        <v>1716</v>
      </c>
      <c r="B444" s="702" t="s">
        <v>5546</v>
      </c>
      <c r="C444" s="703">
        <v>69669.46</v>
      </c>
    </row>
    <row r="445" ht="15.75" customHeight="1">
      <c r="A445" s="701" t="s">
        <v>1817</v>
      </c>
      <c r="B445" s="702" t="s">
        <v>5364</v>
      </c>
      <c r="C445" s="703">
        <v>69647.37</v>
      </c>
    </row>
    <row r="446" ht="15.75" customHeight="1">
      <c r="A446" s="701" t="s">
        <v>667</v>
      </c>
      <c r="B446" s="702" t="s">
        <v>5547</v>
      </c>
      <c r="C446" s="703">
        <v>69131.39</v>
      </c>
    </row>
    <row r="447" ht="15.75" customHeight="1">
      <c r="A447" s="701" t="s">
        <v>2164</v>
      </c>
      <c r="B447" s="702" t="s">
        <v>5548</v>
      </c>
      <c r="C447" s="703">
        <v>68588.07</v>
      </c>
    </row>
    <row r="448" ht="15.75" customHeight="1">
      <c r="A448" s="701" t="s">
        <v>1351</v>
      </c>
      <c r="B448" s="702" t="s">
        <v>5503</v>
      </c>
      <c r="C448" s="703">
        <v>68152.4</v>
      </c>
    </row>
    <row r="449" ht="15.75" customHeight="1">
      <c r="A449" s="701" t="s">
        <v>769</v>
      </c>
      <c r="B449" s="702" t="s">
        <v>5323</v>
      </c>
      <c r="C449" s="703">
        <v>67877.72</v>
      </c>
    </row>
    <row r="450" ht="15.75" customHeight="1">
      <c r="A450" s="701" t="s">
        <v>1226</v>
      </c>
      <c r="B450" s="702" t="s">
        <v>5314</v>
      </c>
      <c r="C450" s="703">
        <v>67085.5</v>
      </c>
    </row>
    <row r="451" ht="15.75" customHeight="1">
      <c r="A451" s="701" t="s">
        <v>2039</v>
      </c>
      <c r="B451" s="702" t="s">
        <v>5514</v>
      </c>
      <c r="C451" s="703">
        <v>66304.82</v>
      </c>
    </row>
    <row r="452" ht="15.75" customHeight="1">
      <c r="A452" s="701" t="s">
        <v>2338</v>
      </c>
      <c r="B452" s="702" t="s">
        <v>5549</v>
      </c>
      <c r="C452" s="703">
        <v>66043.4</v>
      </c>
    </row>
    <row r="453" ht="15.75" customHeight="1">
      <c r="A453" s="701" t="s">
        <v>1116</v>
      </c>
      <c r="B453" s="702" t="s">
        <v>5550</v>
      </c>
      <c r="C453" s="703">
        <v>63651.86</v>
      </c>
    </row>
    <row r="454" ht="15.75" customHeight="1">
      <c r="A454" s="701" t="s">
        <v>642</v>
      </c>
      <c r="B454" s="702" t="s">
        <v>5551</v>
      </c>
      <c r="C454" s="703">
        <v>62053.68</v>
      </c>
    </row>
    <row r="455" ht="15.75" customHeight="1">
      <c r="A455" s="701" t="s">
        <v>2229</v>
      </c>
      <c r="B455" s="702" t="s">
        <v>5552</v>
      </c>
      <c r="C455" s="703">
        <v>59844.33</v>
      </c>
    </row>
    <row r="456" ht="15.75" customHeight="1">
      <c r="A456" s="701" t="s">
        <v>1480</v>
      </c>
      <c r="B456" s="702" t="s">
        <v>5328</v>
      </c>
      <c r="C456" s="703">
        <v>59513.04</v>
      </c>
    </row>
    <row r="457" ht="15.75" customHeight="1">
      <c r="A457" s="701" t="s">
        <v>1651</v>
      </c>
      <c r="B457" s="702" t="s">
        <v>5413</v>
      </c>
      <c r="C457" s="703">
        <v>59512.95</v>
      </c>
    </row>
    <row r="458" ht="15.75" customHeight="1">
      <c r="A458" s="701" t="s">
        <v>946</v>
      </c>
      <c r="B458" s="702" t="s">
        <v>5422</v>
      </c>
      <c r="C458" s="703">
        <v>58621.95</v>
      </c>
    </row>
    <row r="459" ht="15.75" customHeight="1">
      <c r="A459" s="701" t="s">
        <v>1157</v>
      </c>
      <c r="B459" s="702" t="s">
        <v>5399</v>
      </c>
      <c r="C459" s="703">
        <v>57851.56</v>
      </c>
    </row>
    <row r="460" ht="15.75" customHeight="1">
      <c r="A460" s="701" t="s">
        <v>1323</v>
      </c>
      <c r="B460" s="702" t="s">
        <v>5343</v>
      </c>
      <c r="C460" s="703">
        <v>57379.72</v>
      </c>
    </row>
    <row r="461" ht="15.75" customHeight="1">
      <c r="A461" s="701" t="s">
        <v>1735</v>
      </c>
      <c r="B461" s="702" t="s">
        <v>5553</v>
      </c>
      <c r="C461" s="703">
        <v>57371.2</v>
      </c>
    </row>
    <row r="462" ht="15.75" customHeight="1">
      <c r="A462" s="701" t="s">
        <v>879</v>
      </c>
      <c r="B462" s="702" t="s">
        <v>5367</v>
      </c>
      <c r="C462" s="703">
        <v>56634.14</v>
      </c>
    </row>
    <row r="463" ht="15.75" customHeight="1">
      <c r="A463" s="701" t="s">
        <v>2042</v>
      </c>
      <c r="B463" s="702" t="s">
        <v>5514</v>
      </c>
      <c r="C463" s="703">
        <v>56508.27</v>
      </c>
    </row>
    <row r="464" ht="15.75" customHeight="1">
      <c r="A464" s="701" t="s">
        <v>1546</v>
      </c>
      <c r="B464" s="702" t="s">
        <v>5356</v>
      </c>
      <c r="C464" s="703">
        <v>54243.17</v>
      </c>
    </row>
    <row r="465" ht="15.75" customHeight="1">
      <c r="A465" s="701" t="s">
        <v>1044</v>
      </c>
      <c r="B465" s="702" t="s">
        <v>5420</v>
      </c>
      <c r="C465" s="703">
        <v>52779.11</v>
      </c>
    </row>
    <row r="466" ht="15.75" customHeight="1">
      <c r="A466" s="701" t="s">
        <v>1489</v>
      </c>
      <c r="B466" s="702" t="s">
        <v>5328</v>
      </c>
      <c r="C466" s="703">
        <v>51776.12</v>
      </c>
    </row>
    <row r="467" ht="15.75" customHeight="1">
      <c r="A467" s="701" t="s">
        <v>776</v>
      </c>
      <c r="B467" s="702" t="s">
        <v>5554</v>
      </c>
      <c r="C467" s="703">
        <v>51059.97</v>
      </c>
    </row>
    <row r="468" ht="15.75" customHeight="1">
      <c r="A468" s="701" t="s">
        <v>790</v>
      </c>
      <c r="B468" s="702" t="s">
        <v>5305</v>
      </c>
      <c r="C468" s="703">
        <v>50714.62</v>
      </c>
    </row>
    <row r="469" ht="15.75" customHeight="1">
      <c r="A469" s="701" t="s">
        <v>717</v>
      </c>
      <c r="B469" s="702" t="s">
        <v>5555</v>
      </c>
      <c r="C469" s="703">
        <v>50489.84</v>
      </c>
    </row>
    <row r="470" ht="15.75" customHeight="1">
      <c r="A470" s="701" t="s">
        <v>1774</v>
      </c>
      <c r="B470" s="702" t="s">
        <v>5556</v>
      </c>
      <c r="C470" s="703">
        <v>50443.62</v>
      </c>
    </row>
    <row r="471" ht="15.75" customHeight="1">
      <c r="A471" s="701" t="s">
        <v>1726</v>
      </c>
      <c r="B471" s="702" t="s">
        <v>5513</v>
      </c>
      <c r="C471" s="703">
        <v>49619.23</v>
      </c>
    </row>
    <row r="472" ht="15.75" customHeight="1">
      <c r="A472" s="701" t="s">
        <v>1366</v>
      </c>
      <c r="B472" s="702" t="s">
        <v>5503</v>
      </c>
      <c r="C472" s="703">
        <v>48964.1</v>
      </c>
    </row>
    <row r="473" ht="15.75" customHeight="1">
      <c r="A473" s="701" t="s">
        <v>1588</v>
      </c>
      <c r="B473" s="702" t="s">
        <v>5478</v>
      </c>
      <c r="C473" s="703">
        <v>47282.12</v>
      </c>
    </row>
    <row r="474" ht="15.75" customHeight="1">
      <c r="A474" s="701" t="s">
        <v>1687</v>
      </c>
      <c r="B474" s="702" t="s">
        <v>5407</v>
      </c>
      <c r="C474" s="703">
        <v>47119.39</v>
      </c>
    </row>
    <row r="475" ht="15.75" customHeight="1">
      <c r="A475" s="701" t="s">
        <v>1287</v>
      </c>
      <c r="B475" s="702" t="s">
        <v>5557</v>
      </c>
      <c r="C475" s="703">
        <v>46957.16</v>
      </c>
    </row>
    <row r="476" ht="15.75" customHeight="1">
      <c r="A476" s="701" t="s">
        <v>484</v>
      </c>
      <c r="B476" s="702" t="s">
        <v>5558</v>
      </c>
      <c r="C476" s="703">
        <v>46834.79</v>
      </c>
    </row>
    <row r="477" ht="15.75" customHeight="1">
      <c r="A477" s="701" t="s">
        <v>377</v>
      </c>
      <c r="B477" s="702" t="s">
        <v>5411</v>
      </c>
      <c r="C477" s="703">
        <v>46683.04</v>
      </c>
    </row>
    <row r="478" ht="15.75" customHeight="1">
      <c r="A478" s="701" t="s">
        <v>2360</v>
      </c>
      <c r="B478" s="702" t="s">
        <v>5559</v>
      </c>
      <c r="C478" s="703">
        <v>45417.15</v>
      </c>
    </row>
    <row r="479" ht="15.75" customHeight="1">
      <c r="A479" s="701" t="s">
        <v>1647</v>
      </c>
      <c r="B479" s="702" t="s">
        <v>5560</v>
      </c>
      <c r="C479" s="703">
        <v>45271.58</v>
      </c>
    </row>
    <row r="480" ht="15.75" customHeight="1">
      <c r="A480" s="701" t="s">
        <v>293</v>
      </c>
      <c r="B480" s="702" t="s">
        <v>5561</v>
      </c>
      <c r="C480" s="703">
        <v>43905.63</v>
      </c>
    </row>
    <row r="481" ht="15.75" customHeight="1">
      <c r="A481" s="701" t="s">
        <v>962</v>
      </c>
      <c r="B481" s="702" t="s">
        <v>5562</v>
      </c>
      <c r="C481" s="703">
        <v>43381.82</v>
      </c>
    </row>
    <row r="482" ht="15.75" customHeight="1">
      <c r="A482" s="701" t="s">
        <v>558</v>
      </c>
      <c r="B482" s="702" t="s">
        <v>5303</v>
      </c>
      <c r="C482" s="703">
        <v>43100.06</v>
      </c>
    </row>
    <row r="483" ht="15.75" customHeight="1">
      <c r="A483" s="701" t="s">
        <v>2101</v>
      </c>
      <c r="B483" s="702" t="s">
        <v>5376</v>
      </c>
      <c r="C483" s="703">
        <v>43025.44</v>
      </c>
    </row>
    <row r="484" ht="15.75" customHeight="1">
      <c r="A484" s="701" t="s">
        <v>1913</v>
      </c>
      <c r="B484" s="702" t="s">
        <v>5281</v>
      </c>
      <c r="C484" s="703">
        <v>42634.97</v>
      </c>
    </row>
    <row r="485" ht="15.75" customHeight="1">
      <c r="A485" s="701" t="s">
        <v>632</v>
      </c>
      <c r="B485" s="702" t="s">
        <v>5264</v>
      </c>
      <c r="C485" s="703">
        <v>42144.16</v>
      </c>
    </row>
    <row r="486" ht="15.75" customHeight="1">
      <c r="A486" s="701" t="s">
        <v>1493</v>
      </c>
      <c r="B486" s="702" t="s">
        <v>5563</v>
      </c>
      <c r="C486" s="703">
        <v>41619.8</v>
      </c>
    </row>
    <row r="487" ht="15.75" customHeight="1">
      <c r="A487" s="701" t="s">
        <v>1930</v>
      </c>
      <c r="B487" s="702" t="s">
        <v>5281</v>
      </c>
      <c r="C487" s="703">
        <v>40334.46</v>
      </c>
    </row>
    <row r="488" ht="15.75" customHeight="1">
      <c r="A488" s="701" t="s">
        <v>786</v>
      </c>
      <c r="B488" s="702" t="s">
        <v>5305</v>
      </c>
      <c r="C488" s="703">
        <v>36289.52</v>
      </c>
    </row>
    <row r="489" ht="15.75" customHeight="1">
      <c r="A489" s="701" t="s">
        <v>1683</v>
      </c>
      <c r="B489" s="702" t="s">
        <v>5407</v>
      </c>
      <c r="C489" s="703">
        <v>35912.97</v>
      </c>
    </row>
    <row r="490" ht="15.75" customHeight="1">
      <c r="A490" s="701" t="s">
        <v>1316</v>
      </c>
      <c r="B490" s="702" t="s">
        <v>5258</v>
      </c>
      <c r="C490" s="703">
        <v>35867.21</v>
      </c>
    </row>
    <row r="491" ht="15.75" customHeight="1">
      <c r="A491" s="701" t="s">
        <v>908</v>
      </c>
      <c r="B491" s="702" t="s">
        <v>5564</v>
      </c>
      <c r="C491" s="703">
        <v>35538.76</v>
      </c>
    </row>
    <row r="492" ht="15.75" customHeight="1">
      <c r="A492" s="701" t="s">
        <v>5565</v>
      </c>
      <c r="B492" s="702" t="s">
        <v>5566</v>
      </c>
      <c r="C492" s="703">
        <v>35441.14</v>
      </c>
    </row>
    <row r="493" ht="15.75" customHeight="1">
      <c r="A493" s="701" t="s">
        <v>1336</v>
      </c>
      <c r="B493" s="702" t="s">
        <v>5286</v>
      </c>
      <c r="C493" s="703">
        <v>35290.82</v>
      </c>
    </row>
    <row r="494" ht="15.75" customHeight="1">
      <c r="A494" s="701" t="s">
        <v>1499</v>
      </c>
      <c r="B494" s="702" t="s">
        <v>5567</v>
      </c>
      <c r="C494" s="703">
        <v>34895.53</v>
      </c>
    </row>
    <row r="495" ht="15.75" customHeight="1">
      <c r="A495" s="701" t="s">
        <v>1119</v>
      </c>
      <c r="B495" s="702" t="s">
        <v>5550</v>
      </c>
      <c r="C495" s="703">
        <v>34324.41</v>
      </c>
    </row>
    <row r="496" ht="15.75" customHeight="1">
      <c r="A496" s="701" t="s">
        <v>1859</v>
      </c>
      <c r="B496" s="702" t="s">
        <v>5371</v>
      </c>
      <c r="C496" s="703">
        <v>32499.89</v>
      </c>
    </row>
    <row r="497" ht="15.75" customHeight="1">
      <c r="A497" s="701" t="s">
        <v>273</v>
      </c>
      <c r="B497" s="702" t="s">
        <v>5363</v>
      </c>
      <c r="C497" s="703">
        <v>31576.18</v>
      </c>
    </row>
    <row r="498" ht="15.75" customHeight="1">
      <c r="A498" s="701" t="s">
        <v>2116</v>
      </c>
      <c r="B498" s="702" t="s">
        <v>5568</v>
      </c>
      <c r="C498" s="703">
        <v>30409.88</v>
      </c>
    </row>
    <row r="499" ht="15.75" customHeight="1">
      <c r="A499" s="701" t="s">
        <v>1415</v>
      </c>
      <c r="B499" s="702" t="s">
        <v>5465</v>
      </c>
      <c r="C499" s="703">
        <v>29589.64</v>
      </c>
    </row>
    <row r="500" ht="15.75" customHeight="1">
      <c r="A500" s="701" t="s">
        <v>747</v>
      </c>
      <c r="B500" s="702" t="s">
        <v>5569</v>
      </c>
      <c r="C500" s="703">
        <v>29428.98</v>
      </c>
    </row>
    <row r="501" ht="15.75" customHeight="1">
      <c r="A501" s="701" t="s">
        <v>2186</v>
      </c>
      <c r="B501" s="702" t="s">
        <v>5454</v>
      </c>
      <c r="C501" s="703">
        <v>28544.08</v>
      </c>
    </row>
    <row r="502" ht="15.75" customHeight="1">
      <c r="A502" s="701" t="s">
        <v>645</v>
      </c>
      <c r="B502" s="702" t="s">
        <v>5570</v>
      </c>
      <c r="C502" s="703">
        <v>28320.53</v>
      </c>
    </row>
    <row r="503" ht="15.75" customHeight="1">
      <c r="A503" s="701" t="s">
        <v>1099</v>
      </c>
      <c r="B503" s="702" t="s">
        <v>5571</v>
      </c>
      <c r="C503" s="703">
        <v>27150.95</v>
      </c>
    </row>
    <row r="504" ht="15.75" customHeight="1">
      <c r="A504" s="701" t="s">
        <v>939</v>
      </c>
      <c r="B504" s="702" t="s">
        <v>5422</v>
      </c>
      <c r="C504" s="703">
        <v>25802.38</v>
      </c>
    </row>
    <row r="505" ht="15.75" customHeight="1">
      <c r="A505" s="701" t="s">
        <v>1230</v>
      </c>
      <c r="B505" s="702" t="s">
        <v>5314</v>
      </c>
      <c r="C505" s="703">
        <v>23713.53</v>
      </c>
    </row>
    <row r="506" ht="15.75" customHeight="1">
      <c r="A506" s="701" t="s">
        <v>144</v>
      </c>
      <c r="B506" s="702" t="s">
        <v>5518</v>
      </c>
      <c r="C506" s="703">
        <v>22806.02</v>
      </c>
    </row>
    <row r="507" ht="15.75" customHeight="1">
      <c r="A507" s="701" t="s">
        <v>270</v>
      </c>
      <c r="B507" s="702" t="s">
        <v>5363</v>
      </c>
      <c r="C507" s="703">
        <v>21883.8</v>
      </c>
    </row>
    <row r="508" ht="15.75" customHeight="1">
      <c r="A508" s="701" t="s">
        <v>1967</v>
      </c>
      <c r="B508" s="702" t="s">
        <v>5365</v>
      </c>
      <c r="C508" s="703">
        <v>21300.31</v>
      </c>
    </row>
    <row r="509" ht="15.75" customHeight="1">
      <c r="A509" s="701" t="s">
        <v>207</v>
      </c>
      <c r="B509" s="702" t="s">
        <v>5312</v>
      </c>
      <c r="C509" s="703">
        <v>20868.65</v>
      </c>
    </row>
    <row r="510" ht="15.75" customHeight="1">
      <c r="A510" s="701" t="s">
        <v>324</v>
      </c>
      <c r="B510" s="702" t="s">
        <v>5253</v>
      </c>
      <c r="C510" s="703">
        <v>18886.13</v>
      </c>
    </row>
    <row r="511" ht="15.75" customHeight="1">
      <c r="A511" s="701" t="s">
        <v>901</v>
      </c>
      <c r="B511" s="702" t="s">
        <v>5431</v>
      </c>
      <c r="C511" s="703">
        <v>18194.62</v>
      </c>
    </row>
    <row r="512" ht="15.75" customHeight="1">
      <c r="A512" s="701" t="s">
        <v>1925</v>
      </c>
      <c r="B512" s="702" t="s">
        <v>5281</v>
      </c>
      <c r="C512" s="703">
        <v>16728.0</v>
      </c>
    </row>
    <row r="513" ht="15.75" customHeight="1">
      <c r="A513" s="701" t="s">
        <v>5572</v>
      </c>
      <c r="B513" s="702" t="s">
        <v>5466</v>
      </c>
      <c r="C513" s="703">
        <v>15110.07</v>
      </c>
    </row>
    <row r="514" ht="15.75" customHeight="1">
      <c r="A514" s="701" t="s">
        <v>1669</v>
      </c>
      <c r="B514" s="702" t="s">
        <v>5446</v>
      </c>
      <c r="C514" s="703">
        <v>14878.56</v>
      </c>
    </row>
    <row r="515" ht="15.75" customHeight="1">
      <c r="A515" s="701" t="s">
        <v>533</v>
      </c>
      <c r="B515" s="702" t="s">
        <v>5573</v>
      </c>
      <c r="C515" s="703">
        <v>14405.73</v>
      </c>
    </row>
    <row r="516" ht="15.75" customHeight="1">
      <c r="A516" s="701" t="s">
        <v>515</v>
      </c>
      <c r="B516" s="702" t="s">
        <v>5479</v>
      </c>
      <c r="C516" s="703">
        <v>12794.73</v>
      </c>
    </row>
    <row r="517" ht="15.75" customHeight="1">
      <c r="A517" s="701" t="s">
        <v>679</v>
      </c>
      <c r="B517" s="702" t="s">
        <v>5396</v>
      </c>
      <c r="C517" s="703">
        <v>12148.23</v>
      </c>
    </row>
    <row r="518" ht="15.75" customHeight="1">
      <c r="A518" s="701" t="s">
        <v>357</v>
      </c>
      <c r="B518" s="702" t="s">
        <v>5481</v>
      </c>
      <c r="C518" s="703">
        <v>12108.85</v>
      </c>
    </row>
    <row r="519" ht="15.75" customHeight="1">
      <c r="A519" s="701" t="s">
        <v>394</v>
      </c>
      <c r="B519" s="702" t="s">
        <v>5574</v>
      </c>
      <c r="C519" s="703">
        <v>12092.51</v>
      </c>
    </row>
    <row r="520" ht="15.75" customHeight="1">
      <c r="A520" s="701" t="s">
        <v>986</v>
      </c>
      <c r="B520" s="702" t="s">
        <v>5575</v>
      </c>
      <c r="C520" s="703">
        <v>11652.81</v>
      </c>
    </row>
    <row r="521" ht="15.75" customHeight="1">
      <c r="A521" s="701" t="s">
        <v>1464</v>
      </c>
      <c r="B521" s="702" t="s">
        <v>5283</v>
      </c>
      <c r="C521" s="703">
        <v>11490.79</v>
      </c>
    </row>
    <row r="522" ht="15.75" customHeight="1">
      <c r="A522" s="701" t="s">
        <v>93</v>
      </c>
      <c r="B522" s="702" t="s">
        <v>5576</v>
      </c>
      <c r="C522" s="703">
        <v>10867.86</v>
      </c>
    </row>
    <row r="523" ht="15.75" customHeight="1">
      <c r="A523" s="701" t="s">
        <v>2045</v>
      </c>
      <c r="B523" s="702" t="s">
        <v>5514</v>
      </c>
      <c r="C523" s="703">
        <v>10127.77</v>
      </c>
    </row>
    <row r="524" ht="15.75" customHeight="1">
      <c r="A524" s="701" t="s">
        <v>608</v>
      </c>
      <c r="B524" s="702" t="s">
        <v>5577</v>
      </c>
      <c r="C524" s="703">
        <v>9920.78</v>
      </c>
    </row>
    <row r="525" ht="15.75" customHeight="1">
      <c r="A525" s="701" t="s">
        <v>1080</v>
      </c>
      <c r="B525" s="702" t="s">
        <v>5251</v>
      </c>
      <c r="C525" s="703">
        <v>9706.62</v>
      </c>
    </row>
    <row r="526" ht="15.75" customHeight="1">
      <c r="A526" s="701" t="s">
        <v>5578</v>
      </c>
      <c r="B526" s="702" t="s">
        <v>5291</v>
      </c>
      <c r="C526" s="703">
        <v>9220.01</v>
      </c>
    </row>
    <row r="527" ht="15.75" customHeight="1">
      <c r="A527" s="701" t="s">
        <v>936</v>
      </c>
      <c r="B527" s="702" t="s">
        <v>5422</v>
      </c>
      <c r="C527" s="703">
        <v>9210.3</v>
      </c>
    </row>
    <row r="528" ht="15.75" customHeight="1">
      <c r="A528" s="701" t="s">
        <v>1862</v>
      </c>
      <c r="B528" s="702" t="s">
        <v>5371</v>
      </c>
      <c r="C528" s="703">
        <v>8624.73</v>
      </c>
    </row>
    <row r="529" ht="15.75" customHeight="1">
      <c r="A529" s="701" t="s">
        <v>5579</v>
      </c>
      <c r="B529" s="702" t="s">
        <v>5580</v>
      </c>
      <c r="C529" s="703">
        <v>8233.0</v>
      </c>
    </row>
    <row r="530" ht="15.75" customHeight="1">
      <c r="A530" s="701" t="s">
        <v>2104</v>
      </c>
      <c r="B530" s="702" t="s">
        <v>5581</v>
      </c>
      <c r="C530" s="703">
        <v>7708.85</v>
      </c>
    </row>
    <row r="531" ht="15.75" customHeight="1">
      <c r="A531" s="701" t="s">
        <v>2281</v>
      </c>
      <c r="B531" s="702" t="s">
        <v>5582</v>
      </c>
      <c r="C531" s="703">
        <v>7400.77</v>
      </c>
    </row>
    <row r="532" ht="15.75" customHeight="1">
      <c r="A532" s="701" t="s">
        <v>363</v>
      </c>
      <c r="B532" s="702" t="s">
        <v>5481</v>
      </c>
      <c r="C532" s="703">
        <v>7256.97</v>
      </c>
    </row>
    <row r="533" ht="15.75" customHeight="1">
      <c r="A533" s="701" t="s">
        <v>2189</v>
      </c>
      <c r="B533" s="702" t="s">
        <v>5583</v>
      </c>
      <c r="C533" s="703">
        <v>6937.98</v>
      </c>
    </row>
    <row r="534" ht="15.75" customHeight="1">
      <c r="A534" s="701" t="s">
        <v>2258</v>
      </c>
      <c r="B534" s="702" t="s">
        <v>5584</v>
      </c>
      <c r="C534" s="703">
        <v>6612.0</v>
      </c>
    </row>
    <row r="535" ht="15.75" customHeight="1">
      <c r="A535" s="701" t="s">
        <v>1246</v>
      </c>
      <c r="B535" s="702" t="s">
        <v>5585</v>
      </c>
      <c r="C535" s="706">
        <v>5737.33</v>
      </c>
    </row>
    <row r="536" ht="15.75" customHeight="1">
      <c r="A536" s="701" t="s">
        <v>403</v>
      </c>
      <c r="B536" s="702" t="s">
        <v>5586</v>
      </c>
      <c r="C536" s="706">
        <v>5281.46</v>
      </c>
    </row>
    <row r="537" ht="15.75" customHeight="1">
      <c r="A537" s="701" t="s">
        <v>5587</v>
      </c>
      <c r="B537" s="702" t="s">
        <v>5297</v>
      </c>
      <c r="C537" s="706">
        <v>5155.36</v>
      </c>
    </row>
    <row r="538" ht="15.75" customHeight="1">
      <c r="A538" s="701" t="s">
        <v>5588</v>
      </c>
      <c r="B538" s="702" t="s">
        <v>5589</v>
      </c>
      <c r="C538" s="706">
        <v>4503.86</v>
      </c>
    </row>
    <row r="539" ht="15.75" customHeight="1">
      <c r="A539" s="701" t="s">
        <v>1471</v>
      </c>
      <c r="B539" s="702" t="s">
        <v>5328</v>
      </c>
      <c r="C539" s="706">
        <v>3645.99</v>
      </c>
    </row>
    <row r="540" ht="15.75" customHeight="1">
      <c r="A540" s="701" t="s">
        <v>5590</v>
      </c>
      <c r="B540" s="702" t="s">
        <v>5283</v>
      </c>
      <c r="C540" s="706">
        <v>3368.09</v>
      </c>
    </row>
    <row r="541" ht="15.75" customHeight="1">
      <c r="A541" s="701" t="s">
        <v>1754</v>
      </c>
      <c r="B541" s="702" t="s">
        <v>5591</v>
      </c>
      <c r="C541" s="706">
        <v>3080.9</v>
      </c>
    </row>
    <row r="542" ht="15.75" customHeight="1">
      <c r="A542" s="701" t="s">
        <v>5592</v>
      </c>
      <c r="B542" s="702" t="s">
        <v>5381</v>
      </c>
      <c r="C542" s="706">
        <v>2848.23</v>
      </c>
    </row>
    <row r="543" ht="15.75" customHeight="1">
      <c r="A543" s="701" t="s">
        <v>97</v>
      </c>
      <c r="B543" s="702" t="s">
        <v>5576</v>
      </c>
      <c r="C543" s="706">
        <v>2597.43</v>
      </c>
    </row>
    <row r="544" ht="15.75" customHeight="1">
      <c r="A544" s="701" t="s">
        <v>2048</v>
      </c>
      <c r="B544" s="702" t="s">
        <v>5514</v>
      </c>
      <c r="C544" s="706">
        <v>2538.41</v>
      </c>
    </row>
    <row r="545" ht="15.75" customHeight="1">
      <c r="A545" s="701" t="s">
        <v>5593</v>
      </c>
      <c r="B545" s="702" t="s">
        <v>5371</v>
      </c>
      <c r="C545" s="706">
        <v>2372.9</v>
      </c>
    </row>
    <row r="546" ht="15.75" customHeight="1">
      <c r="A546" s="701" t="s">
        <v>1496</v>
      </c>
      <c r="B546" s="702" t="s">
        <v>5594</v>
      </c>
      <c r="C546" s="706">
        <v>2347.27</v>
      </c>
    </row>
    <row r="547" ht="15.75" customHeight="1">
      <c r="A547" s="701" t="s">
        <v>414</v>
      </c>
      <c r="B547" s="702" t="s">
        <v>5284</v>
      </c>
      <c r="C547" s="706">
        <v>2326.26</v>
      </c>
    </row>
    <row r="548" ht="15.75" customHeight="1">
      <c r="A548" s="701" t="s">
        <v>2065</v>
      </c>
      <c r="B548" s="702" t="s">
        <v>5595</v>
      </c>
      <c r="C548" s="706">
        <v>2038.92</v>
      </c>
    </row>
    <row r="549" ht="15.75" customHeight="1">
      <c r="A549" s="701" t="s">
        <v>1239</v>
      </c>
      <c r="B549" s="702" t="s">
        <v>5540</v>
      </c>
      <c r="C549" s="706">
        <v>2001.92</v>
      </c>
    </row>
    <row r="550" ht="15.75" customHeight="1">
      <c r="A550" s="701" t="s">
        <v>2219</v>
      </c>
      <c r="B550" s="702" t="s">
        <v>5405</v>
      </c>
      <c r="C550" s="706">
        <v>1520.1</v>
      </c>
    </row>
    <row r="551" ht="15.75" customHeight="1">
      <c r="A551" s="701" t="s">
        <v>732</v>
      </c>
      <c r="B551" s="702" t="s">
        <v>5271</v>
      </c>
      <c r="C551" s="706">
        <v>1484.17</v>
      </c>
    </row>
    <row r="552" ht="15.75" customHeight="1">
      <c r="A552" s="701" t="s">
        <v>1959</v>
      </c>
      <c r="B552" s="702" t="s">
        <v>5529</v>
      </c>
      <c r="C552" s="706">
        <v>1302.98</v>
      </c>
    </row>
    <row r="553" ht="15.75" customHeight="1">
      <c r="A553" s="701" t="s">
        <v>1051</v>
      </c>
      <c r="B553" s="702" t="s">
        <v>5596</v>
      </c>
      <c r="C553" s="706">
        <v>1167.39</v>
      </c>
    </row>
    <row r="554" ht="15.75" customHeight="1">
      <c r="A554" s="701" t="s">
        <v>1757</v>
      </c>
      <c r="B554" s="702" t="s">
        <v>5597</v>
      </c>
      <c r="C554" s="706">
        <v>1142.62</v>
      </c>
    </row>
    <row r="555" ht="15.75" customHeight="1">
      <c r="A555" s="701" t="s">
        <v>616</v>
      </c>
      <c r="B555" s="702" t="s">
        <v>5457</v>
      </c>
      <c r="C555" s="706">
        <v>1123.24</v>
      </c>
    </row>
    <row r="556" ht="15.75" customHeight="1">
      <c r="A556" s="701" t="s">
        <v>1921</v>
      </c>
      <c r="B556" s="702" t="s">
        <v>5281</v>
      </c>
      <c r="C556" s="706">
        <v>918.37</v>
      </c>
    </row>
    <row r="557" ht="15.75" customHeight="1">
      <c r="A557" s="701" t="s">
        <v>264</v>
      </c>
      <c r="B557" s="702" t="s">
        <v>5308</v>
      </c>
      <c r="C557" s="706">
        <v>907.07</v>
      </c>
    </row>
    <row r="558" ht="15.75" customHeight="1">
      <c r="A558" s="701" t="s">
        <v>2051</v>
      </c>
      <c r="B558" s="702" t="s">
        <v>5514</v>
      </c>
      <c r="C558" s="706">
        <v>902.31</v>
      </c>
    </row>
    <row r="559" ht="15.75" customHeight="1">
      <c r="A559" s="701" t="s">
        <v>5598</v>
      </c>
      <c r="B559" s="702" t="s">
        <v>5599</v>
      </c>
      <c r="C559" s="706">
        <v>820.58</v>
      </c>
    </row>
    <row r="560" ht="15.75" customHeight="1">
      <c r="A560" s="701" t="s">
        <v>2018</v>
      </c>
      <c r="B560" s="702" t="s">
        <v>5482</v>
      </c>
      <c r="C560" s="706">
        <v>776.38</v>
      </c>
    </row>
    <row r="561" ht="15.75" customHeight="1">
      <c r="A561" s="701" t="s">
        <v>1962</v>
      </c>
      <c r="B561" s="702" t="s">
        <v>5529</v>
      </c>
      <c r="C561" s="706">
        <v>768.12</v>
      </c>
    </row>
    <row r="562" ht="15.75" customHeight="1">
      <c r="A562" s="701" t="s">
        <v>487</v>
      </c>
      <c r="B562" s="702" t="s">
        <v>5558</v>
      </c>
      <c r="C562" s="706">
        <v>727.09</v>
      </c>
    </row>
    <row r="563" ht="15.75" customHeight="1">
      <c r="A563" s="701" t="s">
        <v>5600</v>
      </c>
      <c r="B563" s="702" t="s">
        <v>5361</v>
      </c>
      <c r="C563" s="706">
        <v>704.22</v>
      </c>
    </row>
    <row r="564" ht="15.75" customHeight="1">
      <c r="A564" s="701" t="s">
        <v>5601</v>
      </c>
      <c r="B564" s="702" t="s">
        <v>5361</v>
      </c>
      <c r="C564" s="706">
        <v>698.92</v>
      </c>
    </row>
    <row r="565" ht="15.75" customHeight="1">
      <c r="A565" s="701" t="s">
        <v>5602</v>
      </c>
      <c r="B565" s="702" t="s">
        <v>5603</v>
      </c>
      <c r="C565" s="706">
        <v>693.81</v>
      </c>
    </row>
    <row r="566" ht="15.75" customHeight="1">
      <c r="A566" s="701" t="s">
        <v>2095</v>
      </c>
      <c r="B566" s="702" t="s">
        <v>5604</v>
      </c>
      <c r="C566" s="706">
        <v>588.04</v>
      </c>
    </row>
    <row r="567" ht="15.75" customHeight="1">
      <c r="A567" s="701" t="s">
        <v>114</v>
      </c>
      <c r="B567" s="702" t="s">
        <v>5382</v>
      </c>
      <c r="C567" s="706">
        <v>551.44</v>
      </c>
    </row>
    <row r="568" ht="15.75" customHeight="1">
      <c r="A568" s="701" t="s">
        <v>204</v>
      </c>
      <c r="B568" s="702" t="s">
        <v>5312</v>
      </c>
      <c r="C568" s="706">
        <v>456.81</v>
      </c>
    </row>
    <row r="569" ht="15.75" customHeight="1">
      <c r="A569" s="701" t="s">
        <v>1141</v>
      </c>
      <c r="B569" s="702" t="s">
        <v>5605</v>
      </c>
      <c r="C569" s="706">
        <v>435.94</v>
      </c>
    </row>
    <row r="570" ht="15.75" customHeight="1">
      <c r="A570" s="701" t="s">
        <v>1453</v>
      </c>
      <c r="B570" s="702" t="s">
        <v>5421</v>
      </c>
      <c r="C570" s="706">
        <v>414.56</v>
      </c>
    </row>
    <row r="571" ht="15.75" customHeight="1">
      <c r="A571" s="701" t="s">
        <v>1973</v>
      </c>
      <c r="B571" s="702" t="s">
        <v>5298</v>
      </c>
      <c r="C571" s="706">
        <v>288.88</v>
      </c>
    </row>
    <row r="572" ht="15.75" customHeight="1">
      <c r="A572" s="701" t="s">
        <v>1449</v>
      </c>
      <c r="B572" s="702" t="s">
        <v>5421</v>
      </c>
      <c r="C572" s="706">
        <v>263.44</v>
      </c>
    </row>
    <row r="573" ht="15.75" customHeight="1">
      <c r="A573" s="701" t="s">
        <v>1020</v>
      </c>
      <c r="B573" s="702" t="s">
        <v>5275</v>
      </c>
      <c r="C573" s="706">
        <v>228.65</v>
      </c>
    </row>
    <row r="574" ht="15.75" customHeight="1">
      <c r="A574" s="701" t="s">
        <v>2092</v>
      </c>
      <c r="B574" s="702" t="s">
        <v>5606</v>
      </c>
      <c r="C574" s="706">
        <v>225.57</v>
      </c>
    </row>
    <row r="575" ht="15.75" customHeight="1">
      <c r="A575" s="701" t="s">
        <v>640</v>
      </c>
      <c r="B575" s="702" t="s">
        <v>5264</v>
      </c>
      <c r="C575" s="706">
        <v>211.64</v>
      </c>
    </row>
    <row r="576" ht="15.75" customHeight="1">
      <c r="A576" s="701" t="s">
        <v>2341</v>
      </c>
      <c r="B576" s="702" t="s">
        <v>5607</v>
      </c>
      <c r="C576" s="706">
        <v>173.04</v>
      </c>
    </row>
    <row r="577" ht="15.75" customHeight="1">
      <c r="A577" s="701" t="s">
        <v>242</v>
      </c>
      <c r="B577" s="702" t="s">
        <v>5312</v>
      </c>
      <c r="C577" s="706">
        <v>171.31</v>
      </c>
    </row>
    <row r="578" ht="15.75" customHeight="1">
      <c r="A578" s="701" t="s">
        <v>5608</v>
      </c>
      <c r="B578" s="702" t="s">
        <v>5518</v>
      </c>
      <c r="C578" s="706">
        <v>162.29</v>
      </c>
    </row>
    <row r="579" ht="15.75" customHeight="1">
      <c r="A579" s="701" t="s">
        <v>1011</v>
      </c>
      <c r="B579" s="702" t="s">
        <v>5275</v>
      </c>
      <c r="C579" s="706">
        <v>148.16</v>
      </c>
    </row>
    <row r="580" ht="15.75" customHeight="1">
      <c r="A580" s="701" t="s">
        <v>2088</v>
      </c>
      <c r="B580" s="702" t="s">
        <v>5385</v>
      </c>
      <c r="C580" s="706">
        <v>142.45</v>
      </c>
    </row>
    <row r="581" ht="15.75" customHeight="1">
      <c r="A581" s="701" t="s">
        <v>926</v>
      </c>
      <c r="B581" s="702" t="s">
        <v>5609</v>
      </c>
      <c r="C581" s="706">
        <v>139.24</v>
      </c>
    </row>
    <row r="582" ht="15.75" customHeight="1">
      <c r="A582" s="701" t="s">
        <v>1369</v>
      </c>
      <c r="B582" s="702" t="s">
        <v>5503</v>
      </c>
      <c r="C582" s="706">
        <v>126.75</v>
      </c>
    </row>
    <row r="583" ht="15.75" customHeight="1">
      <c r="A583" s="701" t="s">
        <v>1675</v>
      </c>
      <c r="B583" s="702" t="s">
        <v>5296</v>
      </c>
      <c r="C583" s="706">
        <v>93.87</v>
      </c>
    </row>
    <row r="584" ht="15.75" customHeight="1">
      <c r="A584" s="701" t="s">
        <v>1153</v>
      </c>
      <c r="B584" s="702" t="s">
        <v>5399</v>
      </c>
      <c r="C584" s="706">
        <v>86.38</v>
      </c>
    </row>
    <row r="585" ht="15.75" customHeight="1">
      <c r="A585" s="701" t="s">
        <v>282</v>
      </c>
      <c r="B585" s="702" t="s">
        <v>5610</v>
      </c>
      <c r="C585" s="706">
        <v>72.95</v>
      </c>
    </row>
    <row r="586" ht="15.75" customHeight="1">
      <c r="A586" s="701" t="s">
        <v>1562</v>
      </c>
      <c r="B586" s="702" t="s">
        <v>5311</v>
      </c>
      <c r="C586" s="706">
        <v>68.39</v>
      </c>
    </row>
    <row r="587" ht="15.75" customHeight="1">
      <c r="A587" s="701" t="s">
        <v>883</v>
      </c>
      <c r="B587" s="702" t="s">
        <v>5367</v>
      </c>
      <c r="C587" s="706">
        <v>51.44</v>
      </c>
    </row>
    <row r="588" ht="15.75" customHeight="1">
      <c r="A588" s="701" t="s">
        <v>5611</v>
      </c>
      <c r="B588" s="702" t="s">
        <v>5515</v>
      </c>
      <c r="C588" s="706">
        <v>50.0</v>
      </c>
    </row>
    <row r="589" ht="15.75" customHeight="1">
      <c r="A589" s="701" t="s">
        <v>1523</v>
      </c>
      <c r="B589" s="702" t="s">
        <v>5287</v>
      </c>
      <c r="C589" s="706">
        <v>35.29</v>
      </c>
    </row>
    <row r="590" ht="15.75" customHeight="1">
      <c r="A590" s="701" t="s">
        <v>1341</v>
      </c>
      <c r="B590" s="702" t="s">
        <v>5612</v>
      </c>
      <c r="C590" s="706">
        <v>30.02</v>
      </c>
    </row>
    <row r="591" ht="15.75" customHeight="1">
      <c r="A591" s="701" t="s">
        <v>279</v>
      </c>
      <c r="B591" s="702" t="s">
        <v>5613</v>
      </c>
      <c r="C591" s="706">
        <v>26.37</v>
      </c>
    </row>
    <row r="592" ht="15.75" customHeight="1">
      <c r="A592" s="701" t="s">
        <v>1638</v>
      </c>
      <c r="B592" s="702" t="s">
        <v>5259</v>
      </c>
      <c r="C592" s="706">
        <v>20.75</v>
      </c>
    </row>
    <row r="593" ht="15.75" customHeight="1">
      <c r="A593" s="701" t="s">
        <v>189</v>
      </c>
      <c r="B593" s="702" t="s">
        <v>5614</v>
      </c>
      <c r="C593" s="706">
        <v>18.77</v>
      </c>
    </row>
    <row r="594" ht="15.75" customHeight="1">
      <c r="A594" s="701" t="s">
        <v>952</v>
      </c>
      <c r="B594" s="702" t="s">
        <v>5422</v>
      </c>
      <c r="C594" s="706">
        <v>16.18</v>
      </c>
    </row>
    <row r="595" ht="15.75" customHeight="1">
      <c r="A595" s="701" t="s">
        <v>2323</v>
      </c>
      <c r="B595" s="702" t="s">
        <v>5615</v>
      </c>
      <c r="C595" s="706">
        <v>14.67</v>
      </c>
    </row>
    <row r="596" ht="15.75" customHeight="1">
      <c r="A596" s="701" t="s">
        <v>919</v>
      </c>
      <c r="B596" s="702" t="s">
        <v>5616</v>
      </c>
      <c r="C596" s="706">
        <v>9.75</v>
      </c>
    </row>
    <row r="597" ht="15.75" customHeight="1">
      <c r="A597" s="701" t="s">
        <v>1171</v>
      </c>
      <c r="B597" s="702" t="s">
        <v>5399</v>
      </c>
      <c r="C597" s="706">
        <v>5.55</v>
      </c>
    </row>
    <row r="598" ht="15.75" customHeight="1">
      <c r="A598" s="701" t="s">
        <v>407</v>
      </c>
      <c r="B598" s="702" t="s">
        <v>5617</v>
      </c>
      <c r="C598" s="706">
        <v>0.78</v>
      </c>
    </row>
    <row r="599" ht="15.75" customHeight="1">
      <c r="A599" s="701" t="s">
        <v>1113</v>
      </c>
      <c r="B599" s="702" t="s">
        <v>5550</v>
      </c>
      <c r="C599" s="706">
        <v>0.39</v>
      </c>
    </row>
    <row r="600" ht="15.75" customHeight="1">
      <c r="A600" s="701" t="s">
        <v>1944</v>
      </c>
      <c r="B600" s="702" t="s">
        <v>5618</v>
      </c>
      <c r="C600" s="706">
        <v>0.16</v>
      </c>
    </row>
    <row r="601" ht="15.75" customHeight="1">
      <c r="A601" s="701" t="s">
        <v>1164</v>
      </c>
      <c r="B601" s="702" t="s">
        <v>5399</v>
      </c>
      <c r="C601" s="706">
        <v>0.15</v>
      </c>
    </row>
    <row r="602" ht="15.75" customHeight="1">
      <c r="A602" s="701" t="s">
        <v>1738</v>
      </c>
      <c r="B602" s="702" t="s">
        <v>5342</v>
      </c>
      <c r="C602" s="706">
        <v>0.14</v>
      </c>
    </row>
    <row r="603" ht="15.75" customHeight="1">
      <c r="A603" s="701" t="s">
        <v>943</v>
      </c>
      <c r="B603" s="702" t="s">
        <v>5422</v>
      </c>
      <c r="C603" s="706">
        <v>0.09</v>
      </c>
    </row>
    <row r="604" ht="15.75" customHeight="1">
      <c r="A604" s="701" t="s">
        <v>1030</v>
      </c>
      <c r="B604" s="702" t="s">
        <v>5275</v>
      </c>
      <c r="C604" s="706">
        <v>0.01</v>
      </c>
    </row>
    <row r="605" ht="15.75" customHeight="1">
      <c r="A605" s="701" t="s">
        <v>2288</v>
      </c>
      <c r="B605" s="702" t="s">
        <v>5619</v>
      </c>
      <c r="C605" s="706">
        <v>0.01</v>
      </c>
    </row>
    <row r="606" ht="15.75" customHeight="1">
      <c r="A606" s="707"/>
    </row>
    <row r="607" ht="15.75" customHeight="1">
      <c r="A607" s="707"/>
    </row>
    <row r="608" ht="15.75" customHeight="1">
      <c r="A608" s="707"/>
    </row>
    <row r="609" ht="15.75" customHeight="1">
      <c r="A609" s="707"/>
    </row>
    <row r="610" ht="15.75" customHeight="1">
      <c r="A610" s="707"/>
    </row>
    <row r="611" ht="15.75" customHeight="1">
      <c r="A611" s="707"/>
    </row>
    <row r="612" ht="15.75" customHeight="1">
      <c r="A612" s="707"/>
    </row>
    <row r="613" ht="15.75" customHeight="1">
      <c r="A613" s="707"/>
    </row>
    <row r="614" ht="15.75" customHeight="1">
      <c r="A614" s="707"/>
    </row>
    <row r="615" ht="15.75" customHeight="1">
      <c r="A615" s="707"/>
    </row>
    <row r="616" ht="15.75" customHeight="1">
      <c r="A616" s="707"/>
    </row>
    <row r="617" ht="15.75" customHeight="1">
      <c r="A617" s="707"/>
    </row>
    <row r="618" ht="15.75" customHeight="1">
      <c r="A618" s="707"/>
    </row>
    <row r="619" ht="15.75" customHeight="1">
      <c r="A619" s="707"/>
    </row>
    <row r="620" ht="15.75" customHeight="1">
      <c r="A620" s="707"/>
    </row>
    <row r="621" ht="15.75" customHeight="1">
      <c r="A621" s="707"/>
    </row>
    <row r="622" ht="15.75" customHeight="1">
      <c r="A622" s="707"/>
    </row>
    <row r="623" ht="15.75" customHeight="1">
      <c r="A623" s="707"/>
    </row>
    <row r="624" ht="15.75" customHeight="1">
      <c r="A624" s="707"/>
    </row>
    <row r="625" ht="15.75" customHeight="1">
      <c r="A625" s="707"/>
    </row>
    <row r="626" ht="15.75" customHeight="1">
      <c r="A626" s="707"/>
    </row>
    <row r="627" ht="15.75" customHeight="1">
      <c r="A627" s="707"/>
    </row>
    <row r="628" ht="15.75" customHeight="1">
      <c r="A628" s="707"/>
    </row>
    <row r="629" ht="15.75" customHeight="1">
      <c r="A629" s="707"/>
    </row>
    <row r="630" ht="15.75" customHeight="1">
      <c r="A630" s="707"/>
    </row>
    <row r="631" ht="15.75" customHeight="1">
      <c r="A631" s="707"/>
    </row>
    <row r="632" ht="15.75" customHeight="1">
      <c r="A632" s="707"/>
    </row>
    <row r="633" ht="15.75" customHeight="1">
      <c r="A633" s="707"/>
    </row>
    <row r="634" ht="15.75" customHeight="1">
      <c r="A634" s="707"/>
    </row>
    <row r="635" ht="15.75" customHeight="1">
      <c r="A635" s="707"/>
    </row>
    <row r="636" ht="15.75" customHeight="1">
      <c r="A636" s="707"/>
    </row>
    <row r="637" ht="15.75" customHeight="1">
      <c r="A637" s="707"/>
    </row>
    <row r="638" ht="15.75" customHeight="1">
      <c r="A638" s="707"/>
    </row>
    <row r="639" ht="15.75" customHeight="1">
      <c r="A639" s="707"/>
    </row>
    <row r="640" ht="15.75" customHeight="1">
      <c r="A640" s="707"/>
    </row>
    <row r="641" ht="15.75" customHeight="1">
      <c r="A641" s="707"/>
    </row>
    <row r="642" ht="15.75" customHeight="1">
      <c r="A642" s="707"/>
    </row>
    <row r="643" ht="15.75" customHeight="1">
      <c r="A643" s="707"/>
    </row>
    <row r="644" ht="15.75" customHeight="1">
      <c r="A644" s="707"/>
    </row>
    <row r="645" ht="15.75" customHeight="1">
      <c r="A645" s="707"/>
    </row>
    <row r="646" ht="15.75" customHeight="1">
      <c r="A646" s="707"/>
    </row>
    <row r="647" ht="15.75" customHeight="1">
      <c r="A647" s="707"/>
    </row>
    <row r="648" ht="15.75" customHeight="1">
      <c r="A648" s="707"/>
    </row>
    <row r="649" ht="15.75" customHeight="1">
      <c r="A649" s="707"/>
    </row>
    <row r="650" ht="15.75" customHeight="1">
      <c r="A650" s="707"/>
    </row>
    <row r="651" ht="15.75" customHeight="1">
      <c r="A651" s="707"/>
    </row>
    <row r="652" ht="15.75" customHeight="1">
      <c r="A652" s="707"/>
    </row>
    <row r="653" ht="15.75" customHeight="1">
      <c r="A653" s="707"/>
    </row>
    <row r="654" ht="15.75" customHeight="1">
      <c r="A654" s="707"/>
    </row>
    <row r="655" ht="15.75" customHeight="1">
      <c r="A655" s="707"/>
    </row>
    <row r="656" ht="15.75" customHeight="1">
      <c r="A656" s="707"/>
    </row>
    <row r="657" ht="15.75" customHeight="1">
      <c r="A657" s="707"/>
    </row>
    <row r="658" ht="15.75" customHeight="1">
      <c r="A658" s="707"/>
    </row>
    <row r="659" ht="15.75" customHeight="1">
      <c r="A659" s="707"/>
    </row>
    <row r="660" ht="15.75" customHeight="1">
      <c r="A660" s="707"/>
    </row>
    <row r="661" ht="15.75" customHeight="1">
      <c r="A661" s="707"/>
    </row>
    <row r="662" ht="15.75" customHeight="1">
      <c r="A662" s="707"/>
    </row>
    <row r="663" ht="15.75" customHeight="1">
      <c r="A663" s="707"/>
    </row>
    <row r="664" ht="15.75" customHeight="1">
      <c r="A664" s="707"/>
    </row>
    <row r="665" ht="15.75" customHeight="1">
      <c r="A665" s="707"/>
    </row>
    <row r="666" ht="15.75" customHeight="1">
      <c r="A666" s="707"/>
    </row>
    <row r="667" ht="15.75" customHeight="1">
      <c r="A667" s="707"/>
    </row>
    <row r="668" ht="15.75" customHeight="1">
      <c r="A668" s="707"/>
    </row>
    <row r="669" ht="15.75" customHeight="1">
      <c r="A669" s="707"/>
    </row>
    <row r="670" ht="15.75" customHeight="1">
      <c r="A670" s="707"/>
    </row>
    <row r="671" ht="15.75" customHeight="1">
      <c r="A671" s="707"/>
    </row>
    <row r="672" ht="15.75" customHeight="1">
      <c r="A672" s="707"/>
    </row>
    <row r="673" ht="15.75" customHeight="1">
      <c r="A673" s="707"/>
    </row>
    <row r="674" ht="15.75" customHeight="1">
      <c r="A674" s="707"/>
    </row>
    <row r="675" ht="15.75" customHeight="1">
      <c r="A675" s="707"/>
    </row>
    <row r="676" ht="15.75" customHeight="1">
      <c r="A676" s="707"/>
    </row>
    <row r="677" ht="15.75" customHeight="1">
      <c r="A677" s="707"/>
    </row>
    <row r="678" ht="15.75" customHeight="1">
      <c r="A678" s="707"/>
    </row>
    <row r="679" ht="15.75" customHeight="1">
      <c r="A679" s="707"/>
    </row>
    <row r="680" ht="15.75" customHeight="1">
      <c r="A680" s="707"/>
    </row>
    <row r="681" ht="15.75" customHeight="1">
      <c r="A681" s="707"/>
    </row>
    <row r="682" ht="15.75" customHeight="1">
      <c r="A682" s="707"/>
    </row>
    <row r="683" ht="15.75" customHeight="1">
      <c r="A683" s="707"/>
    </row>
    <row r="684" ht="15.75" customHeight="1">
      <c r="A684" s="707"/>
    </row>
    <row r="685" ht="15.75" customHeight="1">
      <c r="A685" s="707"/>
    </row>
    <row r="686" ht="15.75" customHeight="1">
      <c r="A686" s="707"/>
    </row>
    <row r="687" ht="15.75" customHeight="1">
      <c r="A687" s="707"/>
    </row>
    <row r="688" ht="15.75" customHeight="1">
      <c r="A688" s="707"/>
    </row>
    <row r="689" ht="15.75" customHeight="1">
      <c r="A689" s="707"/>
    </row>
    <row r="690" ht="15.75" customHeight="1">
      <c r="A690" s="707"/>
    </row>
    <row r="691" ht="15.75" customHeight="1">
      <c r="A691" s="707"/>
    </row>
    <row r="692" ht="15.75" customHeight="1">
      <c r="A692" s="707"/>
    </row>
    <row r="693" ht="15.75" customHeight="1">
      <c r="A693" s="707"/>
    </row>
    <row r="694" ht="15.75" customHeight="1">
      <c r="A694" s="707"/>
    </row>
    <row r="695" ht="15.75" customHeight="1">
      <c r="A695" s="707"/>
    </row>
    <row r="696" ht="15.75" customHeight="1">
      <c r="A696" s="707"/>
    </row>
    <row r="697" ht="15.75" customHeight="1">
      <c r="A697" s="707"/>
    </row>
    <row r="698" ht="15.75" customHeight="1">
      <c r="A698" s="707"/>
    </row>
    <row r="699" ht="15.75" customHeight="1">
      <c r="A699" s="707"/>
    </row>
    <row r="700" ht="15.75" customHeight="1">
      <c r="A700" s="707"/>
    </row>
    <row r="701" ht="15.75" customHeight="1">
      <c r="A701" s="707"/>
    </row>
    <row r="702" ht="15.75" customHeight="1">
      <c r="A702" s="707"/>
    </row>
    <row r="703" ht="15.75" customHeight="1">
      <c r="A703" s="707"/>
    </row>
    <row r="704" ht="15.75" customHeight="1">
      <c r="A704" s="707"/>
    </row>
    <row r="705" ht="15.75" customHeight="1">
      <c r="A705" s="707"/>
    </row>
    <row r="706" ht="15.75" customHeight="1">
      <c r="A706" s="707"/>
    </row>
    <row r="707" ht="15.75" customHeight="1">
      <c r="A707" s="707"/>
    </row>
    <row r="708" ht="15.75" customHeight="1">
      <c r="A708" s="707"/>
    </row>
    <row r="709" ht="15.75" customHeight="1">
      <c r="A709" s="707"/>
    </row>
    <row r="710" ht="15.75" customHeight="1">
      <c r="A710" s="707"/>
    </row>
    <row r="711" ht="15.75" customHeight="1">
      <c r="A711" s="707"/>
    </row>
    <row r="712" ht="15.75" customHeight="1">
      <c r="A712" s="707"/>
    </row>
    <row r="713" ht="15.75" customHeight="1">
      <c r="A713" s="707"/>
    </row>
    <row r="714" ht="15.75" customHeight="1">
      <c r="A714" s="707"/>
    </row>
    <row r="715" ht="15.75" customHeight="1">
      <c r="A715" s="707"/>
    </row>
    <row r="716" ht="15.75" customHeight="1">
      <c r="A716" s="707"/>
    </row>
    <row r="717" ht="15.75" customHeight="1">
      <c r="A717" s="707"/>
    </row>
    <row r="718" ht="15.75" customHeight="1">
      <c r="A718" s="707"/>
    </row>
    <row r="719" ht="15.75" customHeight="1">
      <c r="A719" s="707"/>
    </row>
    <row r="720" ht="15.75" customHeight="1">
      <c r="A720" s="707"/>
    </row>
    <row r="721" ht="15.75" customHeight="1">
      <c r="A721" s="707"/>
    </row>
    <row r="722" ht="15.75" customHeight="1">
      <c r="A722" s="707"/>
    </row>
    <row r="723" ht="15.75" customHeight="1">
      <c r="A723" s="707"/>
    </row>
    <row r="724" ht="15.75" customHeight="1">
      <c r="A724" s="707"/>
    </row>
    <row r="725" ht="15.75" customHeight="1">
      <c r="A725" s="707"/>
    </row>
    <row r="726" ht="15.75" customHeight="1">
      <c r="A726" s="707"/>
    </row>
    <row r="727" ht="15.75" customHeight="1">
      <c r="A727" s="707"/>
    </row>
    <row r="728" ht="15.75" customHeight="1">
      <c r="A728" s="707"/>
    </row>
    <row r="729" ht="15.75" customHeight="1">
      <c r="A729" s="707"/>
    </row>
    <row r="730" ht="15.75" customHeight="1">
      <c r="A730" s="707"/>
    </row>
    <row r="731" ht="15.75" customHeight="1">
      <c r="A731" s="707"/>
    </row>
    <row r="732" ht="15.75" customHeight="1">
      <c r="A732" s="707"/>
    </row>
    <row r="733" ht="15.75" customHeight="1">
      <c r="A733" s="707"/>
    </row>
    <row r="734" ht="15.75" customHeight="1">
      <c r="A734" s="707"/>
    </row>
    <row r="735" ht="15.75" customHeight="1">
      <c r="A735" s="707"/>
    </row>
    <row r="736" ht="15.75" customHeight="1">
      <c r="A736" s="707"/>
    </row>
    <row r="737" ht="15.75" customHeight="1">
      <c r="A737" s="707"/>
    </row>
    <row r="738" ht="15.75" customHeight="1">
      <c r="A738" s="707"/>
    </row>
    <row r="739" ht="15.75" customHeight="1">
      <c r="A739" s="707"/>
    </row>
    <row r="740" ht="15.75" customHeight="1">
      <c r="A740" s="707"/>
    </row>
    <row r="741" ht="15.75" customHeight="1">
      <c r="A741" s="707"/>
    </row>
    <row r="742" ht="15.75" customHeight="1">
      <c r="A742" s="707"/>
    </row>
    <row r="743" ht="15.75" customHeight="1">
      <c r="A743" s="707"/>
    </row>
    <row r="744" ht="15.75" customHeight="1">
      <c r="A744" s="707"/>
    </row>
    <row r="745" ht="15.75" customHeight="1">
      <c r="A745" s="707"/>
    </row>
    <row r="746" ht="15.75" customHeight="1">
      <c r="A746" s="707"/>
    </row>
    <row r="747" ht="15.75" customHeight="1">
      <c r="A747" s="707"/>
    </row>
    <row r="748" ht="15.75" customHeight="1">
      <c r="A748" s="707"/>
    </row>
    <row r="749" ht="15.75" customHeight="1">
      <c r="A749" s="707"/>
    </row>
    <row r="750" ht="15.75" customHeight="1">
      <c r="A750" s="707"/>
    </row>
    <row r="751" ht="15.75" customHeight="1">
      <c r="A751" s="707"/>
    </row>
    <row r="752" ht="15.75" customHeight="1">
      <c r="A752" s="707"/>
    </row>
    <row r="753" ht="15.75" customHeight="1">
      <c r="A753" s="707"/>
    </row>
    <row r="754" ht="15.75" customHeight="1">
      <c r="A754" s="707"/>
    </row>
    <row r="755" ht="15.75" customHeight="1">
      <c r="A755" s="707"/>
    </row>
    <row r="756" ht="15.75" customHeight="1">
      <c r="A756" s="707"/>
    </row>
    <row r="757" ht="15.75" customHeight="1">
      <c r="A757" s="707"/>
    </row>
    <row r="758" ht="15.75" customHeight="1">
      <c r="A758" s="707"/>
    </row>
    <row r="759" ht="15.75" customHeight="1">
      <c r="A759" s="707"/>
    </row>
    <row r="760" ht="15.75" customHeight="1">
      <c r="A760" s="707"/>
    </row>
    <row r="761" ht="15.75" customHeight="1">
      <c r="A761" s="707"/>
    </row>
    <row r="762" ht="15.75" customHeight="1">
      <c r="A762" s="707"/>
    </row>
    <row r="763" ht="15.75" customHeight="1">
      <c r="A763" s="707"/>
    </row>
    <row r="764" ht="15.75" customHeight="1">
      <c r="A764" s="707"/>
    </row>
    <row r="765" ht="15.75" customHeight="1">
      <c r="A765" s="707"/>
    </row>
    <row r="766" ht="15.75" customHeight="1">
      <c r="A766" s="707"/>
    </row>
    <row r="767" ht="15.75" customHeight="1">
      <c r="A767" s="707"/>
    </row>
    <row r="768" ht="15.75" customHeight="1">
      <c r="A768" s="707"/>
    </row>
    <row r="769" ht="15.75" customHeight="1">
      <c r="A769" s="707"/>
    </row>
    <row r="770" ht="15.75" customHeight="1">
      <c r="A770" s="707"/>
    </row>
    <row r="771" ht="15.75" customHeight="1">
      <c r="A771" s="707"/>
    </row>
    <row r="772" ht="15.75" customHeight="1">
      <c r="A772" s="707"/>
    </row>
    <row r="773" ht="15.75" customHeight="1">
      <c r="A773" s="707"/>
    </row>
    <row r="774" ht="15.75" customHeight="1">
      <c r="A774" s="707"/>
    </row>
    <row r="775" ht="15.75" customHeight="1">
      <c r="A775" s="707"/>
    </row>
    <row r="776" ht="15.75" customHeight="1">
      <c r="A776" s="707"/>
    </row>
    <row r="777" ht="15.75" customHeight="1">
      <c r="A777" s="707"/>
    </row>
    <row r="778" ht="15.75" customHeight="1">
      <c r="A778" s="707"/>
    </row>
    <row r="779" ht="15.75" customHeight="1">
      <c r="A779" s="707"/>
    </row>
    <row r="780" ht="15.75" customHeight="1">
      <c r="A780" s="707"/>
    </row>
    <row r="781" ht="15.75" customHeight="1">
      <c r="A781" s="707"/>
    </row>
    <row r="782" ht="15.75" customHeight="1">
      <c r="A782" s="707"/>
    </row>
    <row r="783" ht="15.75" customHeight="1">
      <c r="A783" s="707"/>
    </row>
    <row r="784" ht="15.75" customHeight="1">
      <c r="A784" s="707"/>
    </row>
    <row r="785" ht="15.75" customHeight="1">
      <c r="A785" s="707"/>
    </row>
    <row r="786" ht="15.75" customHeight="1">
      <c r="A786" s="707"/>
    </row>
    <row r="787" ht="15.75" customHeight="1">
      <c r="A787" s="707"/>
    </row>
    <row r="788" ht="15.75" customHeight="1">
      <c r="A788" s="707"/>
    </row>
    <row r="789" ht="15.75" customHeight="1">
      <c r="A789" s="707"/>
    </row>
    <row r="790" ht="15.75" customHeight="1">
      <c r="A790" s="707"/>
    </row>
    <row r="791" ht="15.75" customHeight="1">
      <c r="A791" s="707"/>
    </row>
    <row r="792" ht="15.75" customHeight="1">
      <c r="A792" s="707"/>
    </row>
    <row r="793" ht="15.75" customHeight="1">
      <c r="A793" s="707"/>
    </row>
    <row r="794" ht="15.75" customHeight="1">
      <c r="A794" s="707"/>
    </row>
    <row r="795" ht="15.75" customHeight="1">
      <c r="A795" s="707"/>
    </row>
    <row r="796" ht="15.75" customHeight="1">
      <c r="A796" s="707"/>
    </row>
    <row r="797" ht="15.75" customHeight="1">
      <c r="A797" s="707"/>
    </row>
    <row r="798" ht="15.75" customHeight="1">
      <c r="A798" s="707"/>
    </row>
    <row r="799" ht="15.75" customHeight="1">
      <c r="A799" s="707"/>
    </row>
    <row r="800" ht="15.75" customHeight="1">
      <c r="A800" s="707"/>
    </row>
    <row r="801" ht="15.75" customHeight="1">
      <c r="A801" s="707"/>
    </row>
    <row r="802" ht="15.75" customHeight="1">
      <c r="A802" s="707"/>
    </row>
    <row r="803" ht="15.75" customHeight="1">
      <c r="A803" s="707"/>
    </row>
    <row r="804" ht="15.75" customHeight="1">
      <c r="A804" s="707"/>
    </row>
    <row r="805" ht="15.75" customHeight="1">
      <c r="A805" s="707"/>
    </row>
    <row r="806" ht="15.75" customHeight="1">
      <c r="A806" s="707"/>
    </row>
    <row r="807" ht="15.75" customHeight="1">
      <c r="A807" s="707"/>
    </row>
    <row r="808" ht="15.75" customHeight="1">
      <c r="A808" s="707"/>
    </row>
    <row r="809" ht="15.75" customHeight="1">
      <c r="A809" s="707"/>
    </row>
    <row r="810" ht="15.75" customHeight="1">
      <c r="A810" s="707"/>
    </row>
    <row r="811" ht="15.75" customHeight="1">
      <c r="A811" s="707"/>
    </row>
    <row r="812" ht="15.75" customHeight="1">
      <c r="A812" s="707"/>
    </row>
    <row r="813" ht="15.75" customHeight="1">
      <c r="A813" s="707"/>
    </row>
    <row r="814" ht="15.75" customHeight="1">
      <c r="A814" s="707"/>
    </row>
    <row r="815" ht="15.75" customHeight="1">
      <c r="A815" s="707"/>
    </row>
    <row r="816" ht="15.75" customHeight="1">
      <c r="A816" s="707"/>
    </row>
    <row r="817" ht="15.75" customHeight="1">
      <c r="A817" s="707"/>
    </row>
    <row r="818" ht="15.75" customHeight="1">
      <c r="A818" s="707"/>
    </row>
    <row r="819" ht="15.75" customHeight="1">
      <c r="A819" s="707"/>
    </row>
    <row r="820" ht="15.75" customHeight="1">
      <c r="A820" s="707"/>
    </row>
    <row r="821" ht="15.75" customHeight="1">
      <c r="A821" s="707"/>
    </row>
    <row r="822" ht="15.75" customHeight="1">
      <c r="A822" s="707"/>
    </row>
    <row r="823" ht="15.75" customHeight="1">
      <c r="A823" s="707"/>
    </row>
    <row r="824" ht="15.75" customHeight="1">
      <c r="A824" s="707"/>
    </row>
    <row r="825" ht="15.75" customHeight="1">
      <c r="A825" s="707"/>
    </row>
    <row r="826" ht="15.75" customHeight="1">
      <c r="A826" s="707"/>
    </row>
    <row r="827" ht="15.75" customHeight="1">
      <c r="A827" s="707"/>
    </row>
    <row r="828" ht="15.75" customHeight="1">
      <c r="A828" s="707"/>
    </row>
    <row r="829" ht="15.75" customHeight="1">
      <c r="A829" s="707"/>
    </row>
    <row r="830" ht="15.75" customHeight="1">
      <c r="A830" s="707"/>
    </row>
    <row r="831" ht="15.75" customHeight="1">
      <c r="A831" s="707"/>
    </row>
    <row r="832" ht="15.75" customHeight="1">
      <c r="A832" s="707"/>
    </row>
    <row r="833" ht="15.75" customHeight="1">
      <c r="A833" s="707"/>
    </row>
    <row r="834" ht="15.75" customHeight="1">
      <c r="A834" s="707"/>
    </row>
    <row r="835" ht="15.75" customHeight="1">
      <c r="A835" s="707"/>
    </row>
    <row r="836" ht="15.75" customHeight="1">
      <c r="A836" s="707"/>
    </row>
    <row r="837" ht="15.75" customHeight="1">
      <c r="A837" s="707"/>
    </row>
    <row r="838" ht="15.75" customHeight="1">
      <c r="A838" s="707"/>
    </row>
    <row r="839" ht="15.75" customHeight="1">
      <c r="A839" s="707"/>
    </row>
    <row r="840" ht="15.75" customHeight="1">
      <c r="A840" s="707"/>
    </row>
    <row r="841" ht="15.75" customHeight="1">
      <c r="A841" s="707"/>
    </row>
    <row r="842" ht="15.75" customHeight="1">
      <c r="A842" s="707"/>
    </row>
    <row r="843" ht="15.75" customHeight="1">
      <c r="A843" s="707"/>
    </row>
    <row r="844" ht="15.75" customHeight="1">
      <c r="A844" s="707"/>
    </row>
    <row r="845" ht="15.75" customHeight="1">
      <c r="A845" s="707"/>
    </row>
    <row r="846" ht="15.75" customHeight="1">
      <c r="A846" s="707"/>
    </row>
    <row r="847" ht="15.75" customHeight="1">
      <c r="A847" s="707"/>
    </row>
    <row r="848" ht="15.75" customHeight="1">
      <c r="A848" s="707"/>
    </row>
    <row r="849" ht="15.75" customHeight="1">
      <c r="A849" s="707"/>
    </row>
    <row r="850" ht="15.75" customHeight="1">
      <c r="A850" s="707"/>
    </row>
    <row r="851" ht="15.75" customHeight="1">
      <c r="A851" s="707"/>
    </row>
    <row r="852" ht="15.75" customHeight="1">
      <c r="A852" s="707"/>
    </row>
    <row r="853" ht="15.75" customHeight="1">
      <c r="A853" s="707"/>
    </row>
    <row r="854" ht="15.75" customHeight="1">
      <c r="A854" s="707"/>
    </row>
    <row r="855" ht="15.75" customHeight="1">
      <c r="A855" s="707"/>
    </row>
    <row r="856" ht="15.75" customHeight="1">
      <c r="A856" s="707"/>
    </row>
    <row r="857" ht="15.75" customHeight="1">
      <c r="A857" s="707"/>
    </row>
    <row r="858" ht="15.75" customHeight="1">
      <c r="A858" s="707"/>
    </row>
    <row r="859" ht="15.75" customHeight="1">
      <c r="A859" s="707"/>
    </row>
    <row r="860" ht="15.75" customHeight="1">
      <c r="A860" s="707"/>
    </row>
    <row r="861" ht="15.75" customHeight="1">
      <c r="A861" s="707"/>
    </row>
    <row r="862" ht="15.75" customHeight="1">
      <c r="A862" s="707"/>
    </row>
    <row r="863" ht="15.75" customHeight="1">
      <c r="A863" s="707"/>
    </row>
    <row r="864" ht="15.75" customHeight="1">
      <c r="A864" s="707"/>
    </row>
    <row r="865" ht="15.75" customHeight="1">
      <c r="A865" s="707"/>
    </row>
    <row r="866" ht="15.75" customHeight="1">
      <c r="A866" s="707"/>
    </row>
    <row r="867" ht="15.75" customHeight="1">
      <c r="A867" s="707"/>
    </row>
    <row r="868" ht="15.75" customHeight="1">
      <c r="A868" s="707"/>
    </row>
    <row r="869" ht="15.75" customHeight="1">
      <c r="A869" s="707"/>
    </row>
    <row r="870" ht="15.75" customHeight="1">
      <c r="A870" s="707"/>
    </row>
    <row r="871" ht="15.75" customHeight="1">
      <c r="A871" s="707"/>
    </row>
    <row r="872" ht="15.75" customHeight="1">
      <c r="A872" s="707"/>
    </row>
    <row r="873" ht="15.75" customHeight="1">
      <c r="A873" s="707"/>
    </row>
    <row r="874" ht="15.75" customHeight="1">
      <c r="A874" s="707"/>
    </row>
    <row r="875" ht="15.75" customHeight="1">
      <c r="A875" s="707"/>
    </row>
    <row r="876" ht="15.75" customHeight="1">
      <c r="A876" s="707"/>
    </row>
    <row r="877" ht="15.75" customHeight="1">
      <c r="A877" s="707"/>
    </row>
    <row r="878" ht="15.75" customHeight="1">
      <c r="A878" s="707"/>
    </row>
    <row r="879" ht="15.75" customHeight="1">
      <c r="A879" s="707"/>
    </row>
    <row r="880" ht="15.75" customHeight="1">
      <c r="A880" s="707"/>
    </row>
    <row r="881" ht="15.75" customHeight="1">
      <c r="A881" s="707"/>
    </row>
    <row r="882" ht="15.75" customHeight="1">
      <c r="A882" s="707"/>
    </row>
    <row r="883" ht="15.75" customHeight="1">
      <c r="A883" s="707"/>
    </row>
    <row r="884" ht="15.75" customHeight="1">
      <c r="A884" s="707"/>
    </row>
    <row r="885" ht="15.75" customHeight="1">
      <c r="A885" s="707"/>
    </row>
    <row r="886" ht="15.75" customHeight="1">
      <c r="A886" s="707"/>
    </row>
    <row r="887" ht="15.75" customHeight="1">
      <c r="A887" s="707"/>
    </row>
    <row r="888" ht="15.75" customHeight="1">
      <c r="A888" s="707"/>
    </row>
    <row r="889" ht="15.75" customHeight="1">
      <c r="A889" s="707"/>
    </row>
    <row r="890" ht="15.75" customHeight="1">
      <c r="A890" s="707"/>
    </row>
    <row r="891" ht="15.75" customHeight="1">
      <c r="A891" s="707"/>
    </row>
    <row r="892" ht="15.75" customHeight="1">
      <c r="A892" s="707"/>
    </row>
    <row r="893" ht="15.75" customHeight="1">
      <c r="A893" s="707"/>
    </row>
    <row r="894" ht="15.75" customHeight="1">
      <c r="A894" s="707"/>
    </row>
    <row r="895" ht="15.75" customHeight="1">
      <c r="A895" s="707"/>
    </row>
    <row r="896" ht="15.75" customHeight="1">
      <c r="A896" s="707"/>
    </row>
    <row r="897" ht="15.75" customHeight="1">
      <c r="A897" s="707"/>
    </row>
    <row r="898" ht="15.75" customHeight="1">
      <c r="A898" s="707"/>
    </row>
    <row r="899" ht="15.75" customHeight="1">
      <c r="A899" s="707"/>
    </row>
    <row r="900" ht="15.75" customHeight="1">
      <c r="A900" s="707"/>
    </row>
    <row r="901" ht="15.75" customHeight="1">
      <c r="A901" s="707"/>
    </row>
    <row r="902" ht="15.75" customHeight="1">
      <c r="A902" s="707"/>
    </row>
    <row r="903" ht="15.75" customHeight="1">
      <c r="A903" s="707"/>
    </row>
    <row r="904" ht="15.75" customHeight="1">
      <c r="A904" s="707"/>
    </row>
    <row r="905" ht="15.75" customHeight="1">
      <c r="A905" s="707"/>
    </row>
    <row r="906" ht="15.75" customHeight="1">
      <c r="A906" s="707"/>
    </row>
    <row r="907" ht="15.75" customHeight="1">
      <c r="A907" s="707"/>
    </row>
    <row r="908" ht="15.75" customHeight="1">
      <c r="A908" s="707"/>
    </row>
    <row r="909" ht="15.75" customHeight="1">
      <c r="A909" s="707"/>
    </row>
    <row r="910" ht="15.75" customHeight="1">
      <c r="A910" s="707"/>
    </row>
    <row r="911" ht="15.75" customHeight="1">
      <c r="A911" s="707"/>
    </row>
    <row r="912" ht="15.75" customHeight="1">
      <c r="A912" s="707"/>
    </row>
    <row r="913" ht="15.75" customHeight="1">
      <c r="A913" s="707"/>
    </row>
    <row r="914" ht="15.75" customHeight="1">
      <c r="A914" s="707"/>
    </row>
    <row r="915" ht="15.75" customHeight="1">
      <c r="A915" s="707"/>
    </row>
    <row r="916" ht="15.75" customHeight="1">
      <c r="A916" s="707"/>
    </row>
    <row r="917" ht="15.75" customHeight="1">
      <c r="A917" s="707"/>
    </row>
    <row r="918" ht="15.75" customHeight="1">
      <c r="A918" s="707"/>
    </row>
    <row r="919" ht="15.75" customHeight="1">
      <c r="A919" s="707"/>
    </row>
    <row r="920" ht="15.75" customHeight="1">
      <c r="A920" s="707"/>
    </row>
    <row r="921" ht="15.75" customHeight="1">
      <c r="A921" s="707"/>
    </row>
    <row r="922" ht="15.75" customHeight="1">
      <c r="A922" s="707"/>
    </row>
    <row r="923" ht="15.75" customHeight="1">
      <c r="A923" s="707"/>
    </row>
    <row r="924" ht="15.75" customHeight="1">
      <c r="A924" s="707"/>
    </row>
    <row r="925" ht="15.75" customHeight="1">
      <c r="A925" s="707"/>
    </row>
    <row r="926" ht="15.75" customHeight="1">
      <c r="A926" s="707"/>
    </row>
    <row r="927" ht="15.75" customHeight="1">
      <c r="A927" s="707"/>
    </row>
    <row r="928" ht="15.75" customHeight="1">
      <c r="A928" s="707"/>
    </row>
    <row r="929" ht="15.75" customHeight="1">
      <c r="A929" s="707"/>
    </row>
    <row r="930" ht="15.75" customHeight="1">
      <c r="A930" s="707"/>
    </row>
    <row r="931" ht="15.75" customHeight="1">
      <c r="A931" s="707"/>
    </row>
    <row r="932" ht="15.75" customHeight="1">
      <c r="A932" s="707"/>
    </row>
    <row r="933" ht="15.75" customHeight="1">
      <c r="A933" s="707"/>
    </row>
    <row r="934" ht="15.75" customHeight="1">
      <c r="A934" s="707"/>
    </row>
    <row r="935" ht="15.75" customHeight="1">
      <c r="A935" s="707"/>
    </row>
    <row r="936" ht="15.75" customHeight="1">
      <c r="A936" s="707"/>
    </row>
    <row r="937" ht="15.75" customHeight="1">
      <c r="A937" s="707"/>
    </row>
    <row r="938" ht="15.75" customHeight="1">
      <c r="A938" s="707"/>
    </row>
    <row r="939" ht="15.75" customHeight="1">
      <c r="A939" s="707"/>
    </row>
    <row r="940" ht="15.75" customHeight="1">
      <c r="A940" s="707"/>
    </row>
    <row r="941" ht="15.75" customHeight="1">
      <c r="A941" s="707"/>
    </row>
    <row r="942" ht="15.75" customHeight="1">
      <c r="A942" s="707"/>
    </row>
    <row r="943" ht="15.75" customHeight="1">
      <c r="A943" s="707"/>
    </row>
    <row r="944" ht="15.75" customHeight="1">
      <c r="A944" s="707"/>
    </row>
    <row r="945" ht="15.75" customHeight="1">
      <c r="A945" s="707"/>
    </row>
    <row r="946" ht="15.75" customHeight="1">
      <c r="A946" s="707"/>
    </row>
    <row r="947" ht="15.75" customHeight="1">
      <c r="A947" s="707"/>
    </row>
    <row r="948" ht="15.75" customHeight="1">
      <c r="A948" s="707"/>
    </row>
    <row r="949" ht="15.75" customHeight="1">
      <c r="A949" s="707"/>
    </row>
    <row r="950" ht="15.75" customHeight="1">
      <c r="A950" s="707"/>
    </row>
    <row r="951" ht="15.75" customHeight="1">
      <c r="A951" s="707"/>
    </row>
    <row r="952" ht="15.75" customHeight="1">
      <c r="A952" s="707"/>
    </row>
    <row r="953" ht="15.75" customHeight="1">
      <c r="A953" s="707"/>
    </row>
    <row r="954" ht="15.75" customHeight="1">
      <c r="A954" s="707"/>
    </row>
    <row r="955" ht="15.75" customHeight="1">
      <c r="A955" s="707"/>
    </row>
    <row r="956" ht="15.75" customHeight="1">
      <c r="A956" s="707"/>
    </row>
    <row r="957" ht="15.75" customHeight="1">
      <c r="A957" s="707"/>
    </row>
    <row r="958" ht="15.75" customHeight="1">
      <c r="A958" s="707"/>
    </row>
    <row r="959" ht="15.75" customHeight="1">
      <c r="A959" s="707"/>
    </row>
    <row r="960" ht="15.75" customHeight="1">
      <c r="A960" s="707"/>
    </row>
    <row r="961" ht="15.75" customHeight="1">
      <c r="A961" s="707"/>
    </row>
    <row r="962" ht="15.75" customHeight="1">
      <c r="A962" s="707"/>
    </row>
    <row r="963" ht="15.75" customHeight="1">
      <c r="A963" s="707"/>
    </row>
    <row r="964" ht="15.75" customHeight="1">
      <c r="A964" s="707"/>
    </row>
    <row r="965" ht="15.75" customHeight="1">
      <c r="A965" s="707"/>
    </row>
    <row r="966" ht="15.75" customHeight="1">
      <c r="A966" s="707"/>
    </row>
    <row r="967" ht="15.75" customHeight="1">
      <c r="A967" s="707"/>
    </row>
    <row r="968" ht="15.75" customHeight="1">
      <c r="A968" s="707"/>
    </row>
    <row r="969" ht="15.75" customHeight="1">
      <c r="A969" s="707"/>
    </row>
    <row r="970" ht="15.75" customHeight="1">
      <c r="A970" s="707"/>
    </row>
    <row r="971" ht="15.75" customHeight="1">
      <c r="A971" s="707"/>
    </row>
    <row r="972" ht="15.75" customHeight="1">
      <c r="A972" s="707"/>
    </row>
    <row r="973" ht="15.75" customHeight="1">
      <c r="A973" s="707"/>
    </row>
    <row r="974" ht="15.75" customHeight="1">
      <c r="A974" s="707"/>
    </row>
    <row r="975" ht="15.75" customHeight="1">
      <c r="A975" s="707"/>
    </row>
    <row r="976" ht="15.75" customHeight="1">
      <c r="A976" s="707"/>
    </row>
    <row r="977" ht="15.75" customHeight="1">
      <c r="A977" s="707"/>
    </row>
    <row r="978" ht="15.75" customHeight="1">
      <c r="A978" s="707"/>
    </row>
    <row r="979" ht="15.75" customHeight="1">
      <c r="A979" s="707"/>
    </row>
    <row r="980" ht="15.75" customHeight="1">
      <c r="A980" s="707"/>
    </row>
    <row r="981" ht="15.75" customHeight="1">
      <c r="A981" s="707"/>
    </row>
    <row r="982" ht="15.75" customHeight="1">
      <c r="A982" s="707"/>
    </row>
    <row r="983" ht="15.75" customHeight="1">
      <c r="A983" s="707"/>
    </row>
    <row r="984" ht="15.75" customHeight="1">
      <c r="A984" s="707"/>
    </row>
    <row r="985" ht="15.75" customHeight="1">
      <c r="A985" s="707"/>
    </row>
    <row r="986" ht="15.75" customHeight="1">
      <c r="A986" s="707"/>
    </row>
    <row r="987" ht="15.75" customHeight="1">
      <c r="A987" s="707"/>
    </row>
    <row r="988" ht="15.75" customHeight="1">
      <c r="A988" s="707"/>
    </row>
    <row r="989" ht="15.75" customHeight="1">
      <c r="A989" s="707"/>
    </row>
    <row r="990" ht="15.75" customHeight="1">
      <c r="A990" s="707"/>
    </row>
    <row r="991" ht="15.75" customHeight="1">
      <c r="A991" s="707"/>
    </row>
    <row r="992" ht="15.75" customHeight="1">
      <c r="A992" s="707"/>
    </row>
    <row r="993" ht="15.75" customHeight="1">
      <c r="A993" s="707"/>
    </row>
    <row r="994" ht="15.75" customHeight="1">
      <c r="A994" s="707"/>
    </row>
    <row r="995" ht="15.75" customHeight="1">
      <c r="A995" s="707"/>
    </row>
    <row r="996" ht="15.75" customHeight="1">
      <c r="A996" s="70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5620</v>
      </c>
      <c r="B1" s="708" t="s">
        <v>5621</v>
      </c>
      <c r="C1" s="708" t="s">
        <v>5622</v>
      </c>
      <c r="D1" s="708" t="s">
        <v>5623</v>
      </c>
      <c r="E1" s="708" t="s">
        <v>5624</v>
      </c>
      <c r="F1" s="708" t="s">
        <v>5625</v>
      </c>
      <c r="G1" s="708" t="s">
        <v>5626</v>
      </c>
    </row>
    <row r="2" ht="15.75" customHeight="1">
      <c r="A2" s="709" t="s">
        <v>5627</v>
      </c>
      <c r="B2" s="710" t="s">
        <v>5628</v>
      </c>
      <c r="C2" s="711">
        <v>30271.0</v>
      </c>
      <c r="D2" s="710">
        <f t="shared" ref="D2:D14" si="1">DATEDIF(C2,$C$121,"Y")</f>
        <v>37</v>
      </c>
      <c r="E2" s="710" t="s">
        <v>5629</v>
      </c>
      <c r="F2" s="710" t="s">
        <v>5630</v>
      </c>
      <c r="G2" s="712">
        <v>326844.0</v>
      </c>
      <c r="J2" s="713" t="s">
        <v>5621</v>
      </c>
      <c r="K2" s="710" t="s">
        <v>5631</v>
      </c>
      <c r="L2" s="710" t="s">
        <v>5632</v>
      </c>
      <c r="M2" s="710" t="s">
        <v>5633</v>
      </c>
      <c r="N2" s="710" t="s">
        <v>5632</v>
      </c>
      <c r="O2" s="710" t="s">
        <v>5634</v>
      </c>
    </row>
    <row r="3" ht="15.75" customHeight="1">
      <c r="A3" s="714" t="s">
        <v>5635</v>
      </c>
      <c r="B3" s="710" t="s">
        <v>5636</v>
      </c>
      <c r="C3" s="711">
        <v>20755.0</v>
      </c>
      <c r="D3" s="710">
        <f t="shared" si="1"/>
        <v>63</v>
      </c>
      <c r="E3" s="710" t="s">
        <v>5637</v>
      </c>
      <c r="F3" s="710" t="s">
        <v>5630</v>
      </c>
      <c r="G3" s="712">
        <v>100078.05</v>
      </c>
      <c r="J3" s="466" t="s">
        <v>5638</v>
      </c>
      <c r="K3" s="710">
        <f>COUNTIF(B2:B118,"M")</f>
        <v>71</v>
      </c>
      <c r="L3" s="715">
        <f>K3/K5</f>
        <v>0.6068376068</v>
      </c>
      <c r="M3" s="716">
        <f>SUMIFS(G2:G118,B2:B118,"M")</f>
        <v>22181805.45</v>
      </c>
      <c r="N3" s="717">
        <f>M3/M5</f>
        <v>0.6809008381</v>
      </c>
      <c r="O3" s="716">
        <f>M3/COUNTIFS(G2:G118,"&gt;0",B2:B118,"M")</f>
        <v>331071.7231</v>
      </c>
      <c r="P3" s="718">
        <f>COUNTIFS(G2:G118,"&gt;0",B2:B118,"M")</f>
        <v>67</v>
      </c>
      <c r="Q3" s="719"/>
    </row>
    <row r="4" ht="15.75" customHeight="1">
      <c r="A4" s="720" t="s">
        <v>5639</v>
      </c>
      <c r="B4" s="710" t="s">
        <v>5628</v>
      </c>
      <c r="C4" s="711">
        <v>28058.0</v>
      </c>
      <c r="D4" s="710">
        <f t="shared" si="1"/>
        <v>43</v>
      </c>
      <c r="E4" s="710" t="s">
        <v>5640</v>
      </c>
      <c r="F4" s="710" t="s">
        <v>5630</v>
      </c>
      <c r="G4" s="712">
        <v>49196.01</v>
      </c>
      <c r="J4" s="466" t="s">
        <v>5641</v>
      </c>
      <c r="K4" s="710">
        <f>COUNTIF(B2:B118,"F")</f>
        <v>46</v>
      </c>
      <c r="L4" s="715">
        <f>K4/K5</f>
        <v>0.3931623932</v>
      </c>
      <c r="M4" s="716">
        <f>SUMIFS(G2:G118,B2:B118,"F")</f>
        <v>10395339.72</v>
      </c>
      <c r="N4" s="717">
        <f>M4/M5</f>
        <v>0.3190991619</v>
      </c>
      <c r="O4" s="716">
        <f>M4/COUNTIFS(G2:G118,"&gt;0",B2:B118,"F")</f>
        <v>253544.8712</v>
      </c>
      <c r="P4" s="718">
        <f>COUNTIFS(G2:G118,"&gt;0",B2:B118,"F")</f>
        <v>41</v>
      </c>
      <c r="Q4" s="719"/>
    </row>
    <row r="5" ht="15.75" customHeight="1">
      <c r="A5" s="466" t="s">
        <v>5642</v>
      </c>
      <c r="B5" s="710" t="s">
        <v>5628</v>
      </c>
      <c r="C5" s="711">
        <v>29075.0</v>
      </c>
      <c r="D5" s="710">
        <f t="shared" si="1"/>
        <v>40</v>
      </c>
      <c r="E5" s="710" t="s">
        <v>5640</v>
      </c>
      <c r="F5" s="710" t="s">
        <v>5630</v>
      </c>
      <c r="G5" s="712">
        <v>100349.0</v>
      </c>
      <c r="J5" s="466" t="s">
        <v>5631</v>
      </c>
      <c r="K5" s="710">
        <f t="shared" ref="K5:N5" si="2">SUM(K3:K4)</f>
        <v>117</v>
      </c>
      <c r="L5" s="715">
        <f t="shared" si="2"/>
        <v>1</v>
      </c>
      <c r="M5" s="716">
        <f t="shared" si="2"/>
        <v>32577145.17</v>
      </c>
      <c r="N5" s="717">
        <f t="shared" si="2"/>
        <v>1</v>
      </c>
      <c r="O5" s="716" t="s">
        <v>2430</v>
      </c>
      <c r="P5" s="718">
        <f>SUM(P3:P4)</f>
        <v>108</v>
      </c>
    </row>
    <row r="6" ht="15.75" customHeight="1">
      <c r="A6" s="714" t="s">
        <v>5643</v>
      </c>
      <c r="B6" s="710" t="s">
        <v>5628</v>
      </c>
      <c r="C6" s="711">
        <v>26364.0</v>
      </c>
      <c r="D6" s="710">
        <f t="shared" si="1"/>
        <v>47</v>
      </c>
      <c r="E6" s="710" t="s">
        <v>5640</v>
      </c>
      <c r="F6" s="710" t="s">
        <v>5630</v>
      </c>
      <c r="G6" s="712">
        <v>254439.0</v>
      </c>
      <c r="P6" s="718"/>
    </row>
    <row r="7" ht="15.75" customHeight="1">
      <c r="A7" s="714" t="s">
        <v>5644</v>
      </c>
      <c r="B7" s="710" t="s">
        <v>5628</v>
      </c>
      <c r="C7" s="711">
        <v>30591.0</v>
      </c>
      <c r="D7" s="710">
        <f t="shared" si="1"/>
        <v>36</v>
      </c>
      <c r="E7" s="710" t="s">
        <v>5629</v>
      </c>
      <c r="F7" s="710" t="s">
        <v>5645</v>
      </c>
      <c r="G7" s="712">
        <v>105616.0</v>
      </c>
      <c r="J7" s="713" t="s">
        <v>5623</v>
      </c>
      <c r="K7" s="710" t="s">
        <v>5631</v>
      </c>
      <c r="L7" s="710" t="s">
        <v>5632</v>
      </c>
      <c r="M7" s="710" t="s">
        <v>5646</v>
      </c>
      <c r="N7" s="710" t="s">
        <v>5632</v>
      </c>
      <c r="O7" s="710" t="s">
        <v>5634</v>
      </c>
      <c r="P7" s="718"/>
    </row>
    <row r="8" ht="15.75" customHeight="1">
      <c r="A8" s="466" t="s">
        <v>5647</v>
      </c>
      <c r="B8" s="710" t="s">
        <v>5628</v>
      </c>
      <c r="C8" s="711">
        <v>28792.0</v>
      </c>
      <c r="D8" s="710">
        <f t="shared" si="1"/>
        <v>41</v>
      </c>
      <c r="E8" s="710" t="s">
        <v>5648</v>
      </c>
      <c r="F8" s="710" t="s">
        <v>5630</v>
      </c>
      <c r="G8" s="712">
        <v>1013833.0</v>
      </c>
      <c r="J8" s="466" t="s">
        <v>5649</v>
      </c>
      <c r="K8" s="710">
        <f>COUNTIFS(D2:D118,"&gt;=18",D2:D118,"&lt;30")</f>
        <v>5</v>
      </c>
      <c r="L8" s="715">
        <f t="shared" ref="L8:L15" si="3">K8/$K$15</f>
        <v>0.04504504505</v>
      </c>
      <c r="M8" s="716">
        <f>SUMIFS(G2:G118,D2:D118,"&gt;=18",D2:D118,"&lt;30")</f>
        <v>580732.41</v>
      </c>
      <c r="N8" s="717">
        <f t="shared" ref="N8:N15" si="4">M8/$M$15</f>
        <v>0.01812463325</v>
      </c>
      <c r="O8" s="716">
        <f>M8/COUNTIFS(D2:D118,"&gt;=18",D2:D118,"&lt;30",G2:G118,"&gt;0")</f>
        <v>116146.482</v>
      </c>
      <c r="P8" s="718">
        <f>COUNTIFS(D2:D118,"&gt;=18",D2:D118,"&lt;30",G2:G118,"&gt;0")</f>
        <v>5</v>
      </c>
    </row>
    <row r="9" ht="15.75" customHeight="1">
      <c r="A9" s="466" t="s">
        <v>5650</v>
      </c>
      <c r="B9" s="710" t="s">
        <v>5628</v>
      </c>
      <c r="C9" s="711">
        <v>33605.0</v>
      </c>
      <c r="D9" s="710">
        <f t="shared" si="1"/>
        <v>28</v>
      </c>
      <c r="E9" s="710" t="s">
        <v>5651</v>
      </c>
      <c r="F9" s="710" t="s">
        <v>5630</v>
      </c>
      <c r="G9" s="712">
        <v>5158.12</v>
      </c>
      <c r="J9" s="466" t="s">
        <v>5652</v>
      </c>
      <c r="K9" s="710">
        <f>COUNTIFS(D2:D118,"&gt;=30",D2:D118,"&lt;40")</f>
        <v>33</v>
      </c>
      <c r="L9" s="715">
        <f t="shared" si="3"/>
        <v>0.2972972973</v>
      </c>
      <c r="M9" s="716">
        <f>SUMIFS(G2:G118,D2:D118,"&gt;=30",D2:D118,"&lt;40")</f>
        <v>8235964.89</v>
      </c>
      <c r="N9" s="717">
        <f t="shared" si="4"/>
        <v>0.2570441058</v>
      </c>
      <c r="O9" s="716">
        <f>M9/COUNTIFS(D2:D118,"&gt;=30",D2:D118,"&lt;40",G2:G118,"&gt;0")</f>
        <v>265676.2868</v>
      </c>
      <c r="P9" s="718">
        <f>COUNTIFS(D2:D118,"&gt;=30",D2:D118,"&lt;40",G2:G118,"&gt;0")</f>
        <v>31</v>
      </c>
    </row>
    <row r="10" ht="15.75" customHeight="1">
      <c r="A10" s="714" t="s">
        <v>5653</v>
      </c>
      <c r="B10" s="710" t="s">
        <v>5636</v>
      </c>
      <c r="C10" s="711">
        <v>23623.0</v>
      </c>
      <c r="D10" s="710">
        <f t="shared" si="1"/>
        <v>55</v>
      </c>
      <c r="E10" s="710" t="s">
        <v>5654</v>
      </c>
      <c r="F10" s="710" t="s">
        <v>5630</v>
      </c>
      <c r="G10" s="712">
        <v>928015.0</v>
      </c>
      <c r="J10" s="466" t="s">
        <v>5655</v>
      </c>
      <c r="K10" s="710">
        <f>COUNTIFS(D2:D118,"&gt;=40",D2:D118,"&lt;50")</f>
        <v>30</v>
      </c>
      <c r="L10" s="715">
        <f t="shared" si="3"/>
        <v>0.2702702703</v>
      </c>
      <c r="M10" s="716">
        <f>SUMIFS(G2:G118,D2:D118,"&gt;=40",D2:D118,"&lt;50")</f>
        <v>10741488.87</v>
      </c>
      <c r="N10" s="717">
        <f t="shared" si="4"/>
        <v>0.3352414002</v>
      </c>
      <c r="O10" s="716">
        <f>M10/COUNTIFS(D2:D118,"&gt;=40",D2:D118,"&lt;50",G2:G118,"&gt;0")</f>
        <v>370396.1679</v>
      </c>
      <c r="P10" s="718">
        <f>COUNTIFS(D2:D118,"&gt;=40",D2:D118,"&lt;50",G2:G118,"&gt;0")</f>
        <v>29</v>
      </c>
    </row>
    <row r="11" ht="15.75" customHeight="1">
      <c r="A11" s="714" t="s">
        <v>5656</v>
      </c>
      <c r="B11" s="710" t="s">
        <v>5636</v>
      </c>
      <c r="C11" s="711">
        <v>31602.0</v>
      </c>
      <c r="D11" s="710">
        <f t="shared" si="1"/>
        <v>33</v>
      </c>
      <c r="E11" s="710" t="s">
        <v>5657</v>
      </c>
      <c r="F11" s="710" t="s">
        <v>5630</v>
      </c>
      <c r="G11" s="712">
        <v>449686.0</v>
      </c>
      <c r="J11" s="466" t="s">
        <v>5658</v>
      </c>
      <c r="K11" s="710">
        <f>COUNTIFS(D2:D118,"&gt;=50",D2:D118,"&lt;60")</f>
        <v>22</v>
      </c>
      <c r="L11" s="715">
        <f t="shared" si="3"/>
        <v>0.1981981982</v>
      </c>
      <c r="M11" s="716">
        <f>SUMIFS(G2:G118,D2:D118,"&gt;=50",D2:D118,"&lt;60")</f>
        <v>7064823.41</v>
      </c>
      <c r="N11" s="717">
        <f t="shared" si="4"/>
        <v>0.2204928312</v>
      </c>
      <c r="O11" s="716">
        <f>M11/COUNTIFS(D2:D118,"&gt;=50",D2:D118,"&lt;60",G2:G118,"&gt;0")</f>
        <v>336420.1624</v>
      </c>
      <c r="P11" s="721">
        <f>COUNTIFS(D2:D118,"&gt;=50",D2:D118,"&lt;60",G2:G118,"&gt;0")</f>
        <v>21</v>
      </c>
    </row>
    <row r="12" ht="15.75" customHeight="1">
      <c r="A12" s="714" t="s">
        <v>5659</v>
      </c>
      <c r="B12" s="710" t="s">
        <v>5636</v>
      </c>
      <c r="C12" s="711">
        <v>24295.0</v>
      </c>
      <c r="D12" s="710">
        <f t="shared" si="1"/>
        <v>53</v>
      </c>
      <c r="E12" s="710" t="s">
        <v>5660</v>
      </c>
      <c r="F12" s="710" t="s">
        <v>5630</v>
      </c>
      <c r="G12" s="712">
        <v>174816.0</v>
      </c>
      <c r="J12" s="466" t="s">
        <v>5661</v>
      </c>
      <c r="K12" s="710">
        <f>COUNTIFS(D2:D118,"&gt;=60",D2:D118,"&lt;70")</f>
        <v>16</v>
      </c>
      <c r="L12" s="715">
        <f t="shared" si="3"/>
        <v>0.1441441441</v>
      </c>
      <c r="M12" s="716">
        <f>SUMIFS(G2:G118,D2:D118,"&gt;=60",D2:D118,"&lt;70")</f>
        <v>3714393.58</v>
      </c>
      <c r="N12" s="717">
        <f t="shared" si="4"/>
        <v>0.115926062</v>
      </c>
      <c r="O12" s="716">
        <f>M12/COUNTIFS(D2:D118,"&gt;=60",D2:D118,"&lt;70",G2:G118,"&gt;0")</f>
        <v>247626.2387</v>
      </c>
      <c r="P12" s="721">
        <f>COUNTIFS(D2:D118,"&gt;=60",D2:D118,"&lt;70",G2:G118,"&gt;0")</f>
        <v>15</v>
      </c>
    </row>
    <row r="13" ht="15.75" customHeight="1">
      <c r="A13" s="714" t="s">
        <v>5662</v>
      </c>
      <c r="B13" s="710" t="s">
        <v>5628</v>
      </c>
      <c r="C13" s="711">
        <v>13520.0</v>
      </c>
      <c r="D13" s="710">
        <f t="shared" si="1"/>
        <v>82</v>
      </c>
      <c r="E13" s="710" t="s">
        <v>5663</v>
      </c>
      <c r="F13" s="710" t="s">
        <v>5664</v>
      </c>
      <c r="G13" s="712">
        <v>147417.0</v>
      </c>
      <c r="J13" s="466" t="s">
        <v>5665</v>
      </c>
      <c r="K13" s="710">
        <f>COUNTIFS(D2:D118,"&gt;70",D2:D118,"&lt;80")</f>
        <v>3</v>
      </c>
      <c r="L13" s="715">
        <f t="shared" si="3"/>
        <v>0.02702702703</v>
      </c>
      <c r="M13" s="716">
        <f>SUMIFS(G2:G118,D2:D118,"&gt;=70",D2:D118,"&lt;80")</f>
        <v>1436366.01</v>
      </c>
      <c r="N13" s="717">
        <f t="shared" si="4"/>
        <v>0.04482892067</v>
      </c>
      <c r="O13" s="716">
        <f>M13/COUNTIFS(D2:D118,"&gt;=70",D2:D118,"&lt;80",G2:G118,"&gt;0")</f>
        <v>478788.67</v>
      </c>
      <c r="P13" s="721">
        <f>COUNTIFS(D2:D118,"&gt;=70",D2:D118,"&lt;80",G2:G118,"&gt;0")</f>
        <v>3</v>
      </c>
    </row>
    <row r="14" ht="15.75" customHeight="1">
      <c r="A14" s="714" t="s">
        <v>5666</v>
      </c>
      <c r="B14" s="710" t="s">
        <v>5628</v>
      </c>
      <c r="C14" s="711">
        <v>23066.0</v>
      </c>
      <c r="D14" s="710">
        <f t="shared" si="1"/>
        <v>56</v>
      </c>
      <c r="E14" s="710" t="s">
        <v>5629</v>
      </c>
      <c r="F14" s="710" t="s">
        <v>5630</v>
      </c>
      <c r="G14" s="712">
        <v>31376.0</v>
      </c>
      <c r="J14" s="466" t="s">
        <v>5667</v>
      </c>
      <c r="K14" s="710">
        <f>COUNTIFS(D2:D118,"&gt;80",D2:D118,"&lt;90")</f>
        <v>2</v>
      </c>
      <c r="L14" s="715">
        <f t="shared" si="3"/>
        <v>0.01801801802</v>
      </c>
      <c r="M14" s="716">
        <f>SUMIFS(G2:G118,D2:D118,"&gt;=80",D2:D118,"&lt;90")</f>
        <v>267288</v>
      </c>
      <c r="N14" s="717">
        <f t="shared" si="4"/>
        <v>0.008342046849</v>
      </c>
      <c r="O14" s="716">
        <f>M14/COUNTIFS(D2:D118,"&gt;=80",D2:D118,"&lt;90",G2:G118,"&gt;0")</f>
        <v>133644</v>
      </c>
      <c r="P14" s="721">
        <f>COUNTIFS(D2:D118,"&gt;=80",D2:D118,"&lt;90",G2:G118,"&gt;0")</f>
        <v>2</v>
      </c>
      <c r="Q14" s="721" t="s">
        <v>4681</v>
      </c>
    </row>
    <row r="15" ht="15.75" customHeight="1">
      <c r="A15" s="722" t="s">
        <v>5668</v>
      </c>
      <c r="B15" s="710" t="s">
        <v>5628</v>
      </c>
      <c r="C15" s="711"/>
      <c r="D15" s="710"/>
      <c r="E15" s="710" t="s">
        <v>5648</v>
      </c>
      <c r="F15" s="710"/>
      <c r="G15" s="712">
        <v>0.0</v>
      </c>
      <c r="J15" s="466" t="s">
        <v>5631</v>
      </c>
      <c r="K15" s="710">
        <f>SUM(K8:K14)</f>
        <v>111</v>
      </c>
      <c r="L15" s="715">
        <f t="shared" si="3"/>
        <v>1</v>
      </c>
      <c r="M15" s="716">
        <f>SUM(M8:M14)</f>
        <v>32041057.17</v>
      </c>
      <c r="N15" s="717">
        <f t="shared" si="4"/>
        <v>1</v>
      </c>
      <c r="O15" s="716">
        <f>M15/COUNTIFS(G2:G118,"&gt;0")</f>
        <v>296676.4553</v>
      </c>
      <c r="P15" s="721">
        <f>SUM(P8:P14)</f>
        <v>106</v>
      </c>
    </row>
    <row r="16" ht="15.75" customHeight="1">
      <c r="A16" s="466" t="s">
        <v>5669</v>
      </c>
      <c r="B16" s="710" t="s">
        <v>5636</v>
      </c>
      <c r="C16" s="711">
        <v>29816.0</v>
      </c>
      <c r="D16" s="710">
        <f t="shared" ref="D16:D53" si="5">DATEDIF(C16,$C$121,"Y")</f>
        <v>38</v>
      </c>
      <c r="E16" s="710" t="s">
        <v>5657</v>
      </c>
      <c r="F16" s="710" t="s">
        <v>5630</v>
      </c>
      <c r="G16" s="712">
        <v>101819.0</v>
      </c>
    </row>
    <row r="17" ht="15.75" customHeight="1">
      <c r="A17" s="714" t="s">
        <v>5670</v>
      </c>
      <c r="B17" s="710" t="s">
        <v>5636</v>
      </c>
      <c r="C17" s="711">
        <v>31091.0</v>
      </c>
      <c r="D17" s="710">
        <f t="shared" si="5"/>
        <v>34</v>
      </c>
      <c r="E17" s="710" t="s">
        <v>5657</v>
      </c>
      <c r="F17" s="710" t="s">
        <v>5630</v>
      </c>
      <c r="G17" s="712">
        <v>35841.42</v>
      </c>
      <c r="J17" s="708" t="s">
        <v>5624</v>
      </c>
      <c r="K17" s="710" t="s">
        <v>5631</v>
      </c>
      <c r="L17" s="710" t="s">
        <v>5632</v>
      </c>
      <c r="M17" s="710" t="s">
        <v>5671</v>
      </c>
      <c r="N17" s="710" t="s">
        <v>5632</v>
      </c>
      <c r="O17" s="710" t="s">
        <v>5634</v>
      </c>
      <c r="R17" s="721" t="s">
        <v>4681</v>
      </c>
    </row>
    <row r="18" ht="15.75" customHeight="1">
      <c r="A18" s="714" t="s">
        <v>5672</v>
      </c>
      <c r="B18" s="710" t="s">
        <v>5628</v>
      </c>
      <c r="C18" s="711">
        <v>31386.0</v>
      </c>
      <c r="D18" s="710">
        <f t="shared" si="5"/>
        <v>34</v>
      </c>
      <c r="E18" s="710" t="s">
        <v>5673</v>
      </c>
      <c r="F18" s="710" t="s">
        <v>5630</v>
      </c>
      <c r="G18" s="712">
        <v>215750.0</v>
      </c>
      <c r="J18" s="466" t="s">
        <v>5629</v>
      </c>
      <c r="K18" s="710">
        <f>COUNTIF(E2:E118,"Funcionário Público")+COUNTIF(E2:E118,"Funcionária Pública")</f>
        <v>20</v>
      </c>
      <c r="L18" s="715">
        <f t="shared" ref="L18:L28" si="6">K18/$K$28</f>
        <v>0.2197802198</v>
      </c>
      <c r="M18" s="716">
        <f>SUMIFS(G2:G118,E2:E118,"Funcionária Pública")+SUMIFS(G2:G118,E2:E118,"Funcionário Público")</f>
        <v>4127437.47</v>
      </c>
      <c r="N18" s="717">
        <f t="shared" ref="N18:N28" si="7">M18/$M$28</f>
        <v>0.1295890306</v>
      </c>
      <c r="O18" s="716">
        <f>M18/(COUNTIFS(G2:G118,"&gt;0",E2:E118,"Funcionário Público")+COUNTIFS(G2:G118,"&gt;0",E2:E118,"Funcionária Pública"))</f>
        <v>206371.8735</v>
      </c>
      <c r="P18" s="721">
        <f>(COUNTIFS(G2:G118,"&gt;0",E2:E118,"Funcionário Público")+COUNTIFS(G2:G118,"&gt;0",E2:E118,"Funcionária Pública"))</f>
        <v>20</v>
      </c>
    </row>
    <row r="19" ht="15.75" customHeight="1">
      <c r="A19" s="714" t="s">
        <v>5674</v>
      </c>
      <c r="B19" s="710" t="s">
        <v>5628</v>
      </c>
      <c r="C19" s="711">
        <v>23072.0</v>
      </c>
      <c r="D19" s="710">
        <f t="shared" si="5"/>
        <v>56</v>
      </c>
      <c r="E19" s="710" t="s">
        <v>5675</v>
      </c>
      <c r="F19" s="710" t="s">
        <v>5630</v>
      </c>
      <c r="G19" s="712">
        <v>132923.0</v>
      </c>
      <c r="J19" s="466" t="s">
        <v>5648</v>
      </c>
      <c r="K19" s="710">
        <f>COUNTIF(E2:E118,"Empresário")+COUNTIF(E2:E118,"Empresária")</f>
        <v>0</v>
      </c>
      <c r="L19" s="715">
        <f t="shared" si="6"/>
        <v>0</v>
      </c>
      <c r="M19" s="716">
        <f>SUMIFS(G2:G118,E2:E118,"Empresária")+SUMIFS(G2:G118,E2:E118,"Empresário")</f>
        <v>0</v>
      </c>
      <c r="N19" s="717">
        <f t="shared" si="7"/>
        <v>0</v>
      </c>
      <c r="O19" s="716" t="str">
        <f>M19/(COUNTIFS(G2:G118,"&gt;0",E2:E118,"Empresário")+COUNTIFS(G2:G118,"&gt;0",E2:E118,"Empresária"))</f>
        <v>#DIV/0!</v>
      </c>
    </row>
    <row r="20" ht="15.75" customHeight="1">
      <c r="A20" s="714" t="s">
        <v>5676</v>
      </c>
      <c r="B20" s="710" t="s">
        <v>5628</v>
      </c>
      <c r="C20" s="711">
        <v>29186.0</v>
      </c>
      <c r="D20" s="710">
        <f t="shared" si="5"/>
        <v>40</v>
      </c>
      <c r="E20" s="710" t="s">
        <v>5651</v>
      </c>
      <c r="F20" s="710" t="s">
        <v>5630</v>
      </c>
      <c r="G20" s="712">
        <f>707418+847182</f>
        <v>1554600</v>
      </c>
      <c r="J20" s="466" t="s">
        <v>5651</v>
      </c>
      <c r="K20" s="710">
        <f>COUNTIF(E4:E120,"Advogado")+COUNTIF(E4:E120,"Advogada")</f>
        <v>12</v>
      </c>
      <c r="L20" s="715">
        <f t="shared" si="6"/>
        <v>0.1318681319</v>
      </c>
      <c r="M20" s="716">
        <f>SUMIFS(G2:G118,E2:E118,"Advogado")+SUMIFS(G2:G118,E2:E118,"Advogada")</f>
        <v>4618016.69</v>
      </c>
      <c r="N20" s="717">
        <f t="shared" si="7"/>
        <v>0.1449917316</v>
      </c>
      <c r="O20" s="716">
        <f>M20/(COUNTIFS(G2:G118,"&gt;0",E2:E118,"Advogada")+COUNTIFS(G2:G118,"&gt;0",E2:E118,"Advogado"))</f>
        <v>384834.7242</v>
      </c>
    </row>
    <row r="21" ht="15.75" customHeight="1">
      <c r="A21" s="466" t="s">
        <v>5677</v>
      </c>
      <c r="B21" s="710" t="s">
        <v>5636</v>
      </c>
      <c r="C21" s="711">
        <v>30936.0</v>
      </c>
      <c r="D21" s="710">
        <f t="shared" si="5"/>
        <v>35</v>
      </c>
      <c r="E21" s="710" t="s">
        <v>5678</v>
      </c>
      <c r="F21" s="710" t="s">
        <v>5630</v>
      </c>
      <c r="G21" s="712">
        <v>511766.0</v>
      </c>
      <c r="H21" s="721"/>
      <c r="I21" s="721"/>
      <c r="J21" s="466" t="s">
        <v>5640</v>
      </c>
      <c r="K21" s="710">
        <f>COUNTIF(E5:E121,"Dentista")</f>
        <v>8</v>
      </c>
      <c r="L21" s="715">
        <f t="shared" si="6"/>
        <v>0.08791208791</v>
      </c>
      <c r="M21" s="716">
        <f>SUMIFS(G2:G118,E2:E118,"Dentista")</f>
        <v>1244788.11</v>
      </c>
      <c r="N21" s="717">
        <f t="shared" si="7"/>
        <v>0.03908257498</v>
      </c>
      <c r="O21" s="716">
        <f>M21/(COUNTIFS(G2:G118,"&gt;0",E2:E118,"Dentista"))</f>
        <v>155598.5138</v>
      </c>
    </row>
    <row r="22" ht="15.75" customHeight="1">
      <c r="A22" s="714" t="s">
        <v>5679</v>
      </c>
      <c r="B22" s="710" t="s">
        <v>5628</v>
      </c>
      <c r="C22" s="711">
        <v>26191.0</v>
      </c>
      <c r="D22" s="710">
        <f t="shared" si="5"/>
        <v>48</v>
      </c>
      <c r="E22" s="710" t="s">
        <v>5680</v>
      </c>
      <c r="F22" s="710" t="s">
        <v>5630</v>
      </c>
      <c r="G22" s="712">
        <v>916562.0</v>
      </c>
      <c r="J22" s="466" t="s">
        <v>5673</v>
      </c>
      <c r="K22" s="710">
        <f>COUNTIF(E6:E122,"Médico")+COUNTIF(E6:E122,"Médica")</f>
        <v>13</v>
      </c>
      <c r="L22" s="715">
        <f t="shared" si="6"/>
        <v>0.1428571429</v>
      </c>
      <c r="M22" s="716">
        <f>SUMIFS(G2:G118,E2:E118,"Médico")+SUMIFS(G2:G118,E2:E118,"Médica")</f>
        <v>4432285.66</v>
      </c>
      <c r="N22" s="717">
        <f t="shared" si="7"/>
        <v>0.13916034</v>
      </c>
      <c r="O22" s="716">
        <f>M22/(COUNTIFS(G2:G118,"&gt;0",E2:E118,"Médico")+COUNTIFS(G2:G118,"&gt;0",E2:E118,"Médica"))</f>
        <v>369357.1383</v>
      </c>
    </row>
    <row r="23" ht="15.75" customHeight="1">
      <c r="A23" s="714" t="s">
        <v>5681</v>
      </c>
      <c r="B23" s="710" t="s">
        <v>5628</v>
      </c>
      <c r="C23" s="711">
        <v>32417.0</v>
      </c>
      <c r="D23" s="710">
        <f t="shared" si="5"/>
        <v>31</v>
      </c>
      <c r="E23" s="710" t="s">
        <v>5648</v>
      </c>
      <c r="F23" s="710" t="s">
        <v>5630</v>
      </c>
      <c r="G23" s="712">
        <v>332795.0</v>
      </c>
      <c r="J23" s="466" t="s">
        <v>5682</v>
      </c>
      <c r="K23" s="710">
        <f>COUNTIF(E7:E123,"Administrador")+COUNTIF(E7:E123,"Administradora")</f>
        <v>4</v>
      </c>
      <c r="L23" s="715">
        <f t="shared" si="6"/>
        <v>0.04395604396</v>
      </c>
      <c r="M23" s="716">
        <f>SUMIFS(G2:G118,E2:E118,"Administradora")+SUMIFS(G2:G118,E2:E118,"Administrador")</f>
        <v>1272485.17</v>
      </c>
      <c r="N23" s="717">
        <f t="shared" si="7"/>
        <v>0.03995217875</v>
      </c>
      <c r="O23" s="716">
        <f>M23/(COUNTIFS(G2:G118,"&gt;0",E2:E118,"Administrador")+COUNTIFS(G2:G118,"&gt;0",E2:E118,"Administradora"))</f>
        <v>318121.2925</v>
      </c>
      <c r="Q23" s="721" t="s">
        <v>4681</v>
      </c>
    </row>
    <row r="24" ht="15.75" customHeight="1">
      <c r="A24" s="714" t="s">
        <v>5683</v>
      </c>
      <c r="B24" s="710" t="s">
        <v>5636</v>
      </c>
      <c r="C24" s="711">
        <v>26324.0</v>
      </c>
      <c r="D24" s="710">
        <f t="shared" si="5"/>
        <v>47</v>
      </c>
      <c r="E24" s="710" t="s">
        <v>5657</v>
      </c>
      <c r="F24" s="710" t="s">
        <v>5630</v>
      </c>
      <c r="G24" s="712">
        <v>191406.0</v>
      </c>
      <c r="J24" s="466" t="s">
        <v>5675</v>
      </c>
      <c r="K24" s="710">
        <f>COUNTIF(E8:E124,"Engenheiro")+COUNTIF(E8:E124,"Engenheira")</f>
        <v>6</v>
      </c>
      <c r="L24" s="715">
        <f t="shared" si="6"/>
        <v>0.06593406593</v>
      </c>
      <c r="M24" s="716">
        <f>SUMIFS(G2:G118,E2:E118,"Engenheira")+SUMIFS(G2:G118,E2:E118,"Engenheiro")</f>
        <v>1370551.77</v>
      </c>
      <c r="N24" s="717">
        <f t="shared" si="7"/>
        <v>0.04303117285</v>
      </c>
      <c r="O24" s="716">
        <f>M24/(COUNTIFS(G2:G118,"&gt;0",E2:E118,"Engenheiro")+COUNTIFS(G2:G118,"&gt;0",E2:E118,"Engenheira"))</f>
        <v>228425.295</v>
      </c>
      <c r="Q24" s="721" t="s">
        <v>4681</v>
      </c>
    </row>
    <row r="25" ht="15.75" customHeight="1">
      <c r="A25" s="714" t="s">
        <v>5684</v>
      </c>
      <c r="B25" s="710" t="s">
        <v>5636</v>
      </c>
      <c r="C25" s="711">
        <v>24529.0</v>
      </c>
      <c r="D25" s="710">
        <f t="shared" si="5"/>
        <v>52</v>
      </c>
      <c r="E25" s="710" t="s">
        <v>5685</v>
      </c>
      <c r="F25" s="710" t="s">
        <v>5630</v>
      </c>
      <c r="G25" s="712">
        <v>91137.0</v>
      </c>
      <c r="J25" s="466" t="s">
        <v>5663</v>
      </c>
      <c r="K25" s="710">
        <f>COUNTIF(E9:E125,"Aposentado")+COUNTIF(E9:E125,"Aposentada")</f>
        <v>8</v>
      </c>
      <c r="L25" s="715">
        <f t="shared" si="6"/>
        <v>0.08791208791</v>
      </c>
      <c r="M25" s="716">
        <f>SUMIFS(G2:G118,E2:E118,"Aposentada")+SUMIFS(G2:G118,E2:E118,"Aposentado")</f>
        <v>2458722</v>
      </c>
      <c r="N25" s="717">
        <f t="shared" si="7"/>
        <v>0.07719642095</v>
      </c>
      <c r="O25" s="716">
        <f>M25/(COUNTIFS(G2:G118,"&gt;0",E2:E118,"Aposentado")+COUNTIFS(G2:G118,"&gt;0",E2:E118,"Aposentada"))</f>
        <v>351246</v>
      </c>
    </row>
    <row r="26" ht="15.75" customHeight="1">
      <c r="A26" s="720" t="s">
        <v>5686</v>
      </c>
      <c r="B26" s="710" t="s">
        <v>5628</v>
      </c>
      <c r="C26" s="711">
        <v>28883.0</v>
      </c>
      <c r="D26" s="710">
        <f t="shared" si="5"/>
        <v>40</v>
      </c>
      <c r="E26" s="710" t="s">
        <v>5673</v>
      </c>
      <c r="F26" s="710" t="s">
        <v>5630</v>
      </c>
      <c r="G26" s="712">
        <v>271013.45</v>
      </c>
      <c r="J26" s="466" t="s">
        <v>5687</v>
      </c>
      <c r="K26" s="710">
        <f>COUNTIF(E9:E125,"Autônomo")+COUNTIF(E9:E125,"Autônoma")</f>
        <v>4</v>
      </c>
      <c r="L26" s="715">
        <f t="shared" si="6"/>
        <v>0.04395604396</v>
      </c>
      <c r="M26" s="716">
        <f>SUMIFS(G2:G118,E2:E118,"Autônomo")+SUMIFS(G2:G118,E2:E118,"Autônoma")</f>
        <v>1175824.71</v>
      </c>
      <c r="N26" s="717">
        <f t="shared" si="7"/>
        <v>0.03691733318</v>
      </c>
      <c r="O26" s="716">
        <f>M26/(COUNTIFS(G2:G118,"&gt;0",E2:E118,"Autônomo")+COUNTIFS(G2:G118,"&gt;0",E2:E118,"Autônoma"))</f>
        <v>293956.1775</v>
      </c>
    </row>
    <row r="27" ht="15.75" customHeight="1">
      <c r="A27" s="714" t="s">
        <v>5688</v>
      </c>
      <c r="B27" s="710" t="s">
        <v>5636</v>
      </c>
      <c r="C27" s="711">
        <v>22919.0</v>
      </c>
      <c r="D27" s="710">
        <f t="shared" si="5"/>
        <v>57</v>
      </c>
      <c r="E27" s="710" t="s">
        <v>5657</v>
      </c>
      <c r="F27" s="710" t="s">
        <v>5630</v>
      </c>
      <c r="G27" s="712">
        <v>187575.0</v>
      </c>
      <c r="J27" s="466" t="s">
        <v>5689</v>
      </c>
      <c r="K27" s="710">
        <v>16.0</v>
      </c>
      <c r="L27" s="715">
        <f t="shared" si="6"/>
        <v>0.1758241758</v>
      </c>
      <c r="M27" s="716">
        <f>M28-SUM(M18:M26)</f>
        <v>11150095.59</v>
      </c>
      <c r="N27" s="717">
        <f t="shared" si="7"/>
        <v>0.3500792171</v>
      </c>
      <c r="O27" s="716">
        <f>M27/15</f>
        <v>743339.706</v>
      </c>
    </row>
    <row r="28" ht="15.75" customHeight="1">
      <c r="A28" s="722" t="s">
        <v>5690</v>
      </c>
      <c r="B28" s="710" t="s">
        <v>5636</v>
      </c>
      <c r="C28" s="711">
        <v>25781.0</v>
      </c>
      <c r="D28" s="710">
        <f t="shared" si="5"/>
        <v>49</v>
      </c>
      <c r="E28" s="710"/>
      <c r="F28" s="710" t="s">
        <v>5630</v>
      </c>
      <c r="G28" s="712">
        <v>0.0</v>
      </c>
      <c r="J28" s="466" t="s">
        <v>5631</v>
      </c>
      <c r="K28" s="710">
        <f>SUM(K18:K27)</f>
        <v>91</v>
      </c>
      <c r="L28" s="715">
        <f t="shared" si="6"/>
        <v>1</v>
      </c>
      <c r="M28" s="716">
        <f>SUMIFS(G2:G118,E2:E118,"&lt;&gt;")</f>
        <v>31850207.17</v>
      </c>
      <c r="N28" s="717">
        <f t="shared" si="7"/>
        <v>1</v>
      </c>
      <c r="O28" s="716">
        <f>M28/K28</f>
        <v>350002.2766</v>
      </c>
    </row>
    <row r="29" ht="15.75" customHeight="1">
      <c r="A29" s="466" t="s">
        <v>5691</v>
      </c>
      <c r="B29" s="710" t="s">
        <v>5628</v>
      </c>
      <c r="C29" s="711">
        <v>27513.0</v>
      </c>
      <c r="D29" s="710">
        <f t="shared" si="5"/>
        <v>44</v>
      </c>
      <c r="E29" s="710" t="s">
        <v>5651</v>
      </c>
      <c r="F29" s="710"/>
      <c r="G29" s="712">
        <v>57062.68</v>
      </c>
    </row>
    <row r="30" ht="15.75" customHeight="1">
      <c r="A30" s="466" t="s">
        <v>5692</v>
      </c>
      <c r="B30" s="710" t="s">
        <v>5636</v>
      </c>
      <c r="C30" s="711">
        <v>22401.0</v>
      </c>
      <c r="D30" s="710">
        <f t="shared" si="5"/>
        <v>58</v>
      </c>
      <c r="E30" s="710" t="s">
        <v>5657</v>
      </c>
      <c r="F30" s="710" t="s">
        <v>5630</v>
      </c>
      <c r="G30" s="712">
        <v>163478.0</v>
      </c>
    </row>
    <row r="31" ht="15.75" customHeight="1">
      <c r="A31" s="722" t="s">
        <v>5693</v>
      </c>
      <c r="B31" s="710" t="s">
        <v>5636</v>
      </c>
      <c r="C31" s="711">
        <v>19484.0</v>
      </c>
      <c r="D31" s="710">
        <f t="shared" si="5"/>
        <v>66</v>
      </c>
      <c r="E31" s="710" t="s">
        <v>5694</v>
      </c>
      <c r="F31" s="710" t="s">
        <v>5630</v>
      </c>
      <c r="G31" s="712">
        <v>0.0</v>
      </c>
      <c r="J31" s="708" t="s">
        <v>5626</v>
      </c>
    </row>
    <row r="32" ht="15.75" customHeight="1">
      <c r="A32" s="714" t="s">
        <v>5695</v>
      </c>
      <c r="B32" s="710" t="s">
        <v>5628</v>
      </c>
      <c r="C32" s="711">
        <v>25747.0</v>
      </c>
      <c r="D32" s="710">
        <f t="shared" si="5"/>
        <v>49</v>
      </c>
      <c r="E32" s="710" t="s">
        <v>5640</v>
      </c>
      <c r="F32" s="710" t="s">
        <v>5630</v>
      </c>
      <c r="G32" s="712">
        <f>205400+183458</f>
        <v>388858</v>
      </c>
    </row>
    <row r="33" ht="15.75" customHeight="1">
      <c r="A33" s="714" t="s">
        <v>5696</v>
      </c>
      <c r="B33" s="710" t="s">
        <v>5628</v>
      </c>
      <c r="C33" s="711">
        <v>28151.0</v>
      </c>
      <c r="D33" s="710">
        <f t="shared" si="5"/>
        <v>42</v>
      </c>
      <c r="E33" s="710" t="s">
        <v>5640</v>
      </c>
      <c r="F33" s="710" t="s">
        <v>5630</v>
      </c>
      <c r="G33" s="712">
        <v>56328.0</v>
      </c>
    </row>
    <row r="34" ht="15.75" customHeight="1">
      <c r="A34" s="466" t="s">
        <v>5697</v>
      </c>
      <c r="B34" s="710" t="s">
        <v>5628</v>
      </c>
      <c r="C34" s="711">
        <v>27906.0</v>
      </c>
      <c r="D34" s="710">
        <f t="shared" si="5"/>
        <v>43</v>
      </c>
      <c r="E34" s="710" t="s">
        <v>5687</v>
      </c>
      <c r="F34" s="710" t="s">
        <v>5630</v>
      </c>
      <c r="G34" s="712">
        <v>257451.0</v>
      </c>
    </row>
    <row r="35" ht="15.75" customHeight="1">
      <c r="A35" s="466" t="s">
        <v>5698</v>
      </c>
      <c r="B35" s="710" t="s">
        <v>5628</v>
      </c>
      <c r="C35" s="711">
        <v>28906.0</v>
      </c>
      <c r="D35" s="710">
        <f t="shared" si="5"/>
        <v>40</v>
      </c>
      <c r="E35" s="710" t="s">
        <v>5651</v>
      </c>
      <c r="F35" s="710" t="s">
        <v>5630</v>
      </c>
      <c r="G35" s="712">
        <v>402433.0</v>
      </c>
    </row>
    <row r="36" ht="15.75" customHeight="1">
      <c r="A36" s="714" t="s">
        <v>5699</v>
      </c>
      <c r="B36" s="710" t="s">
        <v>5628</v>
      </c>
      <c r="C36" s="711">
        <v>30587.0</v>
      </c>
      <c r="D36" s="710">
        <f t="shared" si="5"/>
        <v>36</v>
      </c>
      <c r="E36" s="710" t="s">
        <v>5673</v>
      </c>
      <c r="F36" s="710" t="s">
        <v>5630</v>
      </c>
      <c r="G36" s="712">
        <f>458323+1000228</f>
        <v>1458551</v>
      </c>
    </row>
    <row r="37" ht="15.75" customHeight="1">
      <c r="A37" s="714" t="s">
        <v>5700</v>
      </c>
      <c r="B37" s="710" t="s">
        <v>5636</v>
      </c>
      <c r="C37" s="711">
        <v>15096.0</v>
      </c>
      <c r="D37" s="710">
        <f t="shared" si="5"/>
        <v>78</v>
      </c>
      <c r="E37" s="710" t="s">
        <v>5694</v>
      </c>
      <c r="F37" s="710" t="s">
        <v>5630</v>
      </c>
      <c r="G37" s="712">
        <v>179256.0</v>
      </c>
    </row>
    <row r="38" ht="15.75" customHeight="1">
      <c r="A38" s="714" t="s">
        <v>5701</v>
      </c>
      <c r="B38" s="710" t="s">
        <v>5628</v>
      </c>
      <c r="C38" s="711">
        <v>27655.0</v>
      </c>
      <c r="D38" s="710">
        <f t="shared" si="5"/>
        <v>44</v>
      </c>
      <c r="E38" s="710" t="s">
        <v>5675</v>
      </c>
      <c r="F38" s="710" t="s">
        <v>5702</v>
      </c>
      <c r="G38" s="712">
        <v>769189.0</v>
      </c>
      <c r="J38" s="721" t="s">
        <v>4681</v>
      </c>
    </row>
    <row r="39" ht="15.75" customHeight="1">
      <c r="A39" s="714" t="s">
        <v>5703</v>
      </c>
      <c r="B39" s="710" t="s">
        <v>5628</v>
      </c>
      <c r="C39" s="711">
        <v>31245.0</v>
      </c>
      <c r="D39" s="710">
        <f t="shared" si="5"/>
        <v>34</v>
      </c>
      <c r="E39" s="710" t="s">
        <v>5651</v>
      </c>
      <c r="F39" s="710" t="s">
        <v>5630</v>
      </c>
      <c r="G39" s="712">
        <v>166417.0</v>
      </c>
      <c r="J39" s="721" t="s">
        <v>4681</v>
      </c>
      <c r="K39" s="721" t="s">
        <v>4681</v>
      </c>
    </row>
    <row r="40" ht="15.75" customHeight="1">
      <c r="A40" s="466" t="s">
        <v>5704</v>
      </c>
      <c r="B40" s="710" t="s">
        <v>5628</v>
      </c>
      <c r="C40" s="711">
        <v>28270.0</v>
      </c>
      <c r="D40" s="710">
        <f t="shared" si="5"/>
        <v>42</v>
      </c>
      <c r="E40" s="710" t="s">
        <v>5673</v>
      </c>
      <c r="F40" s="710" t="s">
        <v>5630</v>
      </c>
      <c r="G40" s="712">
        <v>208601.0</v>
      </c>
    </row>
    <row r="41" ht="15.75" customHeight="1">
      <c r="A41" s="720" t="s">
        <v>4261</v>
      </c>
      <c r="B41" s="710" t="s">
        <v>5628</v>
      </c>
      <c r="C41" s="711">
        <v>23924.0</v>
      </c>
      <c r="D41" s="710">
        <f t="shared" si="5"/>
        <v>54</v>
      </c>
      <c r="E41" s="710" t="s">
        <v>5651</v>
      </c>
      <c r="F41" s="710"/>
      <c r="G41" s="712">
        <v>278844.53</v>
      </c>
      <c r="J41" s="721" t="s">
        <v>4681</v>
      </c>
    </row>
    <row r="42" ht="15.75" customHeight="1">
      <c r="A42" s="720" t="s">
        <v>5705</v>
      </c>
      <c r="B42" s="710" t="s">
        <v>5628</v>
      </c>
      <c r="C42" s="711">
        <v>33469.0</v>
      </c>
      <c r="D42" s="710">
        <f t="shared" si="5"/>
        <v>28</v>
      </c>
      <c r="E42" s="710" t="s">
        <v>5629</v>
      </c>
      <c r="F42" s="710" t="s">
        <v>5706</v>
      </c>
      <c r="G42" s="712">
        <v>131927.0</v>
      </c>
      <c r="J42" s="721" t="s">
        <v>4681</v>
      </c>
    </row>
    <row r="43" ht="15.75" customHeight="1">
      <c r="A43" s="714" t="s">
        <v>5707</v>
      </c>
      <c r="B43" s="710" t="s">
        <v>5628</v>
      </c>
      <c r="C43" s="711">
        <v>25643.0</v>
      </c>
      <c r="D43" s="710">
        <f t="shared" si="5"/>
        <v>49</v>
      </c>
      <c r="E43" s="710" t="s">
        <v>5673</v>
      </c>
      <c r="F43" s="710" t="s">
        <v>5630</v>
      </c>
      <c r="G43" s="712">
        <v>506417.0</v>
      </c>
      <c r="K43" s="721" t="s">
        <v>4681</v>
      </c>
      <c r="L43" s="721" t="s">
        <v>4681</v>
      </c>
    </row>
    <row r="44" ht="15.75" customHeight="1">
      <c r="A44" s="720" t="s">
        <v>5708</v>
      </c>
      <c r="B44" s="710" t="s">
        <v>5628</v>
      </c>
      <c r="C44" s="711">
        <v>32920.0</v>
      </c>
      <c r="D44" s="710">
        <f t="shared" si="5"/>
        <v>29</v>
      </c>
      <c r="E44" s="710" t="s">
        <v>5651</v>
      </c>
      <c r="F44" s="710" t="s">
        <v>5630</v>
      </c>
      <c r="G44" s="712">
        <v>123215.73</v>
      </c>
      <c r="K44" s="721" t="s">
        <v>4681</v>
      </c>
    </row>
    <row r="45" ht="15.75" customHeight="1">
      <c r="A45" s="714" t="s">
        <v>5709</v>
      </c>
      <c r="B45" s="710" t="s">
        <v>5628</v>
      </c>
      <c r="C45" s="711">
        <v>30264.0</v>
      </c>
      <c r="D45" s="710">
        <f t="shared" si="5"/>
        <v>37</v>
      </c>
      <c r="E45" s="710" t="s">
        <v>5648</v>
      </c>
      <c r="F45" s="710" t="s">
        <v>5630</v>
      </c>
      <c r="G45" s="712">
        <v>141649.0</v>
      </c>
    </row>
    <row r="46" ht="15.75" customHeight="1">
      <c r="A46" s="714" t="s">
        <v>5710</v>
      </c>
      <c r="B46" s="710" t="s">
        <v>5636</v>
      </c>
      <c r="C46" s="711">
        <v>18097.0</v>
      </c>
      <c r="D46" s="710">
        <f t="shared" si="5"/>
        <v>70</v>
      </c>
      <c r="E46" s="710" t="s">
        <v>5694</v>
      </c>
      <c r="F46" s="710" t="s">
        <v>5630</v>
      </c>
      <c r="G46" s="712">
        <f>913577+225360</f>
        <v>1138937</v>
      </c>
    </row>
    <row r="47" ht="15.75" customHeight="1">
      <c r="A47" s="720" t="s">
        <v>4362</v>
      </c>
      <c r="B47" s="710" t="s">
        <v>5628</v>
      </c>
      <c r="C47" s="711">
        <v>24085.0</v>
      </c>
      <c r="D47" s="710">
        <f t="shared" si="5"/>
        <v>54</v>
      </c>
      <c r="E47" s="710" t="s">
        <v>5711</v>
      </c>
      <c r="F47" s="710"/>
      <c r="G47" s="712">
        <v>611765.67</v>
      </c>
      <c r="L47" s="721" t="s">
        <v>4681</v>
      </c>
    </row>
    <row r="48" ht="15.75" customHeight="1">
      <c r="A48" s="723" t="s">
        <v>5712</v>
      </c>
      <c r="B48" s="710" t="s">
        <v>5636</v>
      </c>
      <c r="C48" s="711">
        <v>31943.0</v>
      </c>
      <c r="D48" s="710">
        <f t="shared" si="5"/>
        <v>32</v>
      </c>
      <c r="E48" s="710" t="s">
        <v>5713</v>
      </c>
      <c r="F48" s="710" t="s">
        <v>5630</v>
      </c>
      <c r="G48" s="712">
        <v>275126.0</v>
      </c>
    </row>
    <row r="49" ht="15.75" customHeight="1">
      <c r="A49" s="723" t="s">
        <v>5714</v>
      </c>
      <c r="B49" s="710" t="s">
        <v>5628</v>
      </c>
      <c r="C49" s="711">
        <v>26994.0</v>
      </c>
      <c r="D49" s="710">
        <f t="shared" si="5"/>
        <v>46</v>
      </c>
      <c r="E49" s="710" t="s">
        <v>5648</v>
      </c>
      <c r="F49" s="710" t="s">
        <v>5630</v>
      </c>
      <c r="G49" s="712">
        <v>395619.0</v>
      </c>
    </row>
    <row r="50" ht="15.75" customHeight="1">
      <c r="A50" s="723" t="s">
        <v>5715</v>
      </c>
      <c r="B50" s="710" t="s">
        <v>5628</v>
      </c>
      <c r="C50" s="711">
        <v>32175.0</v>
      </c>
      <c r="D50" s="710">
        <f t="shared" si="5"/>
        <v>31</v>
      </c>
      <c r="E50" s="710" t="s">
        <v>5648</v>
      </c>
      <c r="F50" s="710" t="s">
        <v>5630</v>
      </c>
      <c r="G50" s="712">
        <v>125506.0</v>
      </c>
      <c r="J50" s="721" t="s">
        <v>4681</v>
      </c>
    </row>
    <row r="51" ht="15.75" customHeight="1">
      <c r="A51" s="724" t="s">
        <v>5716</v>
      </c>
      <c r="B51" s="710" t="s">
        <v>5628</v>
      </c>
      <c r="C51" s="711">
        <v>29879.0</v>
      </c>
      <c r="D51" s="710">
        <f t="shared" si="5"/>
        <v>38</v>
      </c>
      <c r="E51" s="710" t="s">
        <v>5673</v>
      </c>
      <c r="F51" s="710" t="s">
        <v>5630</v>
      </c>
      <c r="G51" s="712">
        <f>165123+165077</f>
        <v>330200</v>
      </c>
      <c r="J51" s="721" t="s">
        <v>4681</v>
      </c>
    </row>
    <row r="52" ht="15.75" customHeight="1">
      <c r="A52" s="714" t="s">
        <v>5717</v>
      </c>
      <c r="B52" s="710" t="s">
        <v>5628</v>
      </c>
      <c r="C52" s="711">
        <v>22158.0</v>
      </c>
      <c r="D52" s="710">
        <f t="shared" si="5"/>
        <v>59</v>
      </c>
      <c r="E52" s="710" t="s">
        <v>5718</v>
      </c>
      <c r="F52" s="710" t="s">
        <v>5630</v>
      </c>
      <c r="G52" s="712">
        <v>167058.0</v>
      </c>
    </row>
    <row r="53" ht="15.75" customHeight="1">
      <c r="A53" s="723" t="s">
        <v>5719</v>
      </c>
      <c r="B53" s="710" t="s">
        <v>5628</v>
      </c>
      <c r="C53" s="711">
        <v>13343.0</v>
      </c>
      <c r="D53" s="710">
        <f t="shared" si="5"/>
        <v>83</v>
      </c>
      <c r="E53" s="710" t="s">
        <v>5663</v>
      </c>
      <c r="F53" s="710" t="s">
        <v>5630</v>
      </c>
      <c r="G53" s="712">
        <v>119871.0</v>
      </c>
      <c r="J53" s="721" t="s">
        <v>4681</v>
      </c>
    </row>
    <row r="54" ht="15.75" customHeight="1">
      <c r="A54" s="725" t="s">
        <v>5720</v>
      </c>
      <c r="B54" s="710" t="s">
        <v>5636</v>
      </c>
      <c r="C54" s="711"/>
      <c r="D54" s="710"/>
      <c r="E54" s="710" t="s">
        <v>5721</v>
      </c>
      <c r="F54" s="710"/>
      <c r="G54" s="712">
        <v>0.0</v>
      </c>
    </row>
    <row r="55" ht="15.75" customHeight="1">
      <c r="A55" s="724" t="s">
        <v>5722</v>
      </c>
      <c r="B55" s="710" t="s">
        <v>5628</v>
      </c>
      <c r="C55" s="711">
        <v>23916.0</v>
      </c>
      <c r="D55" s="710">
        <f t="shared" ref="D55:D78" si="8">DATEDIF(C55,$C$121,"Y")</f>
        <v>54</v>
      </c>
      <c r="E55" s="710" t="s">
        <v>5648</v>
      </c>
      <c r="F55" s="710" t="s">
        <v>5630</v>
      </c>
      <c r="G55" s="712">
        <v>314725.0</v>
      </c>
    </row>
    <row r="56" ht="15.75" customHeight="1">
      <c r="A56" s="724" t="s">
        <v>5723</v>
      </c>
      <c r="B56" s="710" t="s">
        <v>5628</v>
      </c>
      <c r="C56" s="711">
        <v>29508.0</v>
      </c>
      <c r="D56" s="710">
        <f t="shared" si="8"/>
        <v>39</v>
      </c>
      <c r="E56" s="710" t="s">
        <v>5680</v>
      </c>
      <c r="F56" s="710" t="s">
        <v>5630</v>
      </c>
      <c r="G56" s="712">
        <v>105215.56</v>
      </c>
    </row>
    <row r="57" ht="15.75" customHeight="1">
      <c r="A57" s="723" t="s">
        <v>5724</v>
      </c>
      <c r="B57" s="710" t="s">
        <v>5628</v>
      </c>
      <c r="C57" s="711">
        <v>31417.0</v>
      </c>
      <c r="D57" s="710">
        <f t="shared" si="8"/>
        <v>33</v>
      </c>
      <c r="E57" s="710" t="s">
        <v>5648</v>
      </c>
      <c r="F57" s="710" t="s">
        <v>5630</v>
      </c>
      <c r="G57" s="712">
        <f>360253+251068</f>
        <v>611321</v>
      </c>
    </row>
    <row r="58" ht="15.75" customHeight="1">
      <c r="A58" s="723" t="s">
        <v>5725</v>
      </c>
      <c r="B58" s="710" t="s">
        <v>5636</v>
      </c>
      <c r="C58" s="711">
        <v>27619.0</v>
      </c>
      <c r="D58" s="710">
        <f t="shared" si="8"/>
        <v>44</v>
      </c>
      <c r="E58" s="710" t="s">
        <v>5657</v>
      </c>
      <c r="F58" s="710" t="s">
        <v>5630</v>
      </c>
      <c r="G58" s="712">
        <v>189120.0</v>
      </c>
    </row>
    <row r="59" ht="15.75" customHeight="1">
      <c r="A59" s="724" t="s">
        <v>5726</v>
      </c>
      <c r="B59" s="710" t="s">
        <v>5636</v>
      </c>
      <c r="C59" s="711">
        <v>21213.0</v>
      </c>
      <c r="D59" s="710">
        <f t="shared" si="8"/>
        <v>61</v>
      </c>
      <c r="E59" s="710" t="s">
        <v>5640</v>
      </c>
      <c r="F59" s="710" t="s">
        <v>5702</v>
      </c>
      <c r="G59" s="712">
        <v>16764.63</v>
      </c>
    </row>
    <row r="60" ht="15.75" customHeight="1">
      <c r="A60" s="723" t="s">
        <v>5727</v>
      </c>
      <c r="B60" s="710" t="s">
        <v>5628</v>
      </c>
      <c r="C60" s="711">
        <v>20736.0</v>
      </c>
      <c r="D60" s="710">
        <f t="shared" si="8"/>
        <v>63</v>
      </c>
      <c r="E60" s="710"/>
      <c r="F60" s="710" t="s">
        <v>5630</v>
      </c>
      <c r="G60" s="712">
        <v>129393.0</v>
      </c>
    </row>
    <row r="61" ht="15.75" customHeight="1">
      <c r="A61" s="726" t="s">
        <v>5728</v>
      </c>
      <c r="B61" s="710" t="s">
        <v>5628</v>
      </c>
      <c r="C61" s="711">
        <v>21535.0</v>
      </c>
      <c r="D61" s="710">
        <f t="shared" si="8"/>
        <v>61</v>
      </c>
      <c r="E61" s="710" t="s">
        <v>5629</v>
      </c>
      <c r="F61" s="710" t="s">
        <v>5630</v>
      </c>
      <c r="G61" s="712">
        <v>69611.0</v>
      </c>
      <c r="K61" s="721"/>
    </row>
    <row r="62" ht="15.75" customHeight="1">
      <c r="A62" s="714" t="s">
        <v>5729</v>
      </c>
      <c r="B62" s="710" t="s">
        <v>5636</v>
      </c>
      <c r="C62" s="711">
        <v>28071.0</v>
      </c>
      <c r="D62" s="710">
        <f t="shared" si="8"/>
        <v>43</v>
      </c>
      <c r="E62" s="710" t="s">
        <v>5730</v>
      </c>
      <c r="F62" s="710" t="s">
        <v>5630</v>
      </c>
      <c r="G62" s="712">
        <f>419503+311767</f>
        <v>731270</v>
      </c>
    </row>
    <row r="63" ht="15.75" customHeight="1">
      <c r="A63" s="720" t="s">
        <v>5731</v>
      </c>
      <c r="B63" s="710" t="s">
        <v>5628</v>
      </c>
      <c r="C63" s="711">
        <v>27745.0</v>
      </c>
      <c r="D63" s="710">
        <f t="shared" si="8"/>
        <v>44</v>
      </c>
      <c r="E63" s="710" t="s">
        <v>5651</v>
      </c>
      <c r="F63" s="710" t="s">
        <v>5630</v>
      </c>
      <c r="G63" s="712">
        <f>994319.81+157168</f>
        <v>1151487.81</v>
      </c>
      <c r="J63" s="721" t="s">
        <v>4681</v>
      </c>
    </row>
    <row r="64" ht="15.75" customHeight="1">
      <c r="A64" s="714" t="s">
        <v>5732</v>
      </c>
      <c r="B64" s="710" t="s">
        <v>5636</v>
      </c>
      <c r="C64" s="711">
        <v>24999.0</v>
      </c>
      <c r="D64" s="710">
        <f t="shared" si="8"/>
        <v>51</v>
      </c>
      <c r="E64" s="710" t="s">
        <v>5733</v>
      </c>
      <c r="F64" s="710" t="s">
        <v>5630</v>
      </c>
      <c r="G64" s="712">
        <v>108326.0</v>
      </c>
      <c r="J64" s="721" t="s">
        <v>4681</v>
      </c>
    </row>
    <row r="65" ht="15.75" customHeight="1">
      <c r="A65" s="714" t="s">
        <v>5734</v>
      </c>
      <c r="B65" s="710" t="s">
        <v>5636</v>
      </c>
      <c r="C65" s="711">
        <v>18771.0</v>
      </c>
      <c r="D65" s="710">
        <f t="shared" si="8"/>
        <v>68</v>
      </c>
      <c r="E65" s="710" t="s">
        <v>5694</v>
      </c>
      <c r="F65" s="710" t="s">
        <v>5630</v>
      </c>
      <c r="G65" s="712">
        <v>92609.0</v>
      </c>
    </row>
    <row r="66" ht="15.75" customHeight="1">
      <c r="A66" s="466" t="s">
        <v>5735</v>
      </c>
      <c r="B66" s="710" t="s">
        <v>5636</v>
      </c>
      <c r="C66" s="711">
        <v>27098.0</v>
      </c>
      <c r="D66" s="710">
        <f t="shared" si="8"/>
        <v>45</v>
      </c>
      <c r="E66" s="710" t="s">
        <v>5657</v>
      </c>
      <c r="F66" s="710" t="s">
        <v>5630</v>
      </c>
      <c r="G66" s="712">
        <v>44491.05</v>
      </c>
      <c r="L66" s="721" t="s">
        <v>4681</v>
      </c>
    </row>
    <row r="67" ht="15.75" customHeight="1">
      <c r="A67" s="714" t="s">
        <v>5736</v>
      </c>
      <c r="B67" s="710" t="s">
        <v>5636</v>
      </c>
      <c r="C67" s="711">
        <v>21881.0</v>
      </c>
      <c r="D67" s="710">
        <f t="shared" si="8"/>
        <v>60</v>
      </c>
      <c r="E67" s="710" t="s">
        <v>5737</v>
      </c>
      <c r="F67" s="710" t="s">
        <v>5630</v>
      </c>
      <c r="G67" s="712">
        <v>253693.0</v>
      </c>
      <c r="J67" s="721" t="s">
        <v>4681</v>
      </c>
    </row>
    <row r="68" ht="15.75" customHeight="1">
      <c r="A68" s="466" t="s">
        <v>5738</v>
      </c>
      <c r="B68" s="710" t="s">
        <v>5636</v>
      </c>
      <c r="C68" s="711">
        <v>20961.0</v>
      </c>
      <c r="D68" s="710">
        <f t="shared" si="8"/>
        <v>62</v>
      </c>
      <c r="E68" s="710" t="s">
        <v>5739</v>
      </c>
      <c r="F68" s="710" t="s">
        <v>5630</v>
      </c>
      <c r="G68" s="712">
        <v>268632.52</v>
      </c>
      <c r="J68" s="721" t="s">
        <v>4681</v>
      </c>
    </row>
    <row r="69" ht="15.75" customHeight="1">
      <c r="A69" s="722" t="s">
        <v>5740</v>
      </c>
      <c r="B69" s="710" t="s">
        <v>5636</v>
      </c>
      <c r="C69" s="711">
        <v>16541.0</v>
      </c>
      <c r="D69" s="710">
        <f t="shared" si="8"/>
        <v>74</v>
      </c>
      <c r="E69" s="710" t="s">
        <v>5741</v>
      </c>
      <c r="F69" s="710" t="s">
        <v>5630</v>
      </c>
      <c r="G69" s="712">
        <v>0.0</v>
      </c>
      <c r="L69" s="721" t="s">
        <v>4681</v>
      </c>
    </row>
    <row r="70" ht="15.75" customHeight="1">
      <c r="A70" s="466" t="s">
        <v>5742</v>
      </c>
      <c r="B70" s="710" t="s">
        <v>5636</v>
      </c>
      <c r="C70" s="711">
        <v>17371.0</v>
      </c>
      <c r="D70" s="710">
        <f t="shared" si="8"/>
        <v>72</v>
      </c>
      <c r="E70" s="710" t="s">
        <v>5721</v>
      </c>
      <c r="F70" s="710" t="s">
        <v>5702</v>
      </c>
      <c r="G70" s="712">
        <v>118173.01</v>
      </c>
    </row>
    <row r="71" ht="15.75" customHeight="1">
      <c r="A71" s="714" t="s">
        <v>5743</v>
      </c>
      <c r="B71" s="710" t="s">
        <v>5636</v>
      </c>
      <c r="C71" s="711">
        <v>22041.0</v>
      </c>
      <c r="D71" s="710">
        <f t="shared" si="8"/>
        <v>59</v>
      </c>
      <c r="E71" s="710" t="s">
        <v>5721</v>
      </c>
      <c r="F71" s="710" t="s">
        <v>5630</v>
      </c>
      <c r="G71" s="712">
        <v>177455.0</v>
      </c>
      <c r="K71" s="721" t="s">
        <v>4681</v>
      </c>
    </row>
    <row r="72" ht="15.75" customHeight="1">
      <c r="A72" s="714" t="s">
        <v>5744</v>
      </c>
      <c r="B72" s="710" t="s">
        <v>5628</v>
      </c>
      <c r="C72" s="711">
        <v>28553.0</v>
      </c>
      <c r="D72" s="710">
        <f t="shared" si="8"/>
        <v>41</v>
      </c>
      <c r="E72" s="710" t="s">
        <v>5673</v>
      </c>
      <c r="F72" s="710" t="s">
        <v>5630</v>
      </c>
      <c r="G72" s="712">
        <v>115496.0</v>
      </c>
      <c r="J72" s="721" t="s">
        <v>4681</v>
      </c>
    </row>
    <row r="73" ht="15.75" customHeight="1">
      <c r="A73" s="714" t="s">
        <v>5745</v>
      </c>
      <c r="B73" s="710" t="s">
        <v>5628</v>
      </c>
      <c r="C73" s="711">
        <v>28738.0</v>
      </c>
      <c r="D73" s="710">
        <f t="shared" si="8"/>
        <v>41</v>
      </c>
      <c r="E73" s="710" t="s">
        <v>5651</v>
      </c>
      <c r="F73" s="710" t="s">
        <v>5630</v>
      </c>
      <c r="G73" s="712">
        <v>261709.0</v>
      </c>
    </row>
    <row r="74" ht="15.75" customHeight="1">
      <c r="A74" s="466" t="s">
        <v>5746</v>
      </c>
      <c r="B74" s="710" t="s">
        <v>5628</v>
      </c>
      <c r="C74" s="711">
        <v>24095.0</v>
      </c>
      <c r="D74" s="710">
        <f t="shared" si="8"/>
        <v>54</v>
      </c>
      <c r="E74" s="710" t="s">
        <v>5648</v>
      </c>
      <c r="F74" s="710" t="s">
        <v>5630</v>
      </c>
      <c r="G74" s="712">
        <v>0.0</v>
      </c>
    </row>
    <row r="75" ht="15.75" customHeight="1">
      <c r="A75" s="720" t="s">
        <v>1707</v>
      </c>
      <c r="B75" s="710" t="s">
        <v>5636</v>
      </c>
      <c r="C75" s="711">
        <v>25216.0</v>
      </c>
      <c r="D75" s="710">
        <f t="shared" si="8"/>
        <v>50</v>
      </c>
      <c r="E75" s="710" t="s">
        <v>5747</v>
      </c>
      <c r="F75" s="710"/>
      <c r="G75" s="712">
        <v>695297.71</v>
      </c>
      <c r="J75" s="721" t="s">
        <v>4681</v>
      </c>
    </row>
    <row r="76" ht="15.75" customHeight="1">
      <c r="A76" s="466" t="s">
        <v>5748</v>
      </c>
      <c r="B76" s="710" t="s">
        <v>5628</v>
      </c>
      <c r="C76" s="711">
        <v>32329.0</v>
      </c>
      <c r="D76" s="710">
        <f t="shared" si="8"/>
        <v>31</v>
      </c>
      <c r="E76" s="710" t="s">
        <v>5648</v>
      </c>
      <c r="F76" s="710" t="s">
        <v>5630</v>
      </c>
      <c r="G76" s="712">
        <v>184409.0</v>
      </c>
      <c r="J76" s="721" t="s">
        <v>4681</v>
      </c>
    </row>
    <row r="77" ht="15.75" customHeight="1">
      <c r="A77" s="714" t="s">
        <v>5749</v>
      </c>
      <c r="B77" s="710" t="s">
        <v>5636</v>
      </c>
      <c r="C77" s="711">
        <v>30849.0</v>
      </c>
      <c r="D77" s="710">
        <f t="shared" si="8"/>
        <v>35</v>
      </c>
      <c r="E77" s="710" t="s">
        <v>5657</v>
      </c>
      <c r="F77" s="710" t="s">
        <v>5630</v>
      </c>
      <c r="G77" s="712">
        <v>117498.0</v>
      </c>
      <c r="K77" s="721" t="s">
        <v>4681</v>
      </c>
    </row>
    <row r="78" ht="15.75" customHeight="1">
      <c r="A78" s="714" t="s">
        <v>5750</v>
      </c>
      <c r="B78" s="710" t="s">
        <v>5636</v>
      </c>
      <c r="C78" s="711">
        <v>31945.0</v>
      </c>
      <c r="D78" s="710">
        <f t="shared" si="8"/>
        <v>32</v>
      </c>
      <c r="E78" s="710" t="s">
        <v>5657</v>
      </c>
      <c r="F78" s="710" t="s">
        <v>5630</v>
      </c>
      <c r="G78" s="712">
        <f>286683+108380</f>
        <v>395063</v>
      </c>
      <c r="J78" s="721" t="s">
        <v>4681</v>
      </c>
    </row>
    <row r="79" ht="15.75" customHeight="1">
      <c r="A79" s="714" t="s">
        <v>5751</v>
      </c>
      <c r="B79" s="710" t="s">
        <v>5636</v>
      </c>
      <c r="C79" s="711"/>
      <c r="D79" s="710"/>
      <c r="E79" s="710"/>
      <c r="F79" s="710" t="s">
        <v>5630</v>
      </c>
      <c r="G79" s="712">
        <v>422200.0</v>
      </c>
    </row>
    <row r="80" ht="15.75" customHeight="1">
      <c r="A80" s="720" t="s">
        <v>5752</v>
      </c>
      <c r="B80" s="710" t="s">
        <v>5628</v>
      </c>
      <c r="C80" s="711">
        <v>34492.0</v>
      </c>
      <c r="D80" s="710">
        <f t="shared" ref="D80:D83" si="9">DATEDIF(C80,$C$121,"Y")</f>
        <v>25</v>
      </c>
      <c r="E80" s="710" t="s">
        <v>5673</v>
      </c>
      <c r="F80" s="710" t="s">
        <v>5753</v>
      </c>
      <c r="G80" s="712">
        <v>82175.56</v>
      </c>
      <c r="K80" s="721" t="s">
        <v>4681</v>
      </c>
    </row>
    <row r="81" ht="15.75" customHeight="1">
      <c r="A81" s="466" t="s">
        <v>5754</v>
      </c>
      <c r="B81" s="710" t="s">
        <v>5628</v>
      </c>
      <c r="C81" s="711">
        <v>20947.0</v>
      </c>
      <c r="D81" s="710">
        <f t="shared" si="9"/>
        <v>62</v>
      </c>
      <c r="E81" s="710" t="s">
        <v>5648</v>
      </c>
      <c r="F81" s="710" t="s">
        <v>5755</v>
      </c>
      <c r="G81" s="712">
        <v>100737.25</v>
      </c>
    </row>
    <row r="82" ht="15.75" customHeight="1">
      <c r="A82" s="720" t="s">
        <v>3183</v>
      </c>
      <c r="B82" s="710" t="s">
        <v>5628</v>
      </c>
      <c r="C82" s="711">
        <v>29139.0</v>
      </c>
      <c r="D82" s="710">
        <f t="shared" si="9"/>
        <v>40</v>
      </c>
      <c r="E82" s="710" t="s">
        <v>5651</v>
      </c>
      <c r="F82" s="710"/>
      <c r="G82" s="712">
        <v>310286.32</v>
      </c>
    </row>
    <row r="83" ht="15.75" customHeight="1">
      <c r="A83" s="714" t="s">
        <v>5756</v>
      </c>
      <c r="B83" s="710" t="s">
        <v>5628</v>
      </c>
      <c r="C83" s="711">
        <v>31630.0</v>
      </c>
      <c r="D83" s="710">
        <f t="shared" si="9"/>
        <v>33</v>
      </c>
      <c r="E83" s="710" t="s">
        <v>5673</v>
      </c>
      <c r="F83" s="710" t="s">
        <v>5630</v>
      </c>
      <c r="G83" s="712">
        <v>0.0</v>
      </c>
      <c r="J83" s="721" t="s">
        <v>4681</v>
      </c>
    </row>
    <row r="84" ht="15.75" customHeight="1">
      <c r="A84" s="714" t="s">
        <v>5757</v>
      </c>
      <c r="B84" s="710" t="s">
        <v>5628</v>
      </c>
      <c r="C84" s="711"/>
      <c r="D84" s="710"/>
      <c r="E84" s="710"/>
      <c r="F84" s="710" t="s">
        <v>5630</v>
      </c>
      <c r="G84" s="712">
        <v>113888.0</v>
      </c>
      <c r="K84" s="721" t="s">
        <v>4681</v>
      </c>
    </row>
    <row r="85" ht="15.75" customHeight="1">
      <c r="A85" s="714" t="s">
        <v>5758</v>
      </c>
      <c r="B85" s="710" t="s">
        <v>5628</v>
      </c>
      <c r="C85" s="711">
        <v>28975.0</v>
      </c>
      <c r="D85" s="710">
        <f t="shared" ref="D85:D89" si="10">DATEDIF(C85,$C$121,"Y")</f>
        <v>40</v>
      </c>
      <c r="E85" s="710" t="s">
        <v>5675</v>
      </c>
      <c r="F85" s="710" t="s">
        <v>5630</v>
      </c>
      <c r="G85" s="712">
        <v>126001.0</v>
      </c>
    </row>
    <row r="86" ht="15.75" customHeight="1">
      <c r="A86" s="714" t="s">
        <v>5759</v>
      </c>
      <c r="B86" s="710" t="s">
        <v>5628</v>
      </c>
      <c r="C86" s="711">
        <v>23401.0</v>
      </c>
      <c r="D86" s="710">
        <f t="shared" si="10"/>
        <v>55</v>
      </c>
      <c r="E86" s="710" t="s">
        <v>5648</v>
      </c>
      <c r="F86" s="710" t="s">
        <v>5630</v>
      </c>
      <c r="G86" s="712">
        <f>532885+733156+661796</f>
        <v>1927837</v>
      </c>
      <c r="J86" s="721" t="s">
        <v>4681</v>
      </c>
    </row>
    <row r="87" ht="15.75" customHeight="1">
      <c r="A87" s="714" t="s">
        <v>5760</v>
      </c>
      <c r="B87" s="710" t="s">
        <v>5628</v>
      </c>
      <c r="C87" s="711">
        <v>31878.0</v>
      </c>
      <c r="D87" s="710">
        <f t="shared" si="10"/>
        <v>32</v>
      </c>
      <c r="E87" s="710" t="s">
        <v>5761</v>
      </c>
      <c r="F87" s="710" t="s">
        <v>5630</v>
      </c>
      <c r="G87" s="712">
        <v>377504.0</v>
      </c>
      <c r="K87" s="721" t="s">
        <v>4681</v>
      </c>
    </row>
    <row r="88" ht="15.75" customHeight="1">
      <c r="A88" s="722" t="s">
        <v>5762</v>
      </c>
      <c r="B88" s="710" t="s">
        <v>5628</v>
      </c>
      <c r="C88" s="711">
        <v>31643.0</v>
      </c>
      <c r="D88" s="710">
        <f t="shared" si="10"/>
        <v>33</v>
      </c>
      <c r="E88" s="710" t="s">
        <v>5640</v>
      </c>
      <c r="F88" s="710" t="s">
        <v>2430</v>
      </c>
      <c r="G88" s="712">
        <v>0.0</v>
      </c>
      <c r="J88" s="721" t="s">
        <v>4681</v>
      </c>
    </row>
    <row r="89" ht="15.75" customHeight="1">
      <c r="A89" s="466" t="s">
        <v>5763</v>
      </c>
      <c r="B89" s="710" t="s">
        <v>5628</v>
      </c>
      <c r="C89" s="711">
        <v>32438.0</v>
      </c>
      <c r="D89" s="710">
        <f t="shared" si="10"/>
        <v>31</v>
      </c>
      <c r="E89" s="710" t="s">
        <v>5687</v>
      </c>
      <c r="F89" s="710" t="s">
        <v>5630</v>
      </c>
      <c r="G89" s="712">
        <v>119890.0</v>
      </c>
      <c r="J89" s="721" t="s">
        <v>4681</v>
      </c>
    </row>
    <row r="90" ht="15.75" customHeight="1">
      <c r="A90" s="466" t="s">
        <v>5764</v>
      </c>
      <c r="B90" s="710" t="s">
        <v>5636</v>
      </c>
      <c r="C90" s="711"/>
      <c r="D90" s="710"/>
      <c r="E90" s="710" t="s">
        <v>5637</v>
      </c>
      <c r="F90" s="710"/>
      <c r="G90" s="712"/>
      <c r="J90" s="721"/>
    </row>
    <row r="91" ht="15.75" customHeight="1">
      <c r="A91" s="720" t="s">
        <v>4889</v>
      </c>
      <c r="B91" s="710" t="s">
        <v>5628</v>
      </c>
      <c r="C91" s="711">
        <v>31537.0</v>
      </c>
      <c r="D91" s="710">
        <f t="shared" ref="D91:D118" si="11">DATEDIF(C91,$C$121,"Y")</f>
        <v>33</v>
      </c>
      <c r="E91" s="710" t="s">
        <v>5648</v>
      </c>
      <c r="F91" s="710"/>
      <c r="G91" s="712">
        <v>403425.55</v>
      </c>
      <c r="J91" s="721" t="s">
        <v>4681</v>
      </c>
    </row>
    <row r="92" ht="15.75" customHeight="1">
      <c r="A92" s="714" t="s">
        <v>5765</v>
      </c>
      <c r="B92" s="710" t="s">
        <v>5628</v>
      </c>
      <c r="C92" s="711">
        <v>32791.0</v>
      </c>
      <c r="D92" s="710">
        <f t="shared" si="11"/>
        <v>30</v>
      </c>
      <c r="E92" s="710" t="s">
        <v>5673</v>
      </c>
      <c r="F92" s="710" t="s">
        <v>5630</v>
      </c>
      <c r="G92" s="712">
        <v>153385.0</v>
      </c>
      <c r="J92" s="721" t="s">
        <v>4681</v>
      </c>
    </row>
    <row r="93" ht="15.75" customHeight="1">
      <c r="A93" s="466" t="s">
        <v>5766</v>
      </c>
      <c r="B93" s="710" t="s">
        <v>5636</v>
      </c>
      <c r="C93" s="711">
        <v>32384.0</v>
      </c>
      <c r="D93" s="710">
        <f t="shared" si="11"/>
        <v>31</v>
      </c>
      <c r="E93" s="710" t="s">
        <v>5660</v>
      </c>
      <c r="F93" s="710" t="s">
        <v>5630</v>
      </c>
      <c r="G93" s="712">
        <v>96201.29</v>
      </c>
      <c r="J93" s="721" t="s">
        <v>4681</v>
      </c>
      <c r="K93" s="721" t="s">
        <v>4681</v>
      </c>
    </row>
    <row r="94" ht="15.75" customHeight="1">
      <c r="A94" s="714" t="s">
        <v>5767</v>
      </c>
      <c r="B94" s="710" t="s">
        <v>5636</v>
      </c>
      <c r="C94" s="711">
        <v>25391.0</v>
      </c>
      <c r="D94" s="710">
        <f t="shared" si="11"/>
        <v>50</v>
      </c>
      <c r="E94" s="710" t="s">
        <v>5657</v>
      </c>
      <c r="F94" s="710" t="s">
        <v>5630</v>
      </c>
      <c r="G94" s="712">
        <v>59844.0</v>
      </c>
      <c r="J94" s="721" t="s">
        <v>4681</v>
      </c>
    </row>
    <row r="95" ht="15.75" customHeight="1">
      <c r="A95" s="714" t="s">
        <v>5768</v>
      </c>
      <c r="B95" s="710" t="s">
        <v>5628</v>
      </c>
      <c r="C95" s="711">
        <v>24203.0</v>
      </c>
      <c r="D95" s="710">
        <f t="shared" si="11"/>
        <v>53</v>
      </c>
      <c r="E95" s="710" t="s">
        <v>5648</v>
      </c>
      <c r="F95" s="710" t="s">
        <v>5630</v>
      </c>
      <c r="G95" s="712">
        <v>308040.0</v>
      </c>
    </row>
    <row r="96" ht="15.75" customHeight="1">
      <c r="A96" s="714" t="s">
        <v>5769</v>
      </c>
      <c r="B96" s="710" t="s">
        <v>5628</v>
      </c>
      <c r="C96" s="711">
        <v>20888.0</v>
      </c>
      <c r="D96" s="710">
        <f t="shared" si="11"/>
        <v>62</v>
      </c>
      <c r="E96" s="710" t="s">
        <v>5629</v>
      </c>
      <c r="F96" s="710" t="s">
        <v>5630</v>
      </c>
      <c r="G96" s="712">
        <v>1017197.0</v>
      </c>
      <c r="J96" s="721" t="s">
        <v>4681</v>
      </c>
      <c r="K96" s="721" t="s">
        <v>4681</v>
      </c>
    </row>
    <row r="97" ht="15.75" customHeight="1">
      <c r="A97" s="466" t="s">
        <v>5770</v>
      </c>
      <c r="B97" s="710" t="s">
        <v>5628</v>
      </c>
      <c r="C97" s="711">
        <v>21799.0</v>
      </c>
      <c r="D97" s="710">
        <f t="shared" si="11"/>
        <v>60</v>
      </c>
      <c r="E97" s="710" t="s">
        <v>5675</v>
      </c>
      <c r="F97" s="710" t="s">
        <v>5630</v>
      </c>
      <c r="G97" s="712">
        <v>71421.48</v>
      </c>
    </row>
    <row r="98" ht="15.75" customHeight="1">
      <c r="A98" s="714" t="s">
        <v>5771</v>
      </c>
      <c r="B98" s="710" t="s">
        <v>5636</v>
      </c>
      <c r="C98" s="711">
        <v>21043.0</v>
      </c>
      <c r="D98" s="710">
        <f t="shared" si="11"/>
        <v>62</v>
      </c>
      <c r="E98" s="710" t="s">
        <v>5721</v>
      </c>
      <c r="F98" s="710" t="s">
        <v>5630</v>
      </c>
      <c r="G98" s="712">
        <v>67969.0</v>
      </c>
      <c r="J98" s="721" t="s">
        <v>4681</v>
      </c>
    </row>
    <row r="99" ht="15.75" customHeight="1">
      <c r="A99" s="714" t="s">
        <v>5772</v>
      </c>
      <c r="B99" s="710" t="s">
        <v>5628</v>
      </c>
      <c r="C99" s="711">
        <v>29136.0</v>
      </c>
      <c r="D99" s="710">
        <f t="shared" si="11"/>
        <v>40</v>
      </c>
      <c r="E99" s="710" t="s">
        <v>5629</v>
      </c>
      <c r="F99" s="710" t="s">
        <v>5630</v>
      </c>
      <c r="G99" s="712">
        <v>62757.0</v>
      </c>
    </row>
    <row r="100" ht="15.75" customHeight="1">
      <c r="A100" s="714" t="s">
        <v>5773</v>
      </c>
      <c r="B100" s="710" t="s">
        <v>5628</v>
      </c>
      <c r="C100" s="711">
        <v>32029.0</v>
      </c>
      <c r="D100" s="710">
        <f t="shared" si="11"/>
        <v>32</v>
      </c>
      <c r="E100" s="710" t="s">
        <v>5629</v>
      </c>
      <c r="F100" s="710" t="s">
        <v>5630</v>
      </c>
      <c r="G100" s="712">
        <f>133946+176866</f>
        <v>310812</v>
      </c>
      <c r="J100" s="721" t="s">
        <v>4681</v>
      </c>
    </row>
    <row r="101" ht="15.75" customHeight="1">
      <c r="A101" s="714" t="s">
        <v>5774</v>
      </c>
      <c r="B101" s="710" t="s">
        <v>5628</v>
      </c>
      <c r="C101" s="711">
        <v>24485.0</v>
      </c>
      <c r="D101" s="710">
        <f t="shared" si="11"/>
        <v>52</v>
      </c>
      <c r="E101" s="710" t="s">
        <v>5673</v>
      </c>
      <c r="F101" s="710" t="s">
        <v>5630</v>
      </c>
      <c r="G101" s="712">
        <v>60784.0</v>
      </c>
    </row>
    <row r="102" ht="15.75" customHeight="1">
      <c r="A102" s="720" t="s">
        <v>5010</v>
      </c>
      <c r="B102" s="710" t="s">
        <v>5636</v>
      </c>
      <c r="C102" s="711">
        <v>21939.0</v>
      </c>
      <c r="D102" s="710">
        <f t="shared" si="11"/>
        <v>59</v>
      </c>
      <c r="E102" s="710" t="s">
        <v>5733</v>
      </c>
      <c r="F102" s="710"/>
      <c r="G102" s="712">
        <v>198476.5</v>
      </c>
    </row>
    <row r="103" ht="15.75" customHeight="1">
      <c r="A103" s="720" t="s">
        <v>5775</v>
      </c>
      <c r="B103" s="710" t="s">
        <v>5628</v>
      </c>
      <c r="C103" s="711">
        <v>27955.0</v>
      </c>
      <c r="D103" s="710">
        <f t="shared" si="11"/>
        <v>43</v>
      </c>
      <c r="E103" s="710" t="s">
        <v>5680</v>
      </c>
      <c r="F103" s="710" t="s">
        <v>5630</v>
      </c>
      <c r="G103" s="712">
        <v>150629.56</v>
      </c>
      <c r="M103" s="721" t="s">
        <v>4681</v>
      </c>
    </row>
    <row r="104" ht="15.75" customHeight="1">
      <c r="A104" s="714" t="s">
        <v>5776</v>
      </c>
      <c r="B104" s="710" t="s">
        <v>5636</v>
      </c>
      <c r="C104" s="711">
        <v>28704.0</v>
      </c>
      <c r="D104" s="710">
        <f t="shared" si="11"/>
        <v>41</v>
      </c>
      <c r="E104" s="710" t="s">
        <v>5640</v>
      </c>
      <c r="F104" s="710" t="s">
        <v>5702</v>
      </c>
      <c r="G104" s="712">
        <v>100118.47</v>
      </c>
      <c r="H104" s="721"/>
      <c r="I104" s="721"/>
    </row>
    <row r="105" ht="15.75" customHeight="1">
      <c r="A105" s="720" t="s">
        <v>5026</v>
      </c>
      <c r="B105" s="710" t="s">
        <v>5636</v>
      </c>
      <c r="C105" s="711">
        <v>29520.0</v>
      </c>
      <c r="D105" s="710">
        <f t="shared" si="11"/>
        <v>39</v>
      </c>
      <c r="E105" s="710" t="s">
        <v>5777</v>
      </c>
      <c r="F105" s="710"/>
      <c r="G105" s="712">
        <v>354808.07</v>
      </c>
      <c r="L105" s="721" t="s">
        <v>4681</v>
      </c>
    </row>
    <row r="106" ht="15.75" customHeight="1">
      <c r="A106" s="466" t="s">
        <v>5778</v>
      </c>
      <c r="B106" s="710" t="s">
        <v>5636</v>
      </c>
      <c r="C106" s="711">
        <v>29544.0</v>
      </c>
      <c r="D106" s="710">
        <f t="shared" si="11"/>
        <v>39</v>
      </c>
      <c r="E106" s="710" t="s">
        <v>5747</v>
      </c>
      <c r="F106" s="710" t="s">
        <v>5630</v>
      </c>
      <c r="G106" s="712">
        <v>103186.0</v>
      </c>
      <c r="K106" s="721" t="s">
        <v>4681</v>
      </c>
    </row>
    <row r="107" ht="15.75" customHeight="1">
      <c r="A107" s="714" t="s">
        <v>5779</v>
      </c>
      <c r="B107" s="710" t="s">
        <v>5636</v>
      </c>
      <c r="C107" s="711">
        <v>21261.0</v>
      </c>
      <c r="D107" s="710">
        <f t="shared" si="11"/>
        <v>61</v>
      </c>
      <c r="E107" s="710" t="s">
        <v>5780</v>
      </c>
      <c r="F107" s="710" t="s">
        <v>5664</v>
      </c>
      <c r="G107" s="712">
        <v>210352.0</v>
      </c>
      <c r="J107" s="721" t="s">
        <v>4681</v>
      </c>
    </row>
    <row r="108" ht="15.75" customHeight="1">
      <c r="A108" s="720" t="s">
        <v>5059</v>
      </c>
      <c r="B108" s="710" t="s">
        <v>5628</v>
      </c>
      <c r="C108" s="711">
        <v>21704.0</v>
      </c>
      <c r="D108" s="710">
        <f t="shared" si="11"/>
        <v>60</v>
      </c>
      <c r="E108" s="710" t="s">
        <v>5673</v>
      </c>
      <c r="F108" s="710"/>
      <c r="G108" s="712">
        <v>518146.65</v>
      </c>
      <c r="K108" s="721" t="s">
        <v>4681</v>
      </c>
    </row>
    <row r="109" ht="15.75" customHeight="1">
      <c r="A109" s="466" t="s">
        <v>5781</v>
      </c>
      <c r="B109" s="710" t="s">
        <v>5636</v>
      </c>
      <c r="C109" s="711">
        <v>21926.0</v>
      </c>
      <c r="D109" s="710">
        <f t="shared" si="11"/>
        <v>59</v>
      </c>
      <c r="E109" s="710" t="s">
        <v>5694</v>
      </c>
      <c r="F109" s="710" t="s">
        <v>5630</v>
      </c>
      <c r="G109" s="712">
        <v>168315.0</v>
      </c>
    </row>
    <row r="110" ht="15.75" customHeight="1">
      <c r="A110" s="714" t="s">
        <v>5782</v>
      </c>
      <c r="B110" s="710" t="s">
        <v>5636</v>
      </c>
      <c r="C110" s="711">
        <v>31805.0</v>
      </c>
      <c r="D110" s="710">
        <f t="shared" si="11"/>
        <v>32</v>
      </c>
      <c r="E110" s="710" t="s">
        <v>5783</v>
      </c>
      <c r="F110" s="710" t="s">
        <v>5630</v>
      </c>
      <c r="G110" s="712">
        <v>123497.0</v>
      </c>
    </row>
    <row r="111" ht="15.75" customHeight="1">
      <c r="A111" s="714" t="s">
        <v>5784</v>
      </c>
      <c r="B111" s="710" t="s">
        <v>5636</v>
      </c>
      <c r="C111" s="711">
        <v>32080.0</v>
      </c>
      <c r="D111" s="710">
        <f t="shared" si="11"/>
        <v>32</v>
      </c>
      <c r="E111" s="710" t="s">
        <v>5657</v>
      </c>
      <c r="F111" s="710" t="s">
        <v>5630</v>
      </c>
      <c r="G111" s="712">
        <v>135476.0</v>
      </c>
    </row>
    <row r="112" ht="15.75" customHeight="1">
      <c r="A112" s="714" t="s">
        <v>5785</v>
      </c>
      <c r="B112" s="710" t="s">
        <v>5636</v>
      </c>
      <c r="C112" s="711">
        <v>32700.0</v>
      </c>
      <c r="D112" s="710">
        <f t="shared" si="11"/>
        <v>30</v>
      </c>
      <c r="E112" s="710" t="s">
        <v>5786</v>
      </c>
      <c r="F112" s="710" t="s">
        <v>5630</v>
      </c>
      <c r="G112" s="712">
        <v>5250.0</v>
      </c>
      <c r="J112" s="721" t="s">
        <v>4681</v>
      </c>
    </row>
    <row r="113" ht="15.75" customHeight="1">
      <c r="A113" s="714" t="s">
        <v>5787</v>
      </c>
      <c r="B113" s="710" t="s">
        <v>5628</v>
      </c>
      <c r="C113" s="711">
        <v>29491.0</v>
      </c>
      <c r="D113" s="710">
        <f t="shared" si="11"/>
        <v>39</v>
      </c>
      <c r="E113" s="710"/>
      <c r="F113" s="710" t="s">
        <v>5630</v>
      </c>
      <c r="G113" s="712">
        <v>61457.0</v>
      </c>
      <c r="J113" s="721" t="s">
        <v>4681</v>
      </c>
    </row>
    <row r="114" ht="15.75" customHeight="1">
      <c r="A114" s="722" t="s">
        <v>5788</v>
      </c>
      <c r="B114" s="710" t="s">
        <v>5628</v>
      </c>
      <c r="C114" s="711">
        <v>20383.0</v>
      </c>
      <c r="D114" s="710">
        <f t="shared" si="11"/>
        <v>64</v>
      </c>
      <c r="E114" s="710" t="s">
        <v>5789</v>
      </c>
      <c r="F114" s="710" t="s">
        <v>5630</v>
      </c>
      <c r="G114" s="712">
        <v>185472.0</v>
      </c>
      <c r="J114" s="721" t="s">
        <v>4681</v>
      </c>
      <c r="K114" s="721" t="s">
        <v>4681</v>
      </c>
    </row>
    <row r="115" ht="15.75" customHeight="1">
      <c r="A115" s="466" t="s">
        <v>5790</v>
      </c>
      <c r="B115" s="710" t="s">
        <v>5628</v>
      </c>
      <c r="C115" s="711">
        <v>36924.0</v>
      </c>
      <c r="D115" s="710">
        <f t="shared" si="11"/>
        <v>18</v>
      </c>
      <c r="E115" s="710" t="s">
        <v>5648</v>
      </c>
      <c r="F115" s="710" t="s">
        <v>5630</v>
      </c>
      <c r="G115" s="712">
        <v>238256.0</v>
      </c>
      <c r="L115" s="721" t="s">
        <v>4681</v>
      </c>
    </row>
    <row r="116" ht="15.75" customHeight="1">
      <c r="A116" s="714" t="s">
        <v>5791</v>
      </c>
      <c r="B116" s="710" t="s">
        <v>5636</v>
      </c>
      <c r="C116" s="711">
        <v>21111.0</v>
      </c>
      <c r="D116" s="710">
        <f t="shared" si="11"/>
        <v>62</v>
      </c>
      <c r="E116" s="710" t="s">
        <v>5694</v>
      </c>
      <c r="F116" s="710" t="s">
        <v>5630</v>
      </c>
      <c r="G116" s="712">
        <v>612317.0</v>
      </c>
    </row>
    <row r="117" ht="15.75" customHeight="1">
      <c r="A117" s="714" t="s">
        <v>5792</v>
      </c>
      <c r="B117" s="710" t="s">
        <v>5628</v>
      </c>
      <c r="C117" s="711">
        <v>24865.0</v>
      </c>
      <c r="D117" s="710">
        <f t="shared" si="11"/>
        <v>51</v>
      </c>
      <c r="E117" s="710" t="s">
        <v>5640</v>
      </c>
      <c r="F117" s="710" t="s">
        <v>5630</v>
      </c>
      <c r="G117" s="712">
        <v>278735.0</v>
      </c>
    </row>
    <row r="118" ht="15.75" customHeight="1">
      <c r="A118" s="720" t="s">
        <v>2328</v>
      </c>
      <c r="B118" s="710" t="s">
        <v>5628</v>
      </c>
      <c r="C118" s="711">
        <v>28041.0</v>
      </c>
      <c r="D118" s="710">
        <f t="shared" si="11"/>
        <v>43</v>
      </c>
      <c r="E118" s="710" t="s">
        <v>5793</v>
      </c>
      <c r="F118" s="710"/>
      <c r="G118" s="712">
        <v>104765.52</v>
      </c>
    </row>
    <row r="119" ht="15.75" customHeight="1">
      <c r="B119" s="727"/>
      <c r="C119" s="727" t="s">
        <v>5794</v>
      </c>
      <c r="D119" s="727"/>
      <c r="E119" s="727" t="s">
        <v>5794</v>
      </c>
      <c r="F119" s="727"/>
      <c r="G119" s="727" t="s">
        <v>5631</v>
      </c>
    </row>
    <row r="120" ht="15.75" customHeight="1">
      <c r="B120" s="727"/>
      <c r="C120" s="727">
        <f>COUNTIF(C2:C118,"")</f>
        <v>5</v>
      </c>
      <c r="D120" s="727"/>
      <c r="E120" s="727">
        <f>COUNTIF(E2:E118,"")</f>
        <v>5</v>
      </c>
      <c r="F120" s="727"/>
      <c r="G120" s="728">
        <f>SUM(G2:G119)</f>
        <v>32577145.17</v>
      </c>
      <c r="J120" s="721" t="s">
        <v>4681</v>
      </c>
    </row>
    <row r="121" ht="15.75" customHeight="1">
      <c r="B121" s="727"/>
      <c r="C121" s="729">
        <v>43833.0</v>
      </c>
      <c r="D121" s="727"/>
      <c r="E121" s="727"/>
      <c r="F121" s="727"/>
    </row>
    <row r="122" ht="15.75" customHeight="1">
      <c r="B122" s="727"/>
      <c r="C122" s="727"/>
      <c r="D122" s="727"/>
      <c r="E122" s="727"/>
      <c r="F122" s="727"/>
    </row>
    <row r="123" ht="15.75" customHeight="1">
      <c r="B123" s="727"/>
      <c r="C123" s="727"/>
      <c r="D123" s="727"/>
      <c r="E123" s="727"/>
      <c r="F123" s="727"/>
    </row>
    <row r="124" ht="15.75" customHeight="1">
      <c r="B124" s="727"/>
      <c r="C124" s="727"/>
      <c r="D124" s="727"/>
      <c r="E124" s="727"/>
      <c r="F124" s="727"/>
    </row>
    <row r="125" ht="15.75" customHeight="1">
      <c r="A125" s="466" t="s">
        <v>5795</v>
      </c>
      <c r="B125" s="716">
        <v>3.262206002E7</v>
      </c>
      <c r="C125" s="716">
        <v>799508.4</v>
      </c>
      <c r="D125" s="716">
        <v>7162789.72</v>
      </c>
      <c r="E125" s="730">
        <f t="shared" ref="E125:E127" si="12">SUM(B125:D125)</f>
        <v>40584358.14</v>
      </c>
      <c r="F125" s="727"/>
    </row>
    <row r="126" ht="15.75" customHeight="1">
      <c r="A126" s="466" t="s">
        <v>5796</v>
      </c>
      <c r="B126" s="716">
        <v>3.50797521E7</v>
      </c>
      <c r="C126" s="716">
        <v>1206943.15</v>
      </c>
      <c r="D126" s="716">
        <v>7539307.39</v>
      </c>
      <c r="E126" s="730">
        <f t="shared" si="12"/>
        <v>43826002.64</v>
      </c>
      <c r="F126" s="727"/>
    </row>
    <row r="127" ht="15.75" customHeight="1">
      <c r="A127" s="466" t="s">
        <v>5797</v>
      </c>
      <c r="B127" s="716">
        <v>3.236243678E7</v>
      </c>
      <c r="C127" s="716">
        <v>1197314.59</v>
      </c>
      <c r="D127" s="716">
        <v>6426195.59</v>
      </c>
      <c r="E127" s="730">
        <f t="shared" si="12"/>
        <v>39985946.96</v>
      </c>
      <c r="F127" s="727"/>
    </row>
    <row r="128" ht="15.75" customHeight="1">
      <c r="B128" s="727"/>
      <c r="C128" s="727"/>
      <c r="D128" s="727"/>
      <c r="E128" s="727"/>
      <c r="F128" s="727"/>
    </row>
    <row r="129" ht="15.75" customHeight="1">
      <c r="B129" s="727"/>
      <c r="C129" s="727"/>
      <c r="D129" s="727"/>
      <c r="E129" s="727"/>
      <c r="F129" s="727"/>
    </row>
    <row r="130" ht="15.75" customHeight="1">
      <c r="B130" s="727"/>
      <c r="C130" s="727"/>
      <c r="D130" s="727"/>
      <c r="E130" s="727"/>
      <c r="F130" s="727"/>
    </row>
    <row r="131" ht="15.75" customHeight="1">
      <c r="B131" s="727"/>
      <c r="C131" s="727"/>
      <c r="D131" s="727"/>
      <c r="E131" s="727"/>
      <c r="F131" s="727"/>
    </row>
    <row r="132" ht="15.75" customHeight="1">
      <c r="B132" s="727"/>
      <c r="C132" s="727"/>
      <c r="D132" s="727"/>
      <c r="E132" s="727"/>
      <c r="F132" s="727"/>
    </row>
    <row r="133" ht="15.75" customHeight="1">
      <c r="B133" s="727"/>
      <c r="C133" s="727"/>
      <c r="D133" s="727"/>
      <c r="E133" s="727"/>
      <c r="F133" s="727"/>
    </row>
    <row r="134" ht="15.75" customHeight="1">
      <c r="B134" s="727"/>
      <c r="C134" s="727"/>
      <c r="D134" s="727"/>
      <c r="E134" s="727"/>
      <c r="F134" s="727"/>
    </row>
    <row r="135" ht="15.75" customHeight="1">
      <c r="B135" s="727"/>
      <c r="C135" s="727"/>
      <c r="D135" s="727"/>
      <c r="E135" s="727"/>
      <c r="F135" s="727"/>
    </row>
    <row r="136" ht="15.75" customHeight="1">
      <c r="B136" s="727"/>
      <c r="C136" s="727"/>
      <c r="D136" s="727"/>
      <c r="E136" s="727"/>
      <c r="F136" s="727"/>
    </row>
    <row r="137" ht="15.75" customHeight="1">
      <c r="B137" s="727"/>
      <c r="C137" s="727"/>
      <c r="D137" s="727"/>
      <c r="E137" s="727"/>
      <c r="F137" s="727"/>
    </row>
    <row r="138" ht="15.75" customHeight="1">
      <c r="B138" s="727"/>
      <c r="C138" s="727"/>
      <c r="D138" s="727"/>
      <c r="E138" s="727"/>
      <c r="F138" s="727"/>
    </row>
    <row r="139" ht="15.75" customHeight="1">
      <c r="B139" s="727"/>
      <c r="C139" s="727"/>
      <c r="D139" s="727"/>
      <c r="E139" s="727"/>
      <c r="F139" s="727"/>
    </row>
    <row r="140" ht="15.75" customHeight="1">
      <c r="B140" s="727"/>
      <c r="C140" s="727"/>
      <c r="D140" s="727"/>
      <c r="E140" s="727"/>
      <c r="F140" s="727"/>
    </row>
    <row r="141" ht="15.75" customHeight="1">
      <c r="B141" s="727"/>
      <c r="C141" s="727"/>
      <c r="D141" s="727"/>
      <c r="E141" s="727"/>
      <c r="F141" s="727"/>
    </row>
    <row r="142" ht="15.75" customHeight="1">
      <c r="B142" s="727"/>
      <c r="C142" s="727"/>
      <c r="D142" s="727"/>
      <c r="E142" s="727"/>
      <c r="F142" s="727"/>
    </row>
    <row r="143" ht="15.75" customHeight="1">
      <c r="B143" s="727"/>
      <c r="C143" s="727"/>
      <c r="D143" s="727"/>
      <c r="E143" s="727"/>
      <c r="F143" s="727"/>
    </row>
    <row r="144" ht="15.75" customHeight="1">
      <c r="B144" s="727"/>
      <c r="C144" s="727"/>
      <c r="D144" s="727"/>
      <c r="E144" s="727"/>
      <c r="F144" s="727"/>
    </row>
    <row r="145" ht="15.75" customHeight="1">
      <c r="B145" s="727"/>
      <c r="C145" s="727"/>
      <c r="D145" s="727"/>
      <c r="E145" s="727"/>
      <c r="F145" s="727"/>
    </row>
    <row r="146" ht="15.75" customHeight="1">
      <c r="B146" s="727"/>
      <c r="C146" s="727"/>
      <c r="D146" s="727"/>
      <c r="E146" s="727"/>
      <c r="F146" s="727"/>
    </row>
    <row r="147" ht="15.75" customHeight="1">
      <c r="B147" s="727"/>
      <c r="C147" s="727"/>
      <c r="D147" s="727"/>
      <c r="E147" s="727"/>
      <c r="F147" s="727"/>
    </row>
    <row r="148" ht="15.75" customHeight="1">
      <c r="B148" s="727"/>
      <c r="C148" s="727"/>
      <c r="D148" s="727"/>
      <c r="E148" s="727"/>
      <c r="F148" s="727"/>
    </row>
    <row r="149" ht="15.75" customHeight="1">
      <c r="B149" s="727"/>
      <c r="C149" s="727"/>
      <c r="D149" s="727"/>
      <c r="E149" s="727"/>
      <c r="F149" s="727"/>
    </row>
    <row r="150" ht="15.75" customHeight="1">
      <c r="B150" s="727"/>
      <c r="C150" s="727"/>
      <c r="D150" s="727"/>
      <c r="E150" s="727"/>
      <c r="F150" s="727"/>
    </row>
    <row r="151" ht="15.75" customHeight="1">
      <c r="B151" s="727"/>
      <c r="C151" s="727"/>
      <c r="D151" s="727"/>
      <c r="E151" s="727"/>
      <c r="F151" s="727"/>
    </row>
    <row r="152" ht="15.75" customHeight="1">
      <c r="B152" s="727"/>
      <c r="C152" s="727"/>
      <c r="D152" s="727"/>
      <c r="E152" s="727"/>
      <c r="F152" s="727"/>
    </row>
    <row r="153" ht="15.75" customHeight="1">
      <c r="B153" s="727"/>
      <c r="C153" s="727"/>
      <c r="D153" s="727"/>
      <c r="E153" s="727"/>
      <c r="F153" s="727"/>
    </row>
    <row r="154" ht="15.75" customHeight="1">
      <c r="B154" s="727"/>
      <c r="C154" s="727"/>
      <c r="D154" s="727"/>
      <c r="E154" s="727"/>
      <c r="F154" s="727"/>
    </row>
    <row r="155" ht="15.75" customHeight="1">
      <c r="B155" s="727"/>
      <c r="C155" s="727"/>
      <c r="D155" s="727"/>
      <c r="E155" s="727"/>
      <c r="F155" s="727"/>
    </row>
    <row r="156" ht="15.75" customHeight="1">
      <c r="B156" s="727"/>
      <c r="C156" s="727"/>
      <c r="D156" s="727"/>
      <c r="E156" s="727"/>
      <c r="F156" s="727"/>
    </row>
    <row r="157" ht="15.75" customHeight="1">
      <c r="B157" s="727"/>
      <c r="C157" s="727"/>
      <c r="D157" s="727"/>
      <c r="E157" s="727"/>
      <c r="F157" s="727"/>
    </row>
    <row r="158" ht="15.75" customHeight="1">
      <c r="B158" s="727"/>
      <c r="C158" s="727"/>
      <c r="D158" s="727"/>
      <c r="E158" s="727"/>
      <c r="F158" s="727"/>
    </row>
    <row r="159" ht="15.75" customHeight="1">
      <c r="B159" s="727"/>
      <c r="C159" s="727"/>
      <c r="D159" s="727"/>
      <c r="E159" s="727"/>
      <c r="F159" s="727"/>
    </row>
    <row r="160" ht="15.75" customHeight="1">
      <c r="B160" s="727"/>
      <c r="C160" s="727"/>
      <c r="D160" s="727"/>
      <c r="E160" s="727"/>
      <c r="F160" s="727"/>
    </row>
    <row r="161" ht="15.75" customHeight="1">
      <c r="B161" s="727"/>
      <c r="C161" s="727"/>
      <c r="D161" s="727"/>
      <c r="E161" s="727"/>
      <c r="F161" s="727"/>
    </row>
    <row r="162" ht="15.75" customHeight="1">
      <c r="B162" s="727"/>
      <c r="C162" s="727"/>
      <c r="D162" s="727"/>
      <c r="E162" s="727"/>
      <c r="F162" s="727"/>
    </row>
    <row r="163" ht="15.75" customHeight="1">
      <c r="B163" s="727"/>
      <c r="C163" s="727"/>
      <c r="D163" s="727"/>
      <c r="E163" s="727"/>
      <c r="F163" s="727"/>
    </row>
    <row r="164" ht="15.75" customHeight="1">
      <c r="B164" s="727"/>
      <c r="C164" s="727"/>
      <c r="D164" s="727"/>
      <c r="E164" s="727"/>
      <c r="F164" s="727"/>
    </row>
    <row r="165" ht="15.75" customHeight="1">
      <c r="B165" s="727"/>
      <c r="C165" s="727"/>
      <c r="D165" s="727"/>
      <c r="E165" s="727"/>
      <c r="F165" s="727"/>
    </row>
    <row r="166" ht="15.75" customHeight="1">
      <c r="B166" s="727"/>
      <c r="C166" s="727"/>
      <c r="D166" s="727"/>
      <c r="E166" s="727"/>
      <c r="F166" s="727"/>
    </row>
    <row r="167" ht="15.75" customHeight="1">
      <c r="B167" s="727"/>
      <c r="C167" s="727"/>
      <c r="D167" s="727"/>
      <c r="E167" s="727"/>
      <c r="F167" s="727"/>
    </row>
    <row r="168" ht="15.75" customHeight="1">
      <c r="B168" s="727"/>
      <c r="C168" s="727"/>
      <c r="D168" s="727"/>
      <c r="E168" s="727"/>
      <c r="F168" s="727"/>
    </row>
    <row r="169" ht="15.75" customHeight="1">
      <c r="B169" s="727"/>
      <c r="C169" s="727"/>
      <c r="D169" s="727"/>
      <c r="E169" s="727"/>
      <c r="F169" s="727"/>
    </row>
    <row r="170" ht="15.75" customHeight="1">
      <c r="B170" s="727"/>
      <c r="C170" s="727"/>
      <c r="D170" s="727"/>
      <c r="E170" s="727"/>
      <c r="F170" s="727"/>
    </row>
    <row r="171" ht="15.75" customHeight="1">
      <c r="B171" s="727"/>
      <c r="C171" s="727"/>
      <c r="D171" s="727"/>
      <c r="E171" s="727"/>
      <c r="F171" s="727"/>
    </row>
    <row r="172" ht="15.75" customHeight="1">
      <c r="B172" s="727"/>
      <c r="C172" s="727"/>
      <c r="D172" s="727"/>
      <c r="E172" s="727"/>
      <c r="F172" s="727"/>
    </row>
    <row r="173" ht="15.75" customHeight="1">
      <c r="B173" s="727"/>
      <c r="C173" s="727"/>
      <c r="D173" s="727"/>
      <c r="E173" s="727"/>
      <c r="F173" s="727"/>
    </row>
    <row r="174" ht="15.75" customHeight="1">
      <c r="B174" s="727"/>
      <c r="C174" s="727"/>
      <c r="D174" s="727"/>
      <c r="E174" s="727"/>
      <c r="F174" s="727"/>
    </row>
    <row r="175" ht="15.75" customHeight="1">
      <c r="B175" s="727"/>
      <c r="C175" s="727"/>
      <c r="D175" s="727"/>
      <c r="E175" s="727"/>
      <c r="F175" s="727"/>
    </row>
    <row r="176" ht="15.75" customHeight="1">
      <c r="B176" s="727"/>
      <c r="C176" s="727"/>
      <c r="D176" s="727"/>
      <c r="E176" s="727"/>
      <c r="F176" s="727"/>
    </row>
    <row r="177" ht="15.75" customHeight="1">
      <c r="B177" s="727"/>
      <c r="C177" s="727"/>
      <c r="D177" s="727"/>
      <c r="E177" s="727"/>
      <c r="F177" s="727"/>
    </row>
    <row r="178" ht="15.75" customHeight="1">
      <c r="B178" s="727"/>
      <c r="C178" s="727"/>
      <c r="D178" s="727"/>
      <c r="E178" s="727"/>
      <c r="F178" s="727"/>
    </row>
    <row r="179" ht="15.75" customHeight="1">
      <c r="B179" s="727"/>
      <c r="C179" s="727"/>
      <c r="D179" s="727"/>
      <c r="E179" s="727"/>
      <c r="F179" s="727"/>
    </row>
    <row r="180" ht="15.75" customHeight="1">
      <c r="B180" s="727"/>
      <c r="C180" s="727"/>
      <c r="D180" s="727"/>
      <c r="E180" s="727"/>
      <c r="F180" s="727"/>
    </row>
    <row r="181" ht="15.75" customHeight="1">
      <c r="B181" s="727"/>
      <c r="C181" s="727"/>
      <c r="D181" s="727"/>
      <c r="E181" s="727"/>
      <c r="F181" s="727"/>
    </row>
    <row r="182" ht="15.75" customHeight="1">
      <c r="B182" s="727"/>
      <c r="C182" s="727"/>
      <c r="D182" s="727"/>
      <c r="E182" s="727"/>
      <c r="F182" s="727"/>
    </row>
    <row r="183" ht="15.75" customHeight="1">
      <c r="B183" s="727"/>
      <c r="C183" s="727"/>
      <c r="D183" s="727"/>
      <c r="E183" s="727"/>
      <c r="F183" s="727"/>
    </row>
    <row r="184" ht="15.75" customHeight="1">
      <c r="B184" s="727"/>
      <c r="C184" s="727"/>
      <c r="D184" s="727"/>
      <c r="E184" s="727"/>
      <c r="F184" s="727"/>
    </row>
    <row r="185" ht="15.75" customHeight="1">
      <c r="B185" s="727"/>
      <c r="C185" s="727"/>
      <c r="D185" s="727"/>
      <c r="E185" s="727"/>
      <c r="F185" s="727"/>
    </row>
    <row r="186" ht="15.75" customHeight="1">
      <c r="B186" s="727"/>
      <c r="C186" s="727"/>
      <c r="D186" s="727"/>
      <c r="E186" s="727"/>
      <c r="F186" s="727"/>
    </row>
    <row r="187" ht="15.75" customHeight="1">
      <c r="B187" s="727"/>
      <c r="C187" s="727"/>
      <c r="D187" s="727"/>
      <c r="E187" s="727"/>
      <c r="F187" s="727"/>
    </row>
    <row r="188" ht="15.75" customHeight="1">
      <c r="B188" s="727"/>
      <c r="C188" s="727"/>
      <c r="D188" s="727"/>
      <c r="E188" s="727"/>
      <c r="F188" s="727"/>
    </row>
    <row r="189" ht="15.75" customHeight="1">
      <c r="B189" s="727"/>
      <c r="C189" s="727"/>
      <c r="D189" s="727"/>
      <c r="E189" s="727"/>
      <c r="F189" s="727"/>
    </row>
    <row r="190" ht="15.75" customHeight="1">
      <c r="B190" s="727"/>
      <c r="C190" s="727"/>
      <c r="D190" s="727"/>
      <c r="E190" s="727"/>
      <c r="F190" s="727"/>
    </row>
    <row r="191" ht="15.75" customHeight="1">
      <c r="B191" s="727"/>
      <c r="C191" s="727"/>
      <c r="D191" s="727"/>
      <c r="E191" s="727"/>
      <c r="F191" s="727"/>
    </row>
    <row r="192" ht="15.75" customHeight="1">
      <c r="B192" s="727"/>
      <c r="C192" s="727"/>
      <c r="D192" s="727"/>
      <c r="E192" s="727"/>
      <c r="F192" s="727"/>
    </row>
    <row r="193" ht="15.75" customHeight="1">
      <c r="B193" s="727"/>
      <c r="C193" s="727"/>
      <c r="D193" s="727"/>
      <c r="E193" s="727"/>
      <c r="F193" s="727"/>
    </row>
    <row r="194" ht="15.75" customHeight="1">
      <c r="B194" s="727"/>
      <c r="C194" s="727"/>
      <c r="D194" s="727"/>
      <c r="E194" s="727"/>
      <c r="F194" s="727"/>
    </row>
    <row r="195" ht="15.75" customHeight="1">
      <c r="B195" s="727"/>
      <c r="C195" s="727"/>
      <c r="D195" s="727"/>
      <c r="E195" s="727"/>
      <c r="F195" s="727"/>
    </row>
    <row r="196" ht="15.75" customHeight="1">
      <c r="B196" s="727"/>
      <c r="C196" s="727"/>
      <c r="D196" s="727"/>
      <c r="E196" s="727"/>
      <c r="F196" s="727"/>
    </row>
    <row r="197" ht="15.75" customHeight="1">
      <c r="B197" s="727"/>
      <c r="C197" s="727"/>
      <c r="D197" s="727"/>
      <c r="E197" s="727"/>
      <c r="F197" s="727"/>
    </row>
    <row r="198" ht="15.75" customHeight="1">
      <c r="B198" s="727"/>
      <c r="C198" s="727"/>
      <c r="D198" s="727"/>
      <c r="E198" s="727"/>
      <c r="F198" s="727"/>
    </row>
    <row r="199" ht="15.75" customHeight="1">
      <c r="B199" s="727"/>
      <c r="C199" s="727"/>
      <c r="D199" s="727"/>
      <c r="E199" s="727"/>
      <c r="F199" s="727"/>
    </row>
    <row r="200" ht="15.75" customHeight="1">
      <c r="B200" s="727"/>
      <c r="C200" s="727"/>
      <c r="D200" s="727"/>
      <c r="E200" s="727"/>
      <c r="F200" s="727"/>
    </row>
    <row r="201" ht="15.75" customHeight="1">
      <c r="B201" s="727"/>
      <c r="C201" s="727"/>
      <c r="D201" s="727"/>
      <c r="E201" s="727"/>
      <c r="F201" s="727"/>
    </row>
    <row r="202" ht="15.75" customHeight="1">
      <c r="B202" s="727"/>
      <c r="C202" s="727"/>
      <c r="D202" s="727"/>
      <c r="E202" s="727"/>
      <c r="F202" s="727"/>
    </row>
    <row r="203" ht="15.75" customHeight="1">
      <c r="B203" s="727"/>
      <c r="C203" s="727"/>
      <c r="D203" s="727"/>
      <c r="E203" s="727"/>
      <c r="F203" s="727"/>
    </row>
    <row r="204" ht="15.75" customHeight="1">
      <c r="B204" s="727"/>
      <c r="C204" s="727"/>
      <c r="D204" s="727"/>
      <c r="E204" s="727"/>
      <c r="F204" s="727"/>
    </row>
    <row r="205" ht="15.75" customHeight="1">
      <c r="B205" s="727"/>
      <c r="C205" s="727"/>
      <c r="D205" s="727"/>
      <c r="E205" s="727"/>
      <c r="F205" s="727"/>
    </row>
    <row r="206" ht="15.75" customHeight="1">
      <c r="B206" s="727"/>
      <c r="C206" s="727"/>
      <c r="D206" s="727"/>
      <c r="E206" s="727"/>
      <c r="F206" s="727"/>
    </row>
    <row r="207" ht="15.75" customHeight="1">
      <c r="B207" s="727"/>
      <c r="C207" s="727"/>
      <c r="D207" s="727"/>
      <c r="E207" s="727"/>
      <c r="F207" s="727"/>
    </row>
    <row r="208" ht="15.75" customHeight="1">
      <c r="B208" s="727"/>
      <c r="C208" s="727"/>
      <c r="D208" s="727"/>
      <c r="E208" s="727"/>
      <c r="F208" s="727"/>
    </row>
    <row r="209" ht="15.75" customHeight="1">
      <c r="B209" s="727"/>
      <c r="C209" s="727"/>
      <c r="D209" s="727"/>
      <c r="E209" s="727"/>
      <c r="F209" s="727"/>
    </row>
    <row r="210" ht="15.75" customHeight="1">
      <c r="B210" s="727"/>
      <c r="C210" s="727"/>
      <c r="D210" s="727"/>
      <c r="E210" s="727"/>
      <c r="F210" s="727"/>
    </row>
    <row r="211" ht="15.75" customHeight="1">
      <c r="B211" s="727"/>
      <c r="C211" s="727"/>
      <c r="D211" s="727"/>
      <c r="E211" s="727"/>
      <c r="F211" s="727"/>
    </row>
    <row r="212" ht="15.75" customHeight="1">
      <c r="B212" s="727"/>
      <c r="C212" s="727"/>
      <c r="D212" s="727"/>
      <c r="E212" s="727"/>
      <c r="F212" s="727"/>
    </row>
    <row r="213" ht="15.75" customHeight="1">
      <c r="B213" s="727"/>
      <c r="C213" s="727"/>
      <c r="D213" s="727"/>
      <c r="E213" s="727"/>
      <c r="F213" s="727"/>
    </row>
    <row r="214" ht="15.75" customHeight="1">
      <c r="B214" s="727"/>
      <c r="C214" s="727"/>
      <c r="D214" s="727"/>
      <c r="E214" s="727"/>
      <c r="F214" s="727"/>
    </row>
    <row r="215" ht="15.75" customHeight="1">
      <c r="B215" s="727"/>
      <c r="C215" s="727"/>
      <c r="D215" s="727"/>
      <c r="E215" s="727"/>
      <c r="F215" s="727"/>
    </row>
    <row r="216" ht="15.75" customHeight="1">
      <c r="B216" s="727"/>
      <c r="C216" s="727"/>
      <c r="D216" s="727"/>
      <c r="E216" s="727"/>
      <c r="F216" s="727"/>
    </row>
    <row r="217" ht="15.75" customHeight="1">
      <c r="B217" s="727"/>
      <c r="C217" s="727"/>
      <c r="D217" s="727"/>
      <c r="E217" s="727"/>
      <c r="F217" s="727"/>
    </row>
    <row r="218" ht="15.75" customHeight="1">
      <c r="B218" s="727"/>
      <c r="C218" s="727"/>
      <c r="D218" s="727"/>
      <c r="E218" s="727"/>
      <c r="F218" s="727"/>
    </row>
    <row r="219" ht="15.75" customHeight="1">
      <c r="B219" s="727"/>
      <c r="C219" s="727"/>
      <c r="D219" s="727"/>
      <c r="E219" s="727"/>
      <c r="F219" s="727"/>
    </row>
    <row r="220" ht="15.75" customHeight="1">
      <c r="B220" s="727"/>
      <c r="C220" s="727"/>
      <c r="D220" s="727"/>
      <c r="E220" s="727"/>
      <c r="F220" s="727"/>
    </row>
    <row r="221" ht="15.75" customHeight="1">
      <c r="B221" s="727"/>
      <c r="C221" s="727"/>
      <c r="D221" s="727"/>
      <c r="E221" s="727"/>
      <c r="F221" s="727"/>
    </row>
    <row r="222" ht="15.75" customHeight="1">
      <c r="B222" s="727"/>
      <c r="C222" s="727"/>
      <c r="D222" s="727"/>
      <c r="E222" s="727"/>
      <c r="F222" s="727"/>
    </row>
    <row r="223" ht="15.75" customHeight="1">
      <c r="B223" s="727"/>
      <c r="C223" s="727"/>
      <c r="D223" s="727"/>
      <c r="E223" s="727"/>
      <c r="F223" s="727"/>
    </row>
    <row r="224" ht="15.75" customHeight="1">
      <c r="B224" s="727"/>
      <c r="C224" s="727"/>
      <c r="D224" s="727"/>
      <c r="E224" s="727"/>
      <c r="F224" s="727"/>
    </row>
    <row r="225" ht="15.75" customHeight="1">
      <c r="B225" s="727"/>
      <c r="C225" s="727"/>
      <c r="D225" s="727"/>
      <c r="E225" s="727"/>
      <c r="F225" s="727"/>
    </row>
    <row r="226" ht="15.75" customHeight="1">
      <c r="B226" s="727"/>
      <c r="C226" s="727"/>
      <c r="D226" s="727"/>
      <c r="E226" s="727"/>
      <c r="F226" s="727"/>
    </row>
    <row r="227" ht="15.75" customHeight="1">
      <c r="B227" s="727"/>
      <c r="C227" s="727"/>
      <c r="D227" s="727"/>
      <c r="E227" s="727"/>
      <c r="F227" s="727"/>
    </row>
    <row r="228" ht="15.75" customHeight="1">
      <c r="B228" s="727"/>
      <c r="C228" s="727"/>
      <c r="D228" s="727"/>
      <c r="E228" s="727"/>
      <c r="F228" s="727"/>
    </row>
    <row r="229" ht="15.75" customHeight="1">
      <c r="B229" s="727"/>
      <c r="C229" s="727"/>
      <c r="D229" s="727"/>
      <c r="E229" s="727"/>
      <c r="F229" s="727"/>
    </row>
    <row r="230" ht="15.75" customHeight="1">
      <c r="B230" s="727"/>
      <c r="C230" s="727"/>
      <c r="D230" s="727"/>
      <c r="E230" s="727"/>
      <c r="F230" s="727"/>
    </row>
    <row r="231" ht="15.75" customHeight="1">
      <c r="B231" s="727"/>
      <c r="C231" s="727"/>
      <c r="D231" s="727"/>
      <c r="E231" s="727"/>
      <c r="F231" s="727"/>
    </row>
    <row r="232" ht="15.75" customHeight="1">
      <c r="B232" s="727"/>
      <c r="C232" s="727"/>
      <c r="D232" s="727"/>
      <c r="E232" s="727"/>
      <c r="F232" s="727"/>
    </row>
    <row r="233" ht="15.75" customHeight="1">
      <c r="B233" s="727"/>
      <c r="C233" s="727"/>
      <c r="D233" s="727"/>
      <c r="E233" s="727"/>
      <c r="F233" s="727"/>
    </row>
    <row r="234" ht="15.75" customHeight="1">
      <c r="B234" s="727"/>
      <c r="C234" s="727"/>
      <c r="D234" s="727"/>
      <c r="E234" s="727"/>
      <c r="F234" s="727"/>
    </row>
    <row r="235" ht="15.75" customHeight="1">
      <c r="B235" s="727"/>
      <c r="C235" s="727"/>
      <c r="D235" s="727"/>
      <c r="E235" s="727"/>
      <c r="F235" s="727"/>
    </row>
    <row r="236" ht="15.75" customHeight="1">
      <c r="B236" s="727"/>
      <c r="C236" s="727"/>
      <c r="D236" s="727"/>
      <c r="E236" s="727"/>
      <c r="F236" s="727"/>
    </row>
    <row r="237" ht="15.75" customHeight="1">
      <c r="B237" s="727"/>
      <c r="C237" s="727"/>
      <c r="D237" s="727"/>
      <c r="E237" s="727"/>
      <c r="F237" s="727"/>
    </row>
    <row r="238" ht="15.75" customHeight="1">
      <c r="B238" s="727"/>
      <c r="C238" s="727"/>
      <c r="D238" s="727"/>
      <c r="E238" s="727"/>
      <c r="F238" s="727"/>
    </row>
    <row r="239" ht="15.75" customHeight="1">
      <c r="B239" s="727"/>
      <c r="C239" s="727"/>
      <c r="D239" s="727"/>
      <c r="E239" s="727"/>
      <c r="F239" s="727"/>
    </row>
    <row r="240" ht="15.75" customHeight="1">
      <c r="B240" s="727"/>
      <c r="C240" s="727"/>
      <c r="D240" s="727"/>
      <c r="E240" s="727"/>
      <c r="F240" s="727"/>
    </row>
    <row r="241" ht="15.75" customHeight="1">
      <c r="B241" s="727"/>
      <c r="C241" s="727"/>
      <c r="D241" s="727"/>
      <c r="E241" s="727"/>
      <c r="F241" s="727"/>
    </row>
    <row r="242" ht="15.75" customHeight="1">
      <c r="B242" s="727"/>
      <c r="C242" s="727"/>
      <c r="D242" s="727"/>
      <c r="E242" s="727"/>
      <c r="F242" s="727"/>
    </row>
    <row r="243" ht="15.75" customHeight="1">
      <c r="B243" s="727"/>
      <c r="C243" s="727"/>
      <c r="D243" s="727"/>
      <c r="E243" s="727"/>
      <c r="F243" s="727"/>
    </row>
    <row r="244" ht="15.75" customHeight="1">
      <c r="B244" s="727"/>
      <c r="C244" s="727"/>
      <c r="D244" s="727"/>
      <c r="E244" s="727"/>
      <c r="F244" s="727"/>
    </row>
    <row r="245" ht="15.75" customHeight="1">
      <c r="B245" s="727"/>
      <c r="C245" s="727"/>
      <c r="D245" s="727"/>
      <c r="E245" s="727"/>
      <c r="F245" s="727"/>
    </row>
    <row r="246" ht="15.75" customHeight="1">
      <c r="B246" s="727"/>
      <c r="C246" s="727"/>
      <c r="D246" s="727"/>
      <c r="E246" s="727"/>
      <c r="F246" s="727"/>
    </row>
    <row r="247" ht="15.75" customHeight="1">
      <c r="B247" s="727"/>
      <c r="C247" s="727"/>
      <c r="D247" s="727"/>
      <c r="E247" s="727"/>
      <c r="F247" s="727"/>
    </row>
    <row r="248" ht="15.75" customHeight="1">
      <c r="B248" s="727"/>
      <c r="C248" s="727"/>
      <c r="D248" s="727"/>
      <c r="E248" s="727"/>
      <c r="F248" s="727"/>
    </row>
    <row r="249" ht="15.75" customHeight="1">
      <c r="B249" s="727"/>
      <c r="C249" s="727"/>
      <c r="D249" s="727"/>
      <c r="E249" s="727"/>
      <c r="F249" s="727"/>
    </row>
    <row r="250" ht="15.75" customHeight="1">
      <c r="B250" s="727"/>
      <c r="C250" s="727"/>
      <c r="D250" s="727"/>
      <c r="E250" s="727"/>
      <c r="F250" s="727"/>
    </row>
    <row r="251" ht="15.75" customHeight="1">
      <c r="B251" s="727"/>
      <c r="C251" s="727"/>
      <c r="D251" s="727"/>
      <c r="E251" s="727"/>
      <c r="F251" s="727"/>
    </row>
    <row r="252" ht="15.75" customHeight="1">
      <c r="B252" s="727"/>
      <c r="C252" s="727"/>
      <c r="D252" s="727"/>
      <c r="E252" s="727"/>
      <c r="F252" s="727"/>
    </row>
    <row r="253" ht="15.75" customHeight="1">
      <c r="B253" s="727"/>
      <c r="C253" s="727"/>
      <c r="D253" s="727"/>
      <c r="E253" s="727"/>
      <c r="F253" s="727"/>
    </row>
    <row r="254" ht="15.75" customHeight="1">
      <c r="B254" s="727"/>
      <c r="C254" s="727"/>
      <c r="D254" s="727"/>
      <c r="E254" s="727"/>
      <c r="F254" s="727"/>
    </row>
    <row r="255" ht="15.75" customHeight="1">
      <c r="B255" s="727"/>
      <c r="C255" s="727"/>
      <c r="D255" s="727"/>
      <c r="E255" s="727"/>
      <c r="F255" s="727"/>
    </row>
    <row r="256" ht="15.75" customHeight="1">
      <c r="B256" s="727"/>
      <c r="C256" s="727"/>
      <c r="D256" s="727"/>
      <c r="E256" s="727"/>
      <c r="F256" s="727"/>
    </row>
    <row r="257" ht="15.75" customHeight="1">
      <c r="B257" s="727"/>
      <c r="C257" s="727"/>
      <c r="D257" s="727"/>
      <c r="E257" s="727"/>
      <c r="F257" s="727"/>
    </row>
    <row r="258" ht="15.75" customHeight="1">
      <c r="B258" s="727"/>
      <c r="C258" s="727"/>
      <c r="D258" s="727"/>
      <c r="E258" s="727"/>
      <c r="F258" s="727"/>
    </row>
    <row r="259" ht="15.75" customHeight="1">
      <c r="B259" s="727"/>
      <c r="C259" s="727"/>
      <c r="D259" s="727"/>
      <c r="E259" s="727"/>
      <c r="F259" s="727"/>
    </row>
    <row r="260" ht="15.75" customHeight="1">
      <c r="B260" s="727"/>
      <c r="C260" s="727"/>
      <c r="D260" s="727"/>
      <c r="E260" s="727"/>
      <c r="F260" s="727"/>
    </row>
    <row r="261" ht="15.75" customHeight="1">
      <c r="B261" s="727"/>
      <c r="C261" s="727"/>
      <c r="D261" s="727"/>
      <c r="E261" s="727"/>
      <c r="F261" s="727"/>
    </row>
    <row r="262" ht="15.75" customHeight="1">
      <c r="B262" s="727"/>
      <c r="C262" s="727"/>
      <c r="D262" s="727"/>
      <c r="E262" s="727"/>
      <c r="F262" s="727"/>
    </row>
    <row r="263" ht="15.75" customHeight="1">
      <c r="B263" s="727"/>
      <c r="C263" s="727"/>
      <c r="D263" s="727"/>
      <c r="E263" s="727"/>
      <c r="F263" s="727"/>
    </row>
    <row r="264" ht="15.75" customHeight="1">
      <c r="B264" s="727"/>
      <c r="C264" s="727"/>
      <c r="D264" s="727"/>
      <c r="E264" s="727"/>
      <c r="F264" s="727"/>
    </row>
    <row r="265" ht="15.75" customHeight="1">
      <c r="B265" s="727"/>
      <c r="C265" s="727"/>
      <c r="D265" s="727"/>
      <c r="E265" s="727"/>
      <c r="F265" s="727"/>
    </row>
    <row r="266" ht="15.75" customHeight="1">
      <c r="B266" s="727"/>
      <c r="C266" s="727"/>
      <c r="D266" s="727"/>
      <c r="E266" s="727"/>
      <c r="F266" s="727"/>
    </row>
    <row r="267" ht="15.75" customHeight="1">
      <c r="B267" s="727"/>
      <c r="C267" s="727"/>
      <c r="D267" s="727"/>
      <c r="E267" s="727"/>
      <c r="F267" s="727"/>
    </row>
    <row r="268" ht="15.75" customHeight="1">
      <c r="B268" s="727"/>
      <c r="C268" s="727"/>
      <c r="D268" s="727"/>
      <c r="E268" s="727"/>
      <c r="F268" s="727"/>
    </row>
    <row r="269" ht="15.75" customHeight="1">
      <c r="B269" s="727"/>
      <c r="C269" s="727"/>
      <c r="D269" s="727"/>
      <c r="E269" s="727"/>
      <c r="F269" s="727"/>
    </row>
    <row r="270" ht="15.75" customHeight="1">
      <c r="B270" s="727"/>
      <c r="C270" s="727"/>
      <c r="D270" s="727"/>
      <c r="E270" s="727"/>
      <c r="F270" s="727"/>
    </row>
    <row r="271" ht="15.75" customHeight="1">
      <c r="B271" s="727"/>
      <c r="C271" s="727"/>
      <c r="D271" s="727"/>
      <c r="E271" s="727"/>
      <c r="F271" s="727"/>
    </row>
    <row r="272" ht="15.75" customHeight="1">
      <c r="B272" s="727"/>
      <c r="C272" s="727"/>
      <c r="D272" s="727"/>
      <c r="E272" s="727"/>
      <c r="F272" s="727"/>
    </row>
    <row r="273" ht="15.75" customHeight="1">
      <c r="B273" s="727"/>
      <c r="C273" s="727"/>
      <c r="D273" s="727"/>
      <c r="E273" s="727"/>
      <c r="F273" s="727"/>
    </row>
    <row r="274" ht="15.75" customHeight="1">
      <c r="B274" s="727"/>
      <c r="C274" s="727"/>
      <c r="D274" s="727"/>
      <c r="E274" s="727"/>
      <c r="F274" s="727"/>
    </row>
    <row r="275" ht="15.75" customHeight="1">
      <c r="B275" s="727"/>
      <c r="C275" s="727"/>
      <c r="D275" s="727"/>
      <c r="E275" s="727"/>
      <c r="F275" s="727"/>
    </row>
    <row r="276" ht="15.75" customHeight="1">
      <c r="B276" s="727"/>
      <c r="C276" s="727"/>
      <c r="D276" s="727"/>
      <c r="E276" s="727"/>
      <c r="F276" s="727"/>
    </row>
    <row r="277" ht="15.75" customHeight="1">
      <c r="B277" s="727"/>
      <c r="C277" s="727"/>
      <c r="D277" s="727"/>
      <c r="E277" s="727"/>
      <c r="F277" s="727"/>
    </row>
    <row r="278" ht="15.75" customHeight="1">
      <c r="B278" s="727"/>
      <c r="C278" s="727"/>
      <c r="D278" s="727"/>
      <c r="E278" s="727"/>
      <c r="F278" s="727"/>
    </row>
    <row r="279" ht="15.75" customHeight="1">
      <c r="B279" s="727"/>
      <c r="C279" s="727"/>
      <c r="D279" s="727"/>
      <c r="E279" s="727"/>
      <c r="F279" s="727"/>
    </row>
    <row r="280" ht="15.75" customHeight="1">
      <c r="B280" s="727"/>
      <c r="C280" s="727"/>
      <c r="D280" s="727"/>
      <c r="E280" s="727"/>
      <c r="F280" s="727"/>
    </row>
    <row r="281" ht="15.75" customHeight="1">
      <c r="B281" s="727"/>
      <c r="C281" s="727"/>
      <c r="D281" s="727"/>
      <c r="E281" s="727"/>
      <c r="F281" s="727"/>
    </row>
    <row r="282" ht="15.75" customHeight="1">
      <c r="B282" s="727"/>
      <c r="C282" s="727"/>
      <c r="D282" s="727"/>
      <c r="E282" s="727"/>
      <c r="F282" s="727"/>
    </row>
    <row r="283" ht="15.75" customHeight="1">
      <c r="B283" s="727"/>
      <c r="C283" s="727"/>
      <c r="D283" s="727"/>
      <c r="E283" s="727"/>
      <c r="F283" s="727"/>
    </row>
    <row r="284" ht="15.75" customHeight="1">
      <c r="B284" s="727"/>
      <c r="C284" s="727"/>
      <c r="D284" s="727"/>
      <c r="E284" s="727"/>
      <c r="F284" s="727"/>
    </row>
    <row r="285" ht="15.75" customHeight="1">
      <c r="B285" s="727"/>
      <c r="C285" s="727"/>
      <c r="D285" s="727"/>
      <c r="E285" s="727"/>
      <c r="F285" s="727"/>
    </row>
    <row r="286" ht="15.75" customHeight="1">
      <c r="B286" s="727"/>
      <c r="C286" s="727"/>
      <c r="D286" s="727"/>
      <c r="E286" s="727"/>
      <c r="F286" s="727"/>
    </row>
    <row r="287" ht="15.75" customHeight="1">
      <c r="B287" s="727"/>
      <c r="C287" s="727"/>
      <c r="D287" s="727"/>
      <c r="E287" s="727"/>
      <c r="F287" s="727"/>
    </row>
    <row r="288" ht="15.75" customHeight="1">
      <c r="B288" s="727"/>
      <c r="C288" s="727"/>
      <c r="D288" s="727"/>
      <c r="E288" s="727"/>
      <c r="F288" s="727"/>
    </row>
    <row r="289" ht="15.75" customHeight="1">
      <c r="B289" s="727"/>
      <c r="C289" s="727"/>
      <c r="D289" s="727"/>
      <c r="E289" s="727"/>
      <c r="F289" s="727"/>
    </row>
    <row r="290" ht="15.75" customHeight="1">
      <c r="B290" s="727"/>
      <c r="C290" s="727"/>
      <c r="D290" s="727"/>
      <c r="E290" s="727"/>
      <c r="F290" s="727"/>
    </row>
    <row r="291" ht="15.75" customHeight="1">
      <c r="B291" s="727"/>
      <c r="C291" s="727"/>
      <c r="D291" s="727"/>
      <c r="E291" s="727"/>
      <c r="F291" s="727"/>
    </row>
    <row r="292" ht="15.75" customHeight="1">
      <c r="B292" s="727"/>
      <c r="C292" s="727"/>
      <c r="D292" s="727"/>
      <c r="E292" s="727"/>
      <c r="F292" s="727"/>
    </row>
    <row r="293" ht="15.75" customHeight="1">
      <c r="B293" s="727"/>
      <c r="C293" s="727"/>
      <c r="D293" s="727"/>
      <c r="E293" s="727"/>
      <c r="F293" s="727"/>
    </row>
    <row r="294" ht="15.75" customHeight="1">
      <c r="B294" s="727"/>
      <c r="C294" s="727"/>
      <c r="D294" s="727"/>
      <c r="E294" s="727"/>
      <c r="F294" s="727"/>
    </row>
    <row r="295" ht="15.75" customHeight="1">
      <c r="B295" s="727"/>
      <c r="C295" s="727"/>
      <c r="D295" s="727"/>
      <c r="E295" s="727"/>
      <c r="F295" s="727"/>
    </row>
    <row r="296" ht="15.75" customHeight="1">
      <c r="B296" s="727"/>
      <c r="C296" s="727"/>
      <c r="D296" s="727"/>
      <c r="E296" s="727"/>
      <c r="F296" s="727"/>
    </row>
    <row r="297" ht="15.75" customHeight="1">
      <c r="B297" s="727"/>
      <c r="C297" s="727"/>
      <c r="D297" s="727"/>
      <c r="E297" s="727"/>
      <c r="F297" s="727"/>
    </row>
    <row r="298" ht="15.75" customHeight="1">
      <c r="B298" s="727"/>
      <c r="C298" s="727"/>
      <c r="D298" s="727"/>
      <c r="E298" s="727"/>
      <c r="F298" s="727"/>
    </row>
    <row r="299" ht="15.75" customHeight="1">
      <c r="B299" s="727"/>
      <c r="C299" s="727"/>
      <c r="D299" s="727"/>
      <c r="E299" s="727"/>
      <c r="F299" s="727"/>
    </row>
    <row r="300" ht="15.75" customHeight="1">
      <c r="B300" s="727"/>
      <c r="C300" s="727"/>
      <c r="D300" s="727"/>
      <c r="E300" s="727"/>
      <c r="F300" s="727"/>
    </row>
    <row r="301" ht="15.75" customHeight="1">
      <c r="B301" s="727"/>
      <c r="C301" s="727"/>
      <c r="D301" s="727"/>
      <c r="E301" s="727"/>
      <c r="F301" s="727"/>
    </row>
    <row r="302" ht="15.75" customHeight="1">
      <c r="B302" s="727"/>
      <c r="C302" s="727"/>
      <c r="D302" s="727"/>
      <c r="E302" s="727"/>
      <c r="F302" s="727"/>
    </row>
    <row r="303" ht="15.75" customHeight="1">
      <c r="B303" s="727"/>
      <c r="C303" s="727"/>
      <c r="D303" s="727"/>
      <c r="E303" s="727"/>
      <c r="F303" s="727"/>
    </row>
    <row r="304" ht="15.75" customHeight="1">
      <c r="B304" s="727"/>
      <c r="C304" s="727"/>
      <c r="D304" s="727"/>
      <c r="E304" s="727"/>
      <c r="F304" s="727"/>
    </row>
    <row r="305" ht="15.75" customHeight="1">
      <c r="B305" s="727"/>
      <c r="C305" s="727"/>
      <c r="D305" s="727"/>
      <c r="E305" s="727"/>
      <c r="F305" s="727"/>
    </row>
    <row r="306" ht="15.75" customHeight="1">
      <c r="B306" s="727"/>
      <c r="C306" s="727"/>
      <c r="D306" s="727"/>
      <c r="E306" s="727"/>
      <c r="F306" s="727"/>
    </row>
    <row r="307" ht="15.75" customHeight="1">
      <c r="B307" s="727"/>
      <c r="C307" s="727"/>
      <c r="D307" s="727"/>
      <c r="E307" s="727"/>
      <c r="F307" s="727"/>
    </row>
    <row r="308" ht="15.75" customHeight="1">
      <c r="B308" s="727"/>
      <c r="C308" s="727"/>
      <c r="D308" s="727"/>
      <c r="E308" s="727"/>
      <c r="F308" s="727"/>
    </row>
    <row r="309" ht="15.75" customHeight="1">
      <c r="B309" s="727"/>
      <c r="C309" s="727"/>
      <c r="D309" s="727"/>
      <c r="E309" s="727"/>
      <c r="F309" s="727"/>
    </row>
    <row r="310" ht="15.75" customHeight="1">
      <c r="B310" s="727"/>
      <c r="C310" s="727"/>
      <c r="D310" s="727"/>
      <c r="E310" s="727"/>
      <c r="F310" s="727"/>
    </row>
    <row r="311" ht="15.75" customHeight="1">
      <c r="B311" s="727"/>
      <c r="C311" s="727"/>
      <c r="D311" s="727"/>
      <c r="E311" s="727"/>
      <c r="F311" s="727"/>
    </row>
    <row r="312" ht="15.75" customHeight="1">
      <c r="B312" s="727"/>
      <c r="C312" s="727"/>
      <c r="D312" s="727"/>
      <c r="E312" s="727"/>
      <c r="F312" s="727"/>
    </row>
    <row r="313" ht="15.75" customHeight="1">
      <c r="B313" s="727"/>
      <c r="C313" s="727"/>
      <c r="D313" s="727"/>
      <c r="E313" s="727"/>
      <c r="F313" s="727"/>
    </row>
    <row r="314" ht="15.75" customHeight="1">
      <c r="B314" s="727"/>
      <c r="C314" s="727"/>
      <c r="D314" s="727"/>
      <c r="E314" s="727"/>
      <c r="F314" s="727"/>
    </row>
    <row r="315" ht="15.75" customHeight="1">
      <c r="B315" s="727"/>
      <c r="C315" s="727"/>
      <c r="D315" s="727"/>
      <c r="E315" s="727"/>
      <c r="F315" s="727"/>
    </row>
    <row r="316" ht="15.75" customHeight="1">
      <c r="B316" s="727"/>
      <c r="C316" s="727"/>
      <c r="D316" s="727"/>
      <c r="E316" s="727"/>
      <c r="F316" s="727"/>
    </row>
    <row r="317" ht="15.75" customHeight="1">
      <c r="B317" s="727"/>
      <c r="C317" s="727"/>
      <c r="D317" s="727"/>
      <c r="E317" s="727"/>
      <c r="F317" s="727"/>
    </row>
    <row r="318" ht="15.75" customHeight="1">
      <c r="B318" s="727"/>
      <c r="C318" s="727"/>
      <c r="D318" s="727"/>
      <c r="E318" s="727"/>
      <c r="F318" s="727"/>
    </row>
    <row r="319" ht="15.75" customHeight="1">
      <c r="B319" s="727"/>
      <c r="C319" s="727"/>
      <c r="D319" s="727"/>
      <c r="E319" s="727"/>
      <c r="F319" s="727"/>
    </row>
    <row r="320" ht="15.75" customHeight="1">
      <c r="B320" s="727"/>
      <c r="C320" s="727"/>
      <c r="D320" s="727"/>
      <c r="E320" s="727"/>
      <c r="F320" s="727"/>
    </row>
    <row r="321" ht="15.75" customHeight="1">
      <c r="B321" s="727"/>
      <c r="C321" s="727"/>
      <c r="D321" s="727"/>
      <c r="E321" s="727"/>
      <c r="F321" s="727"/>
    </row>
    <row r="322" ht="15.75" customHeight="1">
      <c r="B322" s="727"/>
      <c r="C322" s="727"/>
      <c r="D322" s="727"/>
      <c r="E322" s="727"/>
      <c r="F322" s="727"/>
    </row>
    <row r="323" ht="15.75" customHeight="1">
      <c r="B323" s="727"/>
      <c r="C323" s="727"/>
      <c r="D323" s="727"/>
      <c r="E323" s="727"/>
      <c r="F323" s="727"/>
    </row>
    <row r="324" ht="15.75" customHeight="1">
      <c r="B324" s="727"/>
      <c r="C324" s="727"/>
      <c r="D324" s="727"/>
      <c r="E324" s="727"/>
      <c r="F324" s="727"/>
    </row>
    <row r="325" ht="15.75" customHeight="1">
      <c r="B325" s="727"/>
      <c r="C325" s="727"/>
      <c r="D325" s="727"/>
      <c r="E325" s="727"/>
      <c r="F325" s="727"/>
    </row>
    <row r="326" ht="15.75" customHeight="1">
      <c r="B326" s="727"/>
      <c r="C326" s="727"/>
      <c r="D326" s="727"/>
      <c r="E326" s="727"/>
      <c r="F326" s="727"/>
    </row>
    <row r="327" ht="15.75" customHeight="1">
      <c r="B327" s="727"/>
      <c r="C327" s="727"/>
      <c r="D327" s="727"/>
      <c r="E327" s="727"/>
      <c r="F327" s="72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1" t="s">
        <v>5620</v>
      </c>
      <c r="B1" s="732" t="s">
        <v>5798</v>
      </c>
      <c r="C1" s="731" t="s">
        <v>4</v>
      </c>
      <c r="D1" s="731" t="s">
        <v>6</v>
      </c>
      <c r="E1" s="733"/>
      <c r="F1" s="733" t="s">
        <v>70</v>
      </c>
      <c r="G1" s="733" t="s">
        <v>3637</v>
      </c>
      <c r="H1" s="733" t="s">
        <v>73</v>
      </c>
      <c r="I1" s="733" t="s">
        <v>5799</v>
      </c>
      <c r="J1" s="733" t="s">
        <v>75</v>
      </c>
      <c r="K1" s="733" t="s">
        <v>2375</v>
      </c>
      <c r="L1" s="733"/>
      <c r="M1" s="733" t="s">
        <v>3450</v>
      </c>
      <c r="N1" s="733" t="s">
        <v>3451</v>
      </c>
      <c r="O1" s="733" t="s">
        <v>3453</v>
      </c>
      <c r="P1" s="733" t="s">
        <v>3455</v>
      </c>
      <c r="Q1" s="733" t="s">
        <v>5800</v>
      </c>
      <c r="R1" s="733" t="s">
        <v>5801</v>
      </c>
    </row>
    <row r="2" ht="15.75" customHeight="1">
      <c r="A2" s="466" t="s">
        <v>3933</v>
      </c>
      <c r="B2" s="710">
        <v>5490529.0</v>
      </c>
      <c r="C2" s="710" t="s">
        <v>2379</v>
      </c>
      <c r="D2" s="710" t="s">
        <v>2379</v>
      </c>
      <c r="E2" s="710" t="str">
        <f>IFERROR(VLOOKUP(D2,'Cadastro de assessores'!A:B,2,FALSE),"Não Cadastrado")</f>
        <v>18986</v>
      </c>
      <c r="F2" s="734" t="s">
        <v>88</v>
      </c>
      <c r="G2" s="734" t="s">
        <v>3659</v>
      </c>
      <c r="H2" s="735">
        <v>44222.0</v>
      </c>
      <c r="I2" s="710" t="s">
        <v>5802</v>
      </c>
      <c r="J2" s="715">
        <v>0.02</v>
      </c>
      <c r="K2" s="736" t="s">
        <v>2410</v>
      </c>
      <c r="L2" s="737" t="s">
        <v>29</v>
      </c>
      <c r="M2" s="737">
        <v>124054.43</v>
      </c>
      <c r="N2" s="737">
        <v>115021.75</v>
      </c>
      <c r="O2" s="737">
        <v>124854.25</v>
      </c>
      <c r="P2" s="737">
        <v>124900.58</v>
      </c>
      <c r="Q2" s="737">
        <v>129858.96</v>
      </c>
      <c r="R2" s="738">
        <v>131958.1</v>
      </c>
    </row>
    <row r="3" ht="15.75" customHeight="1">
      <c r="A3" s="466" t="s">
        <v>4803</v>
      </c>
      <c r="B3" s="710">
        <v>1759765.0</v>
      </c>
      <c r="C3" s="710" t="s">
        <v>18</v>
      </c>
      <c r="D3" s="710" t="s">
        <v>865</v>
      </c>
      <c r="E3" s="710" t="str">
        <f>IFERROR(VLOOKUP(D3,'Cadastro de assessores'!A:B,2,FALSE),"Não Cadastrado")</f>
        <v>14739</v>
      </c>
      <c r="F3" s="734" t="s">
        <v>88</v>
      </c>
      <c r="G3" s="734" t="s">
        <v>3659</v>
      </c>
      <c r="H3" s="735">
        <v>44321.0</v>
      </c>
      <c r="I3" s="710" t="s">
        <v>154</v>
      </c>
      <c r="J3" s="715">
        <v>0.012</v>
      </c>
      <c r="K3" s="736" t="s">
        <v>3708</v>
      </c>
      <c r="L3" s="737" t="s">
        <v>29</v>
      </c>
      <c r="M3" s="737"/>
      <c r="N3" s="737"/>
      <c r="O3" s="737"/>
      <c r="P3" s="737"/>
      <c r="Q3" s="737">
        <v>271738.86</v>
      </c>
      <c r="R3" s="737">
        <v>279151.86</v>
      </c>
    </row>
    <row r="4" ht="15.75" customHeight="1">
      <c r="B4" s="72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9" t="s">
        <v>6</v>
      </c>
      <c r="B1" s="740" t="s">
        <v>5803</v>
      </c>
      <c r="C1" s="739" t="s">
        <v>70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</row>
    <row r="2" ht="15.75" customHeight="1">
      <c r="A2" s="742" t="s">
        <v>3650</v>
      </c>
      <c r="B2" s="740" t="s">
        <v>5804</v>
      </c>
      <c r="C2" s="739" t="str">
        <f>IFERROR(__xludf.DUMMYFUNCTION("IF(COUNTA(filter(B:B,B:B=B2))=1,""Regular"",""Conta Repetida"")"),"Regular")</f>
        <v>Regular</v>
      </c>
      <c r="D2" s="741"/>
      <c r="E2" s="741"/>
      <c r="F2" s="718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</row>
    <row r="3" ht="15.75" customHeight="1">
      <c r="A3" s="739" t="s">
        <v>5099</v>
      </c>
      <c r="B3" s="740" t="s">
        <v>5805</v>
      </c>
      <c r="C3" s="739" t="str">
        <f>IFERROR(__xludf.DUMMYFUNCTION("IF(COUNTA(filter(B:B,B:B=B3))=1,""Regular"",""Conta Repetida"")"),"Regular")</f>
        <v>Regular</v>
      </c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</row>
    <row r="4" ht="15.75" customHeight="1">
      <c r="A4" s="739" t="s">
        <v>3972</v>
      </c>
      <c r="B4" s="740" t="s">
        <v>5806</v>
      </c>
      <c r="C4" s="739" t="str">
        <f>IFERROR(__xludf.DUMMYFUNCTION("IF(COUNTA(filter(B:B,B:B=B4))=1,""Regular"",""Conta Repetida"")"),"Regular")</f>
        <v>Regular</v>
      </c>
      <c r="D4" s="741"/>
      <c r="E4" s="741"/>
      <c r="F4" s="741"/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1"/>
      <c r="R4" s="741"/>
      <c r="S4" s="741"/>
      <c r="T4" s="741"/>
      <c r="U4" s="741"/>
      <c r="V4" s="741"/>
      <c r="W4" s="741"/>
    </row>
    <row r="5" ht="15.75" customHeight="1">
      <c r="A5" s="739" t="s">
        <v>2052</v>
      </c>
      <c r="B5" s="740" t="s">
        <v>5807</v>
      </c>
      <c r="C5" s="739" t="str">
        <f>IFERROR(__xludf.DUMMYFUNCTION("IF(COUNTA(filter(B:B,B:B=B5))=1,""Regular"",""Conta Repetida"")"),"Regular")</f>
        <v>Regular</v>
      </c>
      <c r="D5" s="741"/>
      <c r="E5" s="741"/>
      <c r="F5" s="741"/>
      <c r="G5" s="741"/>
      <c r="H5" s="741"/>
      <c r="I5" s="741"/>
      <c r="J5" s="741"/>
      <c r="K5" s="741"/>
      <c r="L5" s="741"/>
      <c r="M5" s="741"/>
      <c r="N5" s="741"/>
      <c r="O5" s="741"/>
      <c r="P5" s="741"/>
      <c r="Q5" s="741"/>
      <c r="R5" s="741"/>
      <c r="S5" s="741"/>
      <c r="T5" s="741"/>
      <c r="U5" s="741"/>
      <c r="V5" s="741"/>
      <c r="W5" s="741"/>
    </row>
    <row r="6" ht="15.75" customHeight="1">
      <c r="A6" s="739" t="s">
        <v>3533</v>
      </c>
      <c r="B6" s="740" t="s">
        <v>5808</v>
      </c>
      <c r="C6" s="739" t="str">
        <f>IFERROR(__xludf.DUMMYFUNCTION("IF(COUNTA(filter(B:B,B:B=B6))=1,""Regular"",""Conta Repetida"")"),"Regular")</f>
        <v>Regular</v>
      </c>
      <c r="D6" s="741"/>
      <c r="E6" s="741"/>
      <c r="F6" s="741"/>
      <c r="G6" s="741"/>
      <c r="H6" s="741"/>
      <c r="I6" s="741"/>
      <c r="J6" s="741"/>
      <c r="K6" s="741"/>
      <c r="L6" s="741"/>
      <c r="M6" s="741"/>
      <c r="N6" s="741"/>
      <c r="O6" s="741"/>
      <c r="P6" s="741"/>
      <c r="Q6" s="741"/>
      <c r="R6" s="741"/>
      <c r="S6" s="741"/>
      <c r="T6" s="741"/>
      <c r="U6" s="741"/>
      <c r="V6" s="741"/>
      <c r="W6" s="741"/>
    </row>
    <row r="7" ht="15.75" customHeight="1">
      <c r="A7" s="739" t="s">
        <v>3486</v>
      </c>
      <c r="B7" s="740" t="s">
        <v>5809</v>
      </c>
      <c r="C7" s="739" t="str">
        <f>IFERROR(__xludf.DUMMYFUNCTION("IF(COUNTA(filter(B:B,B:B=B7))=1,""Regular"",""Conta Repetida"")"),"Regular")</f>
        <v>Regular</v>
      </c>
      <c r="D7" s="741"/>
      <c r="E7" s="741"/>
      <c r="F7" s="741"/>
      <c r="G7" s="741"/>
      <c r="H7" s="741"/>
      <c r="I7" s="741"/>
      <c r="J7" s="741"/>
      <c r="K7" s="741"/>
      <c r="L7" s="741"/>
      <c r="M7" s="741"/>
      <c r="N7" s="741"/>
      <c r="O7" s="741"/>
      <c r="P7" s="741"/>
      <c r="Q7" s="741"/>
      <c r="R7" s="741"/>
      <c r="S7" s="741"/>
      <c r="T7" s="741"/>
      <c r="U7" s="741"/>
      <c r="V7" s="741"/>
      <c r="W7" s="741"/>
    </row>
    <row r="8" ht="15.75" customHeight="1">
      <c r="A8" s="739" t="s">
        <v>5810</v>
      </c>
      <c r="B8" s="740" t="s">
        <v>5811</v>
      </c>
      <c r="C8" s="739" t="str">
        <f>IFERROR(__xludf.DUMMYFUNCTION("IF(COUNTA(filter(B:B,B:B=B8))=1,""Regular"",""Conta Repetida"")"),"Regular")</f>
        <v>Regular</v>
      </c>
      <c r="D8" s="741"/>
      <c r="E8" s="741"/>
      <c r="F8" s="741"/>
      <c r="G8" s="741"/>
      <c r="H8" s="741"/>
      <c r="I8" s="741"/>
      <c r="J8" s="741"/>
      <c r="K8" s="741"/>
      <c r="L8" s="741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</row>
    <row r="9" ht="15.75" customHeight="1">
      <c r="A9" s="739" t="s">
        <v>3697</v>
      </c>
      <c r="B9" s="740" t="s">
        <v>5812</v>
      </c>
      <c r="C9" s="739" t="str">
        <f>IFERROR(__xludf.DUMMYFUNCTION("IF(COUNTA(filter(B:B,B:B=B9))=1,""Regular"",""Conta Repetida"")"),"Regular")</f>
        <v>Regular</v>
      </c>
      <c r="D9" s="741"/>
      <c r="E9" s="741"/>
      <c r="F9" s="741"/>
      <c r="G9" s="741"/>
      <c r="H9" s="741"/>
      <c r="I9" s="741"/>
      <c r="J9" s="741"/>
      <c r="K9" s="741"/>
      <c r="L9" s="741"/>
      <c r="M9" s="741"/>
      <c r="N9" s="741"/>
      <c r="O9" s="741"/>
      <c r="P9" s="741"/>
      <c r="Q9" s="741"/>
      <c r="R9" s="741"/>
      <c r="S9" s="741"/>
      <c r="T9" s="741"/>
      <c r="U9" s="741"/>
      <c r="V9" s="741"/>
      <c r="W9" s="741"/>
    </row>
    <row r="10" ht="15.75" customHeight="1">
      <c r="A10" s="739" t="s">
        <v>3702</v>
      </c>
      <c r="B10" s="740" t="s">
        <v>5813</v>
      </c>
      <c r="C10" s="739" t="str">
        <f>IFERROR(__xludf.DUMMYFUNCTION("IF(COUNTA(filter(B:B,B:B=B10))=1,""Regular"",""Conta Repetida"")"),"Regular")</f>
        <v>Regular</v>
      </c>
      <c r="D10" s="741"/>
      <c r="E10" s="741"/>
      <c r="F10" s="741"/>
      <c r="G10" s="741"/>
      <c r="H10" s="741"/>
      <c r="I10" s="741"/>
      <c r="J10" s="741"/>
      <c r="K10" s="741"/>
      <c r="L10" s="741"/>
      <c r="M10" s="741"/>
      <c r="N10" s="741"/>
      <c r="O10" s="741"/>
      <c r="P10" s="741"/>
      <c r="Q10" s="741"/>
      <c r="R10" s="741"/>
      <c r="S10" s="741"/>
      <c r="T10" s="741"/>
      <c r="U10" s="741"/>
      <c r="V10" s="741"/>
      <c r="W10" s="741"/>
    </row>
    <row r="11" ht="15.75" customHeight="1">
      <c r="A11" s="739" t="s">
        <v>2379</v>
      </c>
      <c r="B11" s="740" t="s">
        <v>5814</v>
      </c>
      <c r="C11" s="739" t="str">
        <f>IFERROR(__xludf.DUMMYFUNCTION("IF(COUNTA(filter(B:B,B:B=B11))=1,""Regular"",""Conta Repetida"")"),"Regular")</f>
        <v>Regular</v>
      </c>
      <c r="D11" s="741"/>
      <c r="E11" s="741"/>
      <c r="F11" s="741"/>
      <c r="G11" s="741"/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</row>
    <row r="12" ht="15.75" customHeight="1">
      <c r="A12" s="739" t="s">
        <v>5146</v>
      </c>
      <c r="B12" s="740" t="s">
        <v>5815</v>
      </c>
      <c r="C12" s="739" t="str">
        <f>IFERROR(__xludf.DUMMYFUNCTION("IF(COUNTA(filter(B:B,B:B=B12))=1,""Regular"",""Conta Repetida"")"),"Regular")</f>
        <v>Regular</v>
      </c>
      <c r="D12" s="741"/>
      <c r="E12" s="741"/>
      <c r="F12" s="741"/>
      <c r="G12" s="741"/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</row>
    <row r="13" ht="15.75" customHeight="1">
      <c r="A13" s="739" t="s">
        <v>3721</v>
      </c>
      <c r="B13" s="740" t="s">
        <v>5816</v>
      </c>
      <c r="C13" s="739" t="str">
        <f>IFERROR(__xludf.DUMMYFUNCTION("IF(COUNTA(filter(B:B,B:B=B13))=1,""Regular"",""Conta Repetida"")"),"Regular")</f>
        <v>Regular</v>
      </c>
      <c r="D13" s="741"/>
      <c r="E13" s="741"/>
      <c r="F13" s="741"/>
      <c r="G13" s="741"/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</row>
    <row r="14" ht="15.75" customHeight="1">
      <c r="A14" s="739" t="s">
        <v>5817</v>
      </c>
      <c r="B14" s="740" t="s">
        <v>5818</v>
      </c>
      <c r="C14" s="739" t="str">
        <f>IFERROR(__xludf.DUMMYFUNCTION("IF(COUNTA(filter(B:B,B:B=B14))=1,""Regular"",""Conta Repetida"")"),"Regular")</f>
        <v>Regular</v>
      </c>
      <c r="D14" s="741"/>
      <c r="E14" s="741"/>
      <c r="F14" s="741"/>
      <c r="G14" s="741"/>
      <c r="H14" s="741"/>
      <c r="I14" s="741"/>
      <c r="J14" s="741"/>
      <c r="K14" s="741"/>
      <c r="L14" s="741"/>
      <c r="M14" s="741"/>
      <c r="N14" s="741"/>
      <c r="O14" s="741"/>
      <c r="P14" s="741"/>
      <c r="Q14" s="741"/>
      <c r="R14" s="741"/>
      <c r="S14" s="741"/>
      <c r="T14" s="741"/>
      <c r="U14" s="741"/>
      <c r="V14" s="741"/>
      <c r="W14" s="741"/>
    </row>
    <row r="15" ht="15.75" customHeight="1">
      <c r="A15" s="739" t="s">
        <v>333</v>
      </c>
      <c r="B15" s="740" t="s">
        <v>5819</v>
      </c>
      <c r="C15" s="739" t="str">
        <f>IFERROR(__xludf.DUMMYFUNCTION("IF(COUNTA(filter(B:B,B:B=B15))=1,""Regular"",""Conta Repetida"")"),"Regular")</f>
        <v>Regular</v>
      </c>
      <c r="D15" s="741"/>
      <c r="E15" s="741"/>
      <c r="F15" s="741"/>
      <c r="G15" s="741"/>
      <c r="H15" s="741"/>
      <c r="I15" s="741"/>
      <c r="J15" s="741"/>
      <c r="K15" s="741"/>
      <c r="L15" s="741"/>
      <c r="M15" s="741"/>
      <c r="N15" s="741"/>
      <c r="O15" s="741"/>
      <c r="P15" s="741"/>
      <c r="Q15" s="741"/>
      <c r="R15" s="741"/>
      <c r="S15" s="741"/>
      <c r="T15" s="741"/>
      <c r="U15" s="741"/>
      <c r="V15" s="741"/>
      <c r="W15" s="741"/>
    </row>
    <row r="16" ht="15.75" customHeight="1">
      <c r="A16" s="739" t="s">
        <v>5047</v>
      </c>
      <c r="B16" s="740" t="s">
        <v>5820</v>
      </c>
      <c r="C16" s="739" t="str">
        <f>IFERROR(__xludf.DUMMYFUNCTION("IF(COUNTA(filter(B:B,B:B=B16))=1,""Regular"",""Conta Repetida"")"),"Regular")</f>
        <v>Regular</v>
      </c>
      <c r="D16" s="741"/>
      <c r="E16" s="741"/>
      <c r="F16" s="741"/>
      <c r="G16" s="741"/>
      <c r="H16" s="741"/>
      <c r="I16" s="741"/>
      <c r="J16" s="741"/>
      <c r="K16" s="741"/>
      <c r="L16" s="741"/>
      <c r="M16" s="741"/>
      <c r="N16" s="741"/>
      <c r="O16" s="741"/>
      <c r="P16" s="741"/>
      <c r="Q16" s="741"/>
      <c r="R16" s="741"/>
      <c r="S16" s="741"/>
      <c r="T16" s="741"/>
      <c r="U16" s="741"/>
      <c r="V16" s="741"/>
      <c r="W16" s="741"/>
    </row>
    <row r="17" ht="15.75" customHeight="1">
      <c r="A17" s="739" t="s">
        <v>3738</v>
      </c>
      <c r="B17" s="740" t="s">
        <v>5821</v>
      </c>
      <c r="C17" s="739" t="str">
        <f>IFERROR(__xludf.DUMMYFUNCTION("IF(COUNTA(filter(B:B,B:B=B17))=1,""Regular"",""Conta Repetida"")"),"Regular")</f>
        <v>Regular</v>
      </c>
      <c r="D17" s="741"/>
      <c r="E17" s="741"/>
      <c r="F17" s="741"/>
      <c r="G17" s="741"/>
      <c r="H17" s="741"/>
      <c r="I17" s="741"/>
      <c r="J17" s="741"/>
      <c r="K17" s="741"/>
      <c r="L17" s="741"/>
      <c r="M17" s="741"/>
      <c r="N17" s="741"/>
      <c r="O17" s="741"/>
      <c r="P17" s="741"/>
      <c r="Q17" s="741"/>
      <c r="R17" s="741"/>
      <c r="S17" s="741"/>
      <c r="T17" s="741"/>
      <c r="U17" s="741"/>
      <c r="V17" s="741"/>
      <c r="W17" s="741"/>
    </row>
    <row r="18" ht="15.75" customHeight="1">
      <c r="A18" s="739" t="s">
        <v>52</v>
      </c>
      <c r="B18" s="740" t="s">
        <v>4884</v>
      </c>
      <c r="C18" s="739" t="str">
        <f>IFERROR(__xludf.DUMMYFUNCTION("IF(COUNTA(filter(B:B,B:B=B18))=1,""Regular"",""Conta Repetida"")"),"Regular")</f>
        <v>Regular</v>
      </c>
      <c r="D18" s="741"/>
      <c r="E18" s="741"/>
      <c r="F18" s="741"/>
      <c r="G18" s="741"/>
      <c r="H18" s="741"/>
      <c r="I18" s="741"/>
      <c r="J18" s="741"/>
      <c r="K18" s="741"/>
      <c r="L18" s="741"/>
      <c r="M18" s="741"/>
      <c r="N18" s="741"/>
      <c r="O18" s="741"/>
      <c r="P18" s="741"/>
      <c r="Q18" s="741"/>
      <c r="R18" s="741"/>
      <c r="S18" s="741"/>
      <c r="T18" s="741"/>
      <c r="U18" s="741"/>
      <c r="V18" s="741"/>
      <c r="W18" s="741"/>
    </row>
    <row r="19" ht="15.75" customHeight="1">
      <c r="A19" s="739" t="s">
        <v>633</v>
      </c>
      <c r="B19" s="740" t="s">
        <v>5822</v>
      </c>
      <c r="C19" s="739" t="str">
        <f>IFERROR(__xludf.DUMMYFUNCTION("IF(COUNTA(filter(B:B,B:B=B19))=1,""Regular"",""Conta Repetida"")"),"Regular")</f>
        <v>Regular</v>
      </c>
      <c r="D19" s="741"/>
      <c r="E19" s="741"/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741"/>
      <c r="T19" s="741"/>
      <c r="U19" s="741"/>
      <c r="V19" s="741"/>
      <c r="W19" s="741"/>
    </row>
    <row r="20" ht="15.75" customHeight="1">
      <c r="A20" s="739" t="s">
        <v>5823</v>
      </c>
      <c r="B20" s="740" t="s">
        <v>5824</v>
      </c>
      <c r="C20" s="739" t="str">
        <f>IFERROR(__xludf.DUMMYFUNCTION("IF(COUNTA(filter(B:B,B:B=B20))=1,""Regular"",""Conta Repetida"")"),"Regular")</f>
        <v>Regular</v>
      </c>
      <c r="D20" s="741"/>
      <c r="E20" s="741"/>
      <c r="F20" s="741"/>
      <c r="G20" s="741"/>
      <c r="H20" s="741"/>
      <c r="I20" s="741"/>
      <c r="J20" s="741"/>
      <c r="K20" s="741"/>
      <c r="L20" s="741"/>
      <c r="M20" s="741"/>
      <c r="N20" s="741"/>
      <c r="O20" s="741"/>
      <c r="P20" s="741"/>
      <c r="Q20" s="741"/>
      <c r="R20" s="741"/>
      <c r="S20" s="741"/>
      <c r="T20" s="741"/>
      <c r="U20" s="741"/>
      <c r="V20" s="741"/>
      <c r="W20" s="741"/>
    </row>
    <row r="21" ht="15.75" customHeight="1">
      <c r="A21" s="739" t="s">
        <v>3798</v>
      </c>
      <c r="B21" s="740" t="s">
        <v>5825</v>
      </c>
      <c r="C21" s="739" t="str">
        <f>IFERROR(__xludf.DUMMYFUNCTION("IF(COUNTA(filter(B:B,B:B=B21))=1,""Regular"",""Conta Repetida"")"),"Regular")</f>
        <v>Regular</v>
      </c>
      <c r="D21" s="741"/>
      <c r="E21" s="741"/>
      <c r="F21" s="741"/>
      <c r="G21" s="741"/>
      <c r="H21" s="741"/>
      <c r="I21" s="741"/>
      <c r="J21" s="741"/>
      <c r="K21" s="741"/>
      <c r="L21" s="741"/>
      <c r="M21" s="741"/>
      <c r="N21" s="741"/>
      <c r="O21" s="741"/>
      <c r="P21" s="741"/>
      <c r="Q21" s="741"/>
      <c r="R21" s="741"/>
      <c r="S21" s="741"/>
      <c r="T21" s="741"/>
      <c r="U21" s="741"/>
      <c r="V21" s="741"/>
      <c r="W21" s="741"/>
    </row>
    <row r="22" ht="15.75" customHeight="1">
      <c r="A22" s="739" t="s">
        <v>2380</v>
      </c>
      <c r="B22" s="740" t="s">
        <v>5826</v>
      </c>
      <c r="C22" s="739" t="str">
        <f>IFERROR(__xludf.DUMMYFUNCTION("IF(COUNTA(filter(B:B,B:B=B22))=1,""Regular"",""Conta Repetida"")"),"Regular")</f>
        <v>Regular</v>
      </c>
      <c r="D22" s="741"/>
      <c r="E22" s="741"/>
      <c r="F22" s="741"/>
      <c r="G22" s="741"/>
      <c r="H22" s="741"/>
      <c r="I22" s="741"/>
      <c r="J22" s="741"/>
      <c r="K22" s="741"/>
      <c r="L22" s="741"/>
      <c r="M22" s="741"/>
      <c r="N22" s="741"/>
      <c r="O22" s="741"/>
      <c r="P22" s="741"/>
      <c r="Q22" s="741"/>
      <c r="R22" s="741"/>
      <c r="S22" s="741"/>
      <c r="T22" s="741"/>
      <c r="U22" s="741"/>
      <c r="V22" s="741"/>
      <c r="W22" s="741"/>
    </row>
    <row r="23" ht="15.75" customHeight="1">
      <c r="A23" s="739" t="s">
        <v>3818</v>
      </c>
      <c r="B23" s="740" t="s">
        <v>5827</v>
      </c>
      <c r="C23" s="739" t="str">
        <f>IFERROR(__xludf.DUMMYFUNCTION("IF(COUNTA(filter(B:B,B:B=B23))=1,""Regular"",""Conta Repetida"")"),"Regular")</f>
        <v>Regular</v>
      </c>
      <c r="D23" s="741"/>
      <c r="E23" s="741"/>
      <c r="F23" s="741"/>
      <c r="G23" s="741"/>
      <c r="H23" s="741"/>
      <c r="I23" s="741"/>
      <c r="J23" s="741"/>
      <c r="K23" s="741"/>
      <c r="L23" s="741"/>
      <c r="M23" s="741"/>
      <c r="N23" s="741"/>
      <c r="O23" s="741"/>
      <c r="P23" s="741"/>
      <c r="Q23" s="741"/>
      <c r="R23" s="741"/>
      <c r="S23" s="741"/>
      <c r="T23" s="741"/>
      <c r="U23" s="741"/>
      <c r="V23" s="741"/>
      <c r="W23" s="741"/>
    </row>
    <row r="24" ht="15.75" customHeight="1">
      <c r="A24" s="739" t="s">
        <v>3823</v>
      </c>
      <c r="B24" s="740" t="s">
        <v>5828</v>
      </c>
      <c r="C24" s="739" t="str">
        <f>IFERROR(__xludf.DUMMYFUNCTION("IF(COUNTA(filter(B:B,B:B=B24))=1,""Regular"",""Conta Repetida"")"),"Regular")</f>
        <v>Regular</v>
      </c>
      <c r="D24" s="741"/>
      <c r="E24" s="741"/>
      <c r="F24" s="741"/>
      <c r="G24" s="741"/>
      <c r="H24" s="741"/>
      <c r="I24" s="741"/>
      <c r="J24" s="741"/>
      <c r="K24" s="741"/>
      <c r="L24" s="741"/>
      <c r="M24" s="741"/>
      <c r="N24" s="741"/>
      <c r="O24" s="741"/>
      <c r="P24" s="741"/>
      <c r="Q24" s="741"/>
      <c r="R24" s="741"/>
      <c r="S24" s="741"/>
      <c r="T24" s="741"/>
      <c r="U24" s="741"/>
      <c r="V24" s="741"/>
      <c r="W24" s="741"/>
    </row>
    <row r="25" ht="15.75" customHeight="1">
      <c r="A25" s="739" t="s">
        <v>2760</v>
      </c>
      <c r="B25" s="740" t="s">
        <v>5829</v>
      </c>
      <c r="C25" s="739" t="str">
        <f>IFERROR(__xludf.DUMMYFUNCTION("IF(COUNTA(filter(B:B,B:B=B25))=1,""Regular"",""Conta Repetida"")"),"Regular")</f>
        <v>Regular</v>
      </c>
      <c r="D25" s="741"/>
      <c r="E25" s="741"/>
      <c r="F25" s="741"/>
      <c r="G25" s="741"/>
      <c r="H25" s="741"/>
      <c r="I25" s="741"/>
      <c r="J25" s="741"/>
      <c r="K25" s="741"/>
      <c r="L25" s="741"/>
      <c r="M25" s="741"/>
      <c r="N25" s="741"/>
      <c r="O25" s="741"/>
      <c r="P25" s="741"/>
      <c r="Q25" s="741"/>
      <c r="R25" s="741"/>
      <c r="S25" s="741"/>
      <c r="T25" s="741"/>
      <c r="U25" s="741"/>
      <c r="V25" s="741"/>
      <c r="W25" s="741"/>
    </row>
    <row r="26" ht="15.75" customHeight="1">
      <c r="A26" s="739" t="s">
        <v>230</v>
      </c>
      <c r="B26" s="740" t="s">
        <v>5830</v>
      </c>
      <c r="C26" s="739" t="str">
        <f>IFERROR(__xludf.DUMMYFUNCTION("IF(COUNTA(filter(B:B,B:B=B26))=1,""Regular"",""Conta Repetida"")"),"Regular")</f>
        <v>Regular</v>
      </c>
      <c r="D26" s="74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1"/>
      <c r="R26" s="741"/>
      <c r="S26" s="741"/>
      <c r="T26" s="741"/>
      <c r="U26" s="741"/>
      <c r="V26" s="741"/>
      <c r="W26" s="741"/>
    </row>
    <row r="27" ht="15.75" customHeight="1">
      <c r="A27" s="739" t="s">
        <v>5027</v>
      </c>
      <c r="B27" s="740" t="s">
        <v>5831</v>
      </c>
      <c r="C27" s="739" t="str">
        <f>IFERROR(__xludf.DUMMYFUNCTION("IF(COUNTA(filter(B:B,B:B=B27))=1,""Regular"",""Conta Repetida"")"),"Regular")</f>
        <v>Regular</v>
      </c>
      <c r="D27" s="741"/>
      <c r="E27" s="741"/>
      <c r="F27" s="741"/>
      <c r="G27" s="741"/>
      <c r="H27" s="741"/>
      <c r="I27" s="741"/>
      <c r="J27" s="741"/>
      <c r="K27" s="741"/>
      <c r="L27" s="741"/>
      <c r="M27" s="741"/>
      <c r="N27" s="741"/>
      <c r="O27" s="741"/>
      <c r="P27" s="741"/>
      <c r="Q27" s="741"/>
      <c r="R27" s="741"/>
      <c r="S27" s="741"/>
      <c r="T27" s="741"/>
      <c r="U27" s="741"/>
      <c r="V27" s="741"/>
      <c r="W27" s="741"/>
    </row>
    <row r="28" ht="15.75" customHeight="1">
      <c r="A28" s="739" t="s">
        <v>3901</v>
      </c>
      <c r="B28" s="740" t="s">
        <v>5832</v>
      </c>
      <c r="C28" s="739" t="str">
        <f>IFERROR(__xludf.DUMMYFUNCTION("IF(COUNTA(filter(B:B,B:B=B28))=1,""Regular"",""Conta Repetida"")"),"Regular")</f>
        <v>Regular</v>
      </c>
      <c r="D28" s="741"/>
      <c r="E28" s="741"/>
      <c r="F28" s="741"/>
      <c r="G28" s="741"/>
      <c r="H28" s="741"/>
      <c r="I28" s="741"/>
      <c r="J28" s="741"/>
      <c r="K28" s="741"/>
      <c r="L28" s="741"/>
      <c r="M28" s="741"/>
      <c r="N28" s="741"/>
      <c r="O28" s="741"/>
      <c r="P28" s="741"/>
      <c r="Q28" s="741"/>
      <c r="R28" s="741"/>
      <c r="S28" s="741"/>
      <c r="T28" s="741"/>
      <c r="U28" s="741"/>
      <c r="V28" s="741"/>
      <c r="W28" s="741"/>
    </row>
    <row r="29" ht="15.75" customHeight="1">
      <c r="A29" s="739" t="s">
        <v>3910</v>
      </c>
      <c r="B29" s="740" t="s">
        <v>5833</v>
      </c>
      <c r="C29" s="739" t="str">
        <f>IFERROR(__xludf.DUMMYFUNCTION("IF(COUNTA(filter(B:B,B:B=B29))=1,""Regular"",""Conta Repetida"")"),"Regular")</f>
        <v>Regular</v>
      </c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</row>
    <row r="30" ht="15.75" customHeight="1">
      <c r="A30" s="739" t="s">
        <v>3913</v>
      </c>
      <c r="B30" s="740" t="s">
        <v>5834</v>
      </c>
      <c r="C30" s="739" t="str">
        <f>IFERROR(__xludf.DUMMYFUNCTION("IF(COUNTA(filter(B:B,B:B=B30))=1,""Regular"",""Conta Repetida"")"),"Regular")</f>
        <v>Regular</v>
      </c>
      <c r="D30" s="741"/>
      <c r="E30" s="741"/>
      <c r="F30" s="741"/>
      <c r="G30" s="741"/>
      <c r="H30" s="741"/>
      <c r="I30" s="741"/>
      <c r="J30" s="741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</row>
    <row r="31" ht="15.75" customHeight="1">
      <c r="A31" s="739" t="s">
        <v>5835</v>
      </c>
      <c r="B31" s="740" t="s">
        <v>5836</v>
      </c>
      <c r="C31" s="739" t="str">
        <f>IFERROR(__xludf.DUMMYFUNCTION("IF(COUNTA(filter(B:B,B:B=B31))=1,""Regular"",""Conta Repetida"")"),"Regular")</f>
        <v>Regular</v>
      </c>
      <c r="D31" s="741"/>
      <c r="E31" s="741"/>
      <c r="F31" s="741"/>
      <c r="G31" s="741"/>
      <c r="H31" s="741"/>
      <c r="I31" s="741"/>
      <c r="J31" s="741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</row>
    <row r="32" ht="15.75" customHeight="1">
      <c r="A32" s="739" t="s">
        <v>4202</v>
      </c>
      <c r="B32" s="740" t="s">
        <v>5837</v>
      </c>
      <c r="C32" s="739" t="str">
        <f>IFERROR(__xludf.DUMMYFUNCTION("IF(COUNTA(filter(B:B,B:B=B32))=1,""Regular"",""Conta Repetida"")"),"Regular")</f>
        <v>Regular</v>
      </c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</row>
    <row r="33" ht="15.75" customHeight="1">
      <c r="A33" s="739" t="s">
        <v>4859</v>
      </c>
      <c r="B33" s="740" t="s">
        <v>5838</v>
      </c>
      <c r="C33" s="739" t="str">
        <f>IFERROR(__xludf.DUMMYFUNCTION("IF(COUNTA(filter(B:B,B:B=B33))=1,""Regular"",""Conta Repetida"")"),"Regular")</f>
        <v>Regular</v>
      </c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</row>
    <row r="34" ht="15.75" customHeight="1">
      <c r="A34" s="739" t="s">
        <v>3948</v>
      </c>
      <c r="B34" s="740" t="s">
        <v>5839</v>
      </c>
      <c r="C34" s="739" t="str">
        <f>IFERROR(__xludf.DUMMYFUNCTION("IF(COUNTA(filter(B:B,B:B=B34))=1,""Regular"",""Conta Repetida"")"),"Regular")</f>
        <v>Regular</v>
      </c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</row>
    <row r="35" ht="15.75" customHeight="1">
      <c r="A35" s="739" t="s">
        <v>86</v>
      </c>
      <c r="B35" s="740" t="s">
        <v>5840</v>
      </c>
      <c r="C35" s="739" t="str">
        <f>IFERROR(__xludf.DUMMYFUNCTION("IF(COUNTA(filter(B:B,B:B=B35))=1,""Regular"",""Conta Repetida"")"),"Regular")</f>
        <v>Regular</v>
      </c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</row>
    <row r="36" ht="15.75" customHeight="1">
      <c r="A36" s="739" t="s">
        <v>3978</v>
      </c>
      <c r="B36" s="740" t="s">
        <v>5841</v>
      </c>
      <c r="C36" s="739" t="str">
        <f>IFERROR(__xludf.DUMMYFUNCTION("IF(COUNTA(filter(B:B,B:B=B36))=1,""Regular"",""Conta Repetida"")"),"Regular")</f>
        <v>Regular</v>
      </c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</row>
    <row r="37" ht="15.75" customHeight="1">
      <c r="A37" s="739" t="s">
        <v>3983</v>
      </c>
      <c r="B37" s="740" t="s">
        <v>5842</v>
      </c>
      <c r="C37" s="739" t="str">
        <f>IFERROR(__xludf.DUMMYFUNCTION("IF(COUNTA(filter(B:B,B:B=B37))=1,""Regular"",""Conta Repetida"")"),"Regular")</f>
        <v>Regular</v>
      </c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</row>
    <row r="38" ht="15.75" customHeight="1">
      <c r="A38" s="739" t="s">
        <v>5843</v>
      </c>
      <c r="B38" s="740" t="s">
        <v>5844</v>
      </c>
      <c r="C38" s="739" t="str">
        <f>IFERROR(__xludf.DUMMYFUNCTION("IF(COUNTA(filter(B:B,B:B=B38))=1,""Regular"",""Conta Repetida"")"),"Regular")</f>
        <v>Regular</v>
      </c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</row>
    <row r="39" ht="15.75" customHeight="1">
      <c r="A39" s="739" t="s">
        <v>3711</v>
      </c>
      <c r="B39" s="740" t="s">
        <v>5845</v>
      </c>
      <c r="C39" s="739" t="str">
        <f>IFERROR(__xludf.DUMMYFUNCTION("IF(COUNTA(filter(B:B,B:B=B39))=1,""Regular"",""Conta Repetida"")"),"Regular")</f>
        <v>Regular</v>
      </c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</row>
    <row r="40" ht="15.75" customHeight="1">
      <c r="A40" s="739" t="s">
        <v>4003</v>
      </c>
      <c r="B40" s="740" t="s">
        <v>5846</v>
      </c>
      <c r="C40" s="739" t="str">
        <f>IFERROR(__xludf.DUMMYFUNCTION("IF(COUNTA(filter(B:B,B:B=B40))=1,""Regular"",""Conta Repetida"")"),"Regular")</f>
        <v>Regular</v>
      </c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</row>
    <row r="41" ht="15.75" customHeight="1">
      <c r="A41" s="739" t="s">
        <v>4012</v>
      </c>
      <c r="B41" s="740" t="s">
        <v>5847</v>
      </c>
      <c r="C41" s="739" t="str">
        <f>IFERROR(__xludf.DUMMYFUNCTION("IF(COUNTA(filter(B:B,B:B=B41))=1,""Regular"",""Conta Repetida"")"),"Regular")</f>
        <v>Regular</v>
      </c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</row>
    <row r="42" ht="15.75" customHeight="1">
      <c r="A42" s="739" t="s">
        <v>5848</v>
      </c>
      <c r="B42" s="740" t="s">
        <v>5849</v>
      </c>
      <c r="C42" s="739" t="str">
        <f>IFERROR(__xludf.DUMMYFUNCTION("IF(COUNTA(filter(B:B,B:B=B42))=1,""Regular"",""Conta Repetida"")"),"Regular")</f>
        <v>Regular</v>
      </c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</row>
    <row r="43" ht="15.75" customHeight="1">
      <c r="A43" s="739" t="s">
        <v>2633</v>
      </c>
      <c r="B43" s="740" t="s">
        <v>5850</v>
      </c>
      <c r="C43" s="739" t="str">
        <f>IFERROR(__xludf.DUMMYFUNCTION("IF(COUNTA(filter(B:B,B:B=B43))=1,""Regular"",""Conta Repetida"")"),"Regular")</f>
        <v>Regular</v>
      </c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</row>
    <row r="44" ht="15.75" customHeight="1">
      <c r="A44" s="739" t="s">
        <v>5851</v>
      </c>
      <c r="B44" s="740" t="s">
        <v>5852</v>
      </c>
      <c r="C44" s="739" t="str">
        <f>IFERROR(__xludf.DUMMYFUNCTION("IF(COUNTA(filter(B:B,B:B=B44))=1,""Regular"",""Conta Repetida"")"),"Regular")</f>
        <v>Regular</v>
      </c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</row>
    <row r="45" ht="15.75" customHeight="1">
      <c r="A45" s="739" t="s">
        <v>4143</v>
      </c>
      <c r="B45" s="740" t="s">
        <v>5853</v>
      </c>
      <c r="C45" s="739" t="str">
        <f>IFERROR(__xludf.DUMMYFUNCTION("IF(COUNTA(filter(B:B,B:B=B45))=1,""Regular"",""Conta Repetida"")"),"Regular")</f>
        <v>Regular</v>
      </c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</row>
    <row r="46" ht="15.75" customHeight="1">
      <c r="A46" s="739" t="s">
        <v>865</v>
      </c>
      <c r="B46" s="740" t="s">
        <v>5854</v>
      </c>
      <c r="C46" s="739" t="str">
        <f>IFERROR(__xludf.DUMMYFUNCTION("IF(COUNTA(filter(B:B,B:B=B46))=1,""Regular"",""Conta Repetida"")"),"Regular")</f>
        <v>Regular</v>
      </c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</row>
    <row r="47" ht="15.75" customHeight="1">
      <c r="A47" s="739" t="s">
        <v>4157</v>
      </c>
      <c r="B47" s="740" t="s">
        <v>5855</v>
      </c>
      <c r="C47" s="739" t="str">
        <f>IFERROR(__xludf.DUMMYFUNCTION("IF(COUNTA(filter(B:B,B:B=B47))=1,""Regular"",""Conta Repetida"")"),"Regular")</f>
        <v>Regular</v>
      </c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</row>
    <row r="48" ht="15.75" customHeight="1">
      <c r="A48" s="739" t="s">
        <v>5856</v>
      </c>
      <c r="B48" s="740" t="s">
        <v>5857</v>
      </c>
      <c r="C48" s="739" t="str">
        <f>IFERROR(__xludf.DUMMYFUNCTION("IF(COUNTA(filter(B:B,B:B=B48))=1,""Regular"",""Conta Repetida"")"),"Regular")</f>
        <v>Regular</v>
      </c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</row>
    <row r="49" ht="15.75" customHeight="1">
      <c r="A49" s="739" t="s">
        <v>4205</v>
      </c>
      <c r="B49" s="740" t="s">
        <v>5858</v>
      </c>
      <c r="C49" s="739" t="str">
        <f>IFERROR(__xludf.DUMMYFUNCTION("IF(COUNTA(filter(B:B,B:B=B49))=1,""Regular"",""Conta Repetida"")"),"Regular")</f>
        <v>Regular</v>
      </c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</row>
    <row r="50" ht="15.75" customHeight="1">
      <c r="A50" s="739" t="s">
        <v>5859</v>
      </c>
      <c r="B50" s="740" t="s">
        <v>5860</v>
      </c>
      <c r="C50" s="739" t="str">
        <f>IFERROR(__xludf.DUMMYFUNCTION("IF(COUNTA(filter(B:B,B:B=B50))=1,""Regular"",""Conta Repetida"")"),"Regular")</f>
        <v>Regular</v>
      </c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</row>
    <row r="51" ht="15.75" customHeight="1">
      <c r="A51" s="739" t="s">
        <v>4314</v>
      </c>
      <c r="B51" s="740" t="s">
        <v>5861</v>
      </c>
      <c r="C51" s="739" t="str">
        <f>IFERROR(__xludf.DUMMYFUNCTION("IF(COUNTA(filter(B:B,B:B=B51))=1,""Regular"",""Conta Repetida"")"),"Regular")</f>
        <v>Regular</v>
      </c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</row>
    <row r="52" ht="15.75" customHeight="1">
      <c r="A52" s="739" t="s">
        <v>3528</v>
      </c>
      <c r="B52" s="740" t="s">
        <v>5862</v>
      </c>
      <c r="C52" s="739" t="str">
        <f>IFERROR(__xludf.DUMMYFUNCTION("IF(COUNTA(filter(B:B,B:B=B52))=1,""Regular"",""Conta Repetida"")"),"Regular")</f>
        <v>Regular</v>
      </c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</row>
    <row r="53" ht="15.75" customHeight="1">
      <c r="A53" s="739" t="s">
        <v>2435</v>
      </c>
      <c r="B53" s="740" t="s">
        <v>5863</v>
      </c>
      <c r="C53" s="739" t="str">
        <f>IFERROR(__xludf.DUMMYFUNCTION("IF(COUNTA(filter(B:B,B:B=B53))=1,""Regular"",""Conta Repetida"")"),"Regular")</f>
        <v>Regular</v>
      </c>
      <c r="D53" s="74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1"/>
      <c r="R53" s="741"/>
      <c r="S53" s="741"/>
      <c r="T53" s="741"/>
      <c r="U53" s="741"/>
      <c r="V53" s="741"/>
      <c r="W53" s="741"/>
    </row>
    <row r="54" ht="15.75" customHeight="1">
      <c r="A54" s="739" t="s">
        <v>5864</v>
      </c>
      <c r="B54" s="740" t="s">
        <v>5865</v>
      </c>
      <c r="C54" s="739" t="str">
        <f>IFERROR(__xludf.DUMMYFUNCTION("IF(COUNTA(filter(B:B,B:B=B54))=1,""Regular"",""Conta Repetida"")"),"Regular")</f>
        <v>Regular</v>
      </c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</row>
    <row r="55" ht="15.75" customHeight="1">
      <c r="A55" s="739" t="s">
        <v>4568</v>
      </c>
      <c r="B55" s="740" t="s">
        <v>5866</v>
      </c>
      <c r="C55" s="739" t="str">
        <f>IFERROR(__xludf.DUMMYFUNCTION("IF(COUNTA(filter(B:B,B:B=B55))=1,""Regular"",""Conta Repetida"")"),"Regular")</f>
        <v>Regular</v>
      </c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</row>
    <row r="56" ht="15.75" customHeight="1">
      <c r="A56" s="739" t="s">
        <v>4595</v>
      </c>
      <c r="B56" s="740" t="s">
        <v>5867</v>
      </c>
      <c r="C56" s="739" t="str">
        <f>IFERROR(__xludf.DUMMYFUNCTION("IF(COUNTA(filter(B:B,B:B=B56))=1,""Regular"",""Conta Repetida"")"),"Regular")</f>
        <v>Regular</v>
      </c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</row>
    <row r="57" ht="15.75" customHeight="1">
      <c r="A57" s="739" t="s">
        <v>4638</v>
      </c>
      <c r="B57" s="740" t="s">
        <v>5868</v>
      </c>
      <c r="C57" s="739" t="str">
        <f>IFERROR(__xludf.DUMMYFUNCTION("IF(COUNTA(filter(B:B,B:B=B57))=1,""Regular"",""Conta Repetida"")"),"Regular")</f>
        <v>Regular</v>
      </c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</row>
    <row r="58" ht="15.75" customHeight="1">
      <c r="A58" s="739" t="s">
        <v>4671</v>
      </c>
      <c r="B58" s="740" t="s">
        <v>5869</v>
      </c>
      <c r="C58" s="739" t="str">
        <f>IFERROR(__xludf.DUMMYFUNCTION("IF(COUNTA(filter(B:B,B:B=B58))=1,""Regular"",""Conta Repetida"")"),"Regular")</f>
        <v>Regular</v>
      </c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</row>
    <row r="59" ht="15.75" customHeight="1">
      <c r="A59" s="739" t="s">
        <v>4185</v>
      </c>
      <c r="B59" s="740" t="s">
        <v>5870</v>
      </c>
      <c r="C59" s="739" t="str">
        <f>IFERROR(__xludf.DUMMYFUNCTION("IF(COUNTA(filter(B:B,B:B=B59))=1,""Regular"",""Conta Repetida"")"),"Regular")</f>
        <v>Regular</v>
      </c>
      <c r="D59" s="741"/>
      <c r="E59" s="741"/>
      <c r="F59" s="741"/>
      <c r="G59" s="741"/>
      <c r="H59" s="741"/>
      <c r="I59" s="741"/>
      <c r="J59" s="741"/>
      <c r="K59" s="741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</row>
    <row r="60" ht="15.75" customHeight="1">
      <c r="A60" s="739" t="s">
        <v>5871</v>
      </c>
      <c r="B60" s="740" t="s">
        <v>5872</v>
      </c>
      <c r="C60" s="739" t="str">
        <f>IFERROR(__xludf.DUMMYFUNCTION("IF(COUNTA(filter(B:B,B:B=B60))=1,""Regular"",""Conta Repetida"")"),"Regular")</f>
        <v>Regular</v>
      </c>
      <c r="D60" s="741"/>
      <c r="E60" s="741"/>
      <c r="F60" s="741"/>
      <c r="G60" s="741"/>
      <c r="H60" s="741"/>
      <c r="I60" s="741"/>
      <c r="J60" s="741"/>
      <c r="K60" s="741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</row>
    <row r="61" ht="15.75" customHeight="1">
      <c r="A61" s="739" t="s">
        <v>5873</v>
      </c>
      <c r="B61" s="740" t="s">
        <v>5874</v>
      </c>
      <c r="C61" s="739" t="str">
        <f>IFERROR(__xludf.DUMMYFUNCTION("IF(COUNTA(filter(B:B,B:B=B61))=1,""Regular"",""Conta Repetida"")"),"Regular")</f>
        <v>Regular</v>
      </c>
      <c r="D61" s="741"/>
      <c r="E61" s="741"/>
      <c r="F61" s="741"/>
      <c r="G61" s="741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</row>
    <row r="62" ht="15.75" customHeight="1">
      <c r="A62" s="739" t="s">
        <v>4877</v>
      </c>
      <c r="B62" s="740" t="s">
        <v>5875</v>
      </c>
      <c r="C62" s="739" t="str">
        <f>IFERROR(__xludf.DUMMYFUNCTION("IF(COUNTA(filter(B:B,B:B=B62))=1,""Regular"",""Conta Repetida"")"),"Regular")</f>
        <v>Regular</v>
      </c>
      <c r="D62" s="741"/>
      <c r="E62" s="741"/>
      <c r="F62" s="741"/>
      <c r="G62" s="741"/>
      <c r="H62" s="741"/>
      <c r="I62" s="741"/>
      <c r="J62" s="741"/>
      <c r="K62" s="741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</row>
    <row r="63" ht="15.75" customHeight="1">
      <c r="A63" s="739" t="s">
        <v>5876</v>
      </c>
      <c r="B63" s="740" t="s">
        <v>5877</v>
      </c>
      <c r="C63" s="739" t="str">
        <f>IFERROR(__xludf.DUMMYFUNCTION("IF(COUNTA(filter(B:B,B:B=B63))=1,""Regular"",""Conta Repetida"")"),"Regular")</f>
        <v>Regular</v>
      </c>
      <c r="D63" s="741"/>
      <c r="E63" s="741"/>
      <c r="F63" s="741"/>
      <c r="G63" s="741"/>
      <c r="H63" s="741"/>
      <c r="I63" s="741"/>
      <c r="J63" s="741"/>
      <c r="K63" s="741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</row>
    <row r="64" ht="15.75" customHeight="1">
      <c r="A64" s="739" t="s">
        <v>5079</v>
      </c>
      <c r="B64" s="740" t="s">
        <v>5878</v>
      </c>
      <c r="C64" s="739" t="str">
        <f>IFERROR(__xludf.DUMMYFUNCTION("IF(COUNTA(filter(B:B,B:B=B64))=1,""Regular"",""Conta Repetida"")"),"Regular")</f>
        <v>Regular</v>
      </c>
      <c r="D64" s="741"/>
      <c r="E64" s="741"/>
      <c r="F64" s="741"/>
      <c r="G64" s="741"/>
      <c r="H64" s="741"/>
      <c r="I64" s="741"/>
      <c r="J64" s="741"/>
      <c r="K64" s="741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</row>
    <row r="65" ht="15.75" customHeight="1">
      <c r="A65" s="739" t="s">
        <v>201</v>
      </c>
      <c r="B65" s="740" t="s">
        <v>3756</v>
      </c>
      <c r="C65" s="739" t="str">
        <f>IFERROR(__xludf.DUMMYFUNCTION("IF(COUNTA(filter(B:B,B:B=B65))=1,""Regular"",""Conta Repetida"")"),"Regular")</f>
        <v>Regular</v>
      </c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</row>
    <row r="66" ht="15.75" customHeight="1">
      <c r="A66" s="739" t="s">
        <v>4293</v>
      </c>
      <c r="B66" s="740" t="s">
        <v>5879</v>
      </c>
      <c r="C66" s="739" t="str">
        <f>IFERROR(__xludf.DUMMYFUNCTION("IF(COUNTA(filter(B:B,B:B=B66))=1,""Regular"",""Conta Repetida"")"),"Regular")</f>
        <v>Regular</v>
      </c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</row>
    <row r="67" ht="15.75" customHeight="1">
      <c r="A67" s="739" t="s">
        <v>5239</v>
      </c>
      <c r="B67" s="740" t="s">
        <v>5880</v>
      </c>
      <c r="C67" s="739" t="str">
        <f>IFERROR(__xludf.DUMMYFUNCTION("IF(COUNTA(filter(B:B,B:B=B67))=1,""Regular"",""Conta Repetida"")"),"Regular")</f>
        <v>Regular</v>
      </c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</row>
    <row r="68" ht="15.75" customHeight="1">
      <c r="A68" s="739" t="s">
        <v>2392</v>
      </c>
      <c r="B68" s="740" t="s">
        <v>5881</v>
      </c>
      <c r="C68" s="739" t="str">
        <f>IFERROR(__xludf.DUMMYFUNCTION("IF(COUNTA(filter(B:B,B:B=B68))=1,""Regular"",""Conta Repetida"")"),"Regular")</f>
        <v>Regular</v>
      </c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</row>
    <row r="69" ht="15.75" customHeight="1">
      <c r="A69" s="739" t="s">
        <v>171</v>
      </c>
      <c r="B69" s="740" t="s">
        <v>3386</v>
      </c>
      <c r="C69" s="739" t="str">
        <f>IFERROR(__xludf.DUMMYFUNCTION("IF(COUNTA(filter(B:B,B:B=B69))=1,""Regular"",""Conta Repetida"")"),"Regular")</f>
        <v>Regular</v>
      </c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</row>
    <row r="70" ht="15.75" customHeight="1">
      <c r="A70" s="739" t="s">
        <v>146</v>
      </c>
      <c r="B70" s="740" t="s">
        <v>5882</v>
      </c>
      <c r="C70" s="739" t="str">
        <f>IFERROR(__xludf.DUMMYFUNCTION("IF(COUNTA(filter(B:B,B:B=B70))=1,""Regular"",""Conta Repetida"")"),"Regular")</f>
        <v>Regular</v>
      </c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</row>
    <row r="71" ht="15.75" customHeight="1">
      <c r="A71" s="739" t="s">
        <v>2464</v>
      </c>
      <c r="B71" s="740" t="s">
        <v>5883</v>
      </c>
      <c r="C71" s="739" t="str">
        <f>IFERROR(__xludf.DUMMYFUNCTION("IF(COUNTA(filter(B:B,B:B=B71))=1,""Regular"",""Conta Repetida"")"),"Regular")</f>
        <v>Regular</v>
      </c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</row>
    <row r="72" ht="15.75" customHeight="1">
      <c r="A72" s="739" t="s">
        <v>2489</v>
      </c>
      <c r="B72" s="740" t="s">
        <v>5884</v>
      </c>
      <c r="C72" s="739" t="str">
        <f>IFERROR(__xludf.DUMMYFUNCTION("IF(COUNTA(filter(B:B,B:B=B72))=1,""Regular"",""Conta Repetida"")"),"Regular")</f>
        <v>Regular</v>
      </c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</row>
    <row r="73" ht="15.75" customHeight="1">
      <c r="A73" s="739" t="s">
        <v>5885</v>
      </c>
      <c r="B73" s="740" t="s">
        <v>5886</v>
      </c>
      <c r="C73" s="739" t="str">
        <f>IFERROR(__xludf.DUMMYFUNCTION("IF(COUNTA(filter(B:B,B:B=B73))=1,""Regular"",""Conta Repetida"")"),"Regular")</f>
        <v>Regular</v>
      </c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</row>
    <row r="74" ht="15.75" customHeight="1">
      <c r="A74" s="739" t="s">
        <v>3470</v>
      </c>
      <c r="B74" s="740" t="s">
        <v>5887</v>
      </c>
      <c r="C74" s="739" t="str">
        <f>IFERROR(__xludf.DUMMYFUNCTION("IF(COUNTA(filter(B:B,B:B=B74))=1,""Regular"",""Conta Repetida"")"),"Regular")</f>
        <v>Regular</v>
      </c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</row>
    <row r="75" ht="15.75" customHeight="1">
      <c r="A75" s="739" t="s">
        <v>3503</v>
      </c>
      <c r="B75" s="740" t="s">
        <v>5888</v>
      </c>
      <c r="C75" s="739" t="str">
        <f>IFERROR(__xludf.DUMMYFUNCTION("IF(COUNTA(filter(B:B,B:B=B75))=1,""Regular"",""Conta Repetida"")"),"Regular")</f>
        <v>Regular</v>
      </c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</row>
    <row r="76" ht="15.75" customHeight="1">
      <c r="A76" s="739" t="s">
        <v>3511</v>
      </c>
      <c r="B76" s="740" t="s">
        <v>5889</v>
      </c>
      <c r="C76" s="739" t="str">
        <f>IFERROR(__xludf.DUMMYFUNCTION("IF(COUNTA(filter(B:B,B:B=B76))=1,""Regular"",""Conta Repetida"")"),"Regular")</f>
        <v>Regular</v>
      </c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</row>
    <row r="77" ht="15.75" customHeight="1">
      <c r="A77" s="739" t="s">
        <v>5890</v>
      </c>
      <c r="B77" s="740">
        <v>15678.0</v>
      </c>
      <c r="C77" s="739" t="str">
        <f>IFERROR(__xludf.DUMMYFUNCTION("IF(COUNTA(filter(B:B,B:B=B77))=1,""Regular"",""Conta Repetida"")"),"Regular")</f>
        <v>Regular</v>
      </c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</row>
    <row r="78" ht="15.75" customHeight="1">
      <c r="A78" s="739" t="s">
        <v>2520</v>
      </c>
      <c r="B78" s="740">
        <v>26542.0</v>
      </c>
      <c r="C78" s="739" t="str">
        <f>IFERROR(__xludf.DUMMYFUNCTION("IF(COUNTA(filter(B:B,B:B=B78))=1,""Regular"",""Conta Repetida"")"),"Regular")</f>
        <v>Regular</v>
      </c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</row>
    <row r="79" ht="15.75" customHeight="1">
      <c r="A79" s="743" t="s">
        <v>5891</v>
      </c>
      <c r="B79" s="740">
        <v>12345.0</v>
      </c>
      <c r="C79" s="739" t="str">
        <f>IFERROR(__xludf.DUMMYFUNCTION("IF(COUNTA(filter(B:B,B:B=B79))=1,""Regular"",""Conta Repetida"")"),"Regular")</f>
        <v>Regular</v>
      </c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</row>
    <row r="80" ht="15.75" customHeight="1">
      <c r="A80" s="743" t="s">
        <v>137</v>
      </c>
      <c r="B80" s="740">
        <v>12344.0</v>
      </c>
      <c r="C80" s="739" t="str">
        <f>IFERROR(__xludf.DUMMYFUNCTION("IF(COUNTA(filter(B:B,B:B=B80))=1,""Regular"",""Conta Repetida"")"),"Regular")</f>
        <v>Regular</v>
      </c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</row>
    <row r="81" ht="15.75" customHeight="1">
      <c r="A81" s="739" t="s">
        <v>1807</v>
      </c>
      <c r="B81" s="740">
        <v>12343.0</v>
      </c>
      <c r="C81" s="739" t="str">
        <f>IFERROR(__xludf.DUMMYFUNCTION("IF(COUNTA(filter(B:B,B:B=B81))=1,""Regular"",""Conta Repetida"")"),"Regular")</f>
        <v>Regular</v>
      </c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</row>
    <row r="82" ht="15.75" customHeight="1">
      <c r="A82" s="739" t="s">
        <v>761</v>
      </c>
      <c r="B82" s="740">
        <v>12342.0</v>
      </c>
      <c r="C82" s="739" t="str">
        <f>IFERROR(__xludf.DUMMYFUNCTION("IF(COUNTA(filter(B:B,B:B=B82))=1,""Regular"",""Conta Repetida"")"),"Regular")</f>
        <v>Regular</v>
      </c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</row>
    <row r="83" ht="15.75" customHeight="1">
      <c r="A83" s="714" t="s">
        <v>5892</v>
      </c>
      <c r="B83" s="740">
        <v>12341.0</v>
      </c>
      <c r="C83" s="739" t="str">
        <f>IFERROR(__xludf.DUMMYFUNCTION("IF(COUNTA(filter(B:B,B:B=B83))=1,""Regular"",""Conta Repetida"")"),"Regular")</f>
        <v>Regular</v>
      </c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</row>
    <row r="84" ht="15.75" customHeight="1">
      <c r="A84" s="714" t="s">
        <v>4581</v>
      </c>
      <c r="B84" s="740">
        <v>12340.0</v>
      </c>
      <c r="C84" s="739" t="str">
        <f>IFERROR(__xludf.DUMMYFUNCTION("IF(COUNTA(filter(B:B,B:B=B84))=1,""Regular"",""Conta Repetida"")"),"Regular")</f>
        <v>Regular</v>
      </c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</row>
    <row r="85" ht="15.75" customHeight="1">
      <c r="A85" s="714" t="s">
        <v>3941</v>
      </c>
      <c r="B85" s="740">
        <v>12339.0</v>
      </c>
      <c r="C85" s="739" t="str">
        <f>IFERROR(__xludf.DUMMYFUNCTION("IF(COUNTA(filter(B:B,B:B=B85))=1,""Regular"",""Conta Repetida"")"),"Regular")</f>
        <v>Regular</v>
      </c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</row>
    <row r="86" ht="15.75" customHeight="1">
      <c r="A86" s="744" t="s">
        <v>4779</v>
      </c>
      <c r="B86" s="740">
        <v>12338.0</v>
      </c>
      <c r="C86" s="739" t="str">
        <f>IFERROR(__xludf.DUMMYFUNCTION("IF(COUNTA(filter(B:B,B:B=B86))=1,""Regular"",""Conta Repetida"")"),"Regular")</f>
        <v>Regular</v>
      </c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</row>
    <row r="87" ht="15.75" customHeight="1">
      <c r="A87" s="714" t="s">
        <v>3987</v>
      </c>
      <c r="B87" s="740">
        <v>12337.0</v>
      </c>
      <c r="C87" s="739" t="str">
        <f>IFERROR(__xludf.DUMMYFUNCTION("IF(COUNTA(filter(B:B,B:B=B87))=1,""Regular"",""Conta Repetida"")"),"Regular")</f>
        <v>Regular</v>
      </c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</row>
    <row r="88" ht="15.75" customHeight="1">
      <c r="A88" s="714" t="s">
        <v>3656</v>
      </c>
      <c r="B88" s="740">
        <v>12336.0</v>
      </c>
      <c r="C88" s="739" t="str">
        <f>IFERROR(__xludf.DUMMYFUNCTION("IF(COUNTA(filter(B:B,B:B=B88))=1,""Regular"",""Conta Repetida"")"),"Regular")</f>
        <v>Regular</v>
      </c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</row>
    <row r="89" ht="15.75" customHeight="1">
      <c r="A89" s="714" t="s">
        <v>4062</v>
      </c>
      <c r="B89" s="740">
        <v>12335.0</v>
      </c>
      <c r="C89" s="739" t="str">
        <f>IFERROR(__xludf.DUMMYFUNCTION("IF(COUNTA(filter(B:B,B:B=B89))=1,""Regular"",""Conta Repetida"")"),"Regular")</f>
        <v>Regular</v>
      </c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</row>
    <row r="90" ht="15.75" customHeight="1">
      <c r="A90" s="714" t="s">
        <v>5893</v>
      </c>
      <c r="B90" s="740">
        <v>12334.0</v>
      </c>
      <c r="C90" s="739" t="str">
        <f>IFERROR(__xludf.DUMMYFUNCTION("IF(COUNTA(filter(B:B,B:B=B90))=1,""Regular"",""Conta Repetida"")"),"Regular")</f>
        <v>Regular</v>
      </c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</row>
    <row r="91" ht="15.75" customHeight="1">
      <c r="A91" s="743" t="s">
        <v>5810</v>
      </c>
      <c r="B91" s="740">
        <v>12333.0</v>
      </c>
      <c r="C91" s="739" t="str">
        <f>IFERROR(__xludf.DUMMYFUNCTION("IF(COUNTA(filter(B:B,B:B=B91))=1,""Regular"",""Conta Repetida"")"),"Regular")</f>
        <v>Regular</v>
      </c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</row>
    <row r="92" ht="15.75" customHeight="1">
      <c r="A92" s="743" t="s">
        <v>110</v>
      </c>
      <c r="B92" s="740">
        <v>12332.0</v>
      </c>
      <c r="C92" s="739" t="str">
        <f>IFERROR(__xludf.DUMMYFUNCTION("IF(COUNTA(filter(B:B,B:B=B92))=1,""Regular"",""Conta Repetida"")"),"Regular")</f>
        <v>Regular</v>
      </c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</row>
    <row r="93" ht="15.75" customHeight="1">
      <c r="A93" s="743" t="s">
        <v>20</v>
      </c>
      <c r="B93" s="740">
        <v>12331.0</v>
      </c>
      <c r="C93" s="739" t="str">
        <f>IFERROR(__xludf.DUMMYFUNCTION("IF(COUNTA(filter(B:B,B:B=B93))=1,""Regular"",""Conta Repetida"")"),"Regular")</f>
        <v>Regular</v>
      </c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</row>
    <row r="94" ht="15.75" customHeight="1">
      <c r="A94" s="743" t="s">
        <v>4110</v>
      </c>
      <c r="B94" s="740">
        <v>12330.0</v>
      </c>
      <c r="C94" s="739" t="str">
        <f>IFERROR(__xludf.DUMMYFUNCTION("IF(COUNTA(filter(B:B,B:B=B94))=1,""Regular"",""Conta Repetida"")"),"Regular")</f>
        <v>Regular</v>
      </c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</row>
    <row r="95" ht="15.75" customHeight="1">
      <c r="A95" s="743" t="s">
        <v>4028</v>
      </c>
      <c r="B95" s="740">
        <v>12347.0</v>
      </c>
      <c r="C95" s="739" t="str">
        <f>IFERROR(__xludf.DUMMYFUNCTION("IF(COUNTA(filter(B:B,B:B=B95))=1,""Regular"",""Conta Repetida"")"),"Regular")</f>
        <v>Regular</v>
      </c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</row>
    <row r="96" ht="15.75" customHeight="1">
      <c r="A96" s="743" t="s">
        <v>5894</v>
      </c>
      <c r="B96" s="740">
        <v>12348.0</v>
      </c>
      <c r="C96" s="739" t="str">
        <f>IFERROR(__xludf.DUMMYFUNCTION("IF(COUNTA(filter(B:B,B:B=B96))=1,""Regular"",""Conta Repetida"")"),"Regular")</f>
        <v>Regular</v>
      </c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</row>
    <row r="97" ht="15.75" customHeight="1">
      <c r="A97" s="743" t="s">
        <v>5895</v>
      </c>
      <c r="B97" s="740">
        <v>12349.0</v>
      </c>
      <c r="C97" s="739" t="str">
        <f>IFERROR(__xludf.DUMMYFUNCTION("IF(COUNTA(filter(B:B,B:B=B97))=1,""Regular"",""Conta Repetida"")"),"Regular")</f>
        <v>Regular</v>
      </c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</row>
    <row r="98" ht="15.75" customHeight="1">
      <c r="A98" s="743" t="s">
        <v>1672</v>
      </c>
      <c r="B98" s="740">
        <v>12350.0</v>
      </c>
      <c r="C98" s="739" t="str">
        <f>IFERROR(__xludf.DUMMYFUNCTION("IF(COUNTA(filter(B:B,B:B=B98))=1,""Regular"",""Conta Repetida"")"),"Regular")</f>
        <v>Regular</v>
      </c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</row>
    <row r="99" ht="15.75" customHeight="1">
      <c r="A99" s="743" t="s">
        <v>3829</v>
      </c>
      <c r="B99" s="740">
        <v>12351.0</v>
      </c>
      <c r="C99" s="739" t="str">
        <f>IFERROR(__xludf.DUMMYFUNCTION("IF(COUNTA(filter(B:B,B:B=B99))=1,""Regular"",""Conta Repetida"")"),"Regular")</f>
        <v>Regular</v>
      </c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</row>
    <row r="100" ht="15.75" customHeight="1">
      <c r="A100" s="743" t="s">
        <v>3997</v>
      </c>
      <c r="B100" s="740">
        <v>12352.0</v>
      </c>
      <c r="C100" s="739" t="str">
        <f>IFERROR(__xludf.DUMMYFUNCTION("IF(COUNTA(filter(B:B,B:B=B100))=1,""Regular"",""Conta Repetida"")"),"Regular")</f>
        <v>Regular</v>
      </c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</row>
    <row r="101" ht="15.75" customHeight="1">
      <c r="A101" s="743" t="s">
        <v>5896</v>
      </c>
      <c r="B101" s="740">
        <v>12353.0</v>
      </c>
      <c r="C101" s="739" t="str">
        <f>IFERROR(__xludf.DUMMYFUNCTION("IF(COUNTA(filter(B:B,B:B=B101))=1,""Regular"",""Conta Repetida"")"),"Regular")</f>
        <v>Regular</v>
      </c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</row>
    <row r="102" ht="15.75" customHeight="1">
      <c r="A102" s="740" t="s">
        <v>5897</v>
      </c>
      <c r="B102" s="740">
        <v>12354.0</v>
      </c>
      <c r="C102" s="739" t="str">
        <f>IFERROR(__xludf.DUMMYFUNCTION("IF(COUNTA(filter(B:B,B:B=B102))=1,""Regular"",""Conta Repetida"")"),"Regular")</f>
        <v>Regular</v>
      </c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</row>
    <row r="103" ht="15.75" customHeight="1">
      <c r="A103" s="743" t="s">
        <v>3050</v>
      </c>
      <c r="B103" s="740">
        <v>12355.0</v>
      </c>
      <c r="C103" s="739" t="str">
        <f>IFERROR(__xludf.DUMMYFUNCTION("IF(COUNTA(filter(B:B,B:B=B103))=1,""Regular"",""Conta Repetida"")"),"Regular")</f>
        <v>Regular</v>
      </c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</row>
    <row r="104" ht="15.75" customHeight="1">
      <c r="A104" s="745" t="s">
        <v>3725</v>
      </c>
      <c r="B104" s="746">
        <v>12356.0</v>
      </c>
      <c r="C104" s="741" t="s">
        <v>5898</v>
      </c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</row>
    <row r="105" ht="15.75" customHeight="1">
      <c r="A105" s="747" t="s">
        <v>4430</v>
      </c>
      <c r="B105" s="746">
        <v>12357.0</v>
      </c>
      <c r="C105" s="741" t="s">
        <v>5898</v>
      </c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</row>
    <row r="106" ht="15.75" customHeight="1">
      <c r="A106" s="747" t="s">
        <v>4482</v>
      </c>
      <c r="B106" s="746">
        <v>12358.0</v>
      </c>
      <c r="C106" s="741" t="s">
        <v>5898</v>
      </c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</row>
    <row r="107" ht="15.75" customHeight="1">
      <c r="A107" s="745" t="s">
        <v>58</v>
      </c>
      <c r="B107" s="746">
        <v>12359.0</v>
      </c>
      <c r="C107" s="741" t="s">
        <v>5898</v>
      </c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</row>
    <row r="108" ht="15.75" customHeight="1">
      <c r="A108" s="745" t="s">
        <v>4759</v>
      </c>
      <c r="B108" s="746">
        <v>12360.0</v>
      </c>
      <c r="C108" s="741" t="s">
        <v>5898</v>
      </c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</row>
    <row r="109" ht="15.75" customHeight="1">
      <c r="A109" s="747" t="s">
        <v>5899</v>
      </c>
      <c r="B109" s="746">
        <v>12361.0</v>
      </c>
      <c r="C109" s="741" t="s">
        <v>5898</v>
      </c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</row>
    <row r="110" ht="15.75" customHeight="1">
      <c r="A110" s="748" t="s">
        <v>478</v>
      </c>
      <c r="B110" s="746">
        <v>12362.0</v>
      </c>
      <c r="C110" s="741" t="s">
        <v>5898</v>
      </c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</row>
    <row r="111" ht="15.75" customHeight="1">
      <c r="A111" s="749" t="s">
        <v>3276</v>
      </c>
      <c r="B111" s="746">
        <v>12363.0</v>
      </c>
      <c r="C111" s="741" t="s">
        <v>5898</v>
      </c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</row>
    <row r="112" ht="15.75" customHeight="1">
      <c r="A112" s="741"/>
      <c r="B112" s="746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</row>
    <row r="113" ht="15.75" customHeight="1">
      <c r="A113" s="741"/>
      <c r="B113" s="746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</row>
    <row r="114" ht="15.75" customHeight="1">
      <c r="A114" s="741"/>
      <c r="B114" s="746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</row>
    <row r="115" ht="15.75" customHeight="1">
      <c r="A115" s="741"/>
      <c r="B115" s="746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</row>
    <row r="116" ht="15.75" customHeight="1">
      <c r="A116" s="741"/>
      <c r="B116" s="746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</row>
    <row r="117" ht="15.75" customHeight="1">
      <c r="A117" s="741"/>
      <c r="B117" s="746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</row>
    <row r="118" ht="15.75" customHeight="1">
      <c r="A118" s="741"/>
      <c r="B118" s="746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</row>
    <row r="119" ht="15.75" customHeight="1">
      <c r="A119" s="741"/>
      <c r="B119" s="746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</row>
    <row r="120" ht="15.75" customHeight="1">
      <c r="A120" s="741"/>
      <c r="B120" s="746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</row>
    <row r="121" ht="15.75" customHeight="1">
      <c r="A121" s="741"/>
      <c r="B121" s="746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</row>
    <row r="122" ht="15.75" customHeight="1">
      <c r="A122" s="741"/>
      <c r="B122" s="746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</row>
    <row r="123" ht="15.75" customHeight="1">
      <c r="A123" s="741"/>
      <c r="B123" s="746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</row>
    <row r="124" ht="15.75" customHeight="1">
      <c r="A124" s="741"/>
      <c r="B124" s="746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</row>
    <row r="125" ht="15.75" customHeight="1">
      <c r="A125" s="741"/>
      <c r="B125" s="746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</row>
    <row r="126" ht="15.75" customHeight="1">
      <c r="A126" s="741"/>
      <c r="B126" s="746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</row>
    <row r="127" ht="15.75" customHeight="1">
      <c r="A127" s="741"/>
      <c r="B127" s="746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</row>
    <row r="128" ht="15.75" customHeight="1">
      <c r="A128" s="741"/>
      <c r="B128" s="746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</row>
    <row r="129" ht="15.75" customHeight="1">
      <c r="A129" s="741"/>
      <c r="B129" s="746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</row>
    <row r="130" ht="15.75" customHeight="1">
      <c r="A130" s="741"/>
      <c r="B130" s="746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</row>
    <row r="131" ht="15.75" customHeight="1">
      <c r="A131" s="741"/>
      <c r="B131" s="746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</row>
    <row r="132" ht="15.75" customHeight="1">
      <c r="A132" s="741"/>
      <c r="B132" s="746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</row>
    <row r="133" ht="15.75" customHeight="1">
      <c r="A133" s="741"/>
      <c r="B133" s="746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</row>
    <row r="134" ht="15.75" customHeight="1">
      <c r="A134" s="741"/>
      <c r="B134" s="746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</row>
    <row r="135" ht="15.75" customHeight="1">
      <c r="A135" s="741"/>
      <c r="B135" s="746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</row>
    <row r="136" ht="15.75" customHeight="1">
      <c r="A136" s="741"/>
      <c r="B136" s="746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</row>
    <row r="137" ht="15.75" customHeight="1">
      <c r="A137" s="741"/>
      <c r="B137" s="746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</row>
    <row r="138" ht="15.75" customHeight="1">
      <c r="A138" s="741"/>
      <c r="B138" s="746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</row>
    <row r="139" ht="15.75" customHeight="1">
      <c r="A139" s="741"/>
      <c r="B139" s="746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</row>
    <row r="140" ht="15.75" customHeight="1">
      <c r="A140" s="741"/>
      <c r="B140" s="746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</row>
    <row r="141" ht="15.75" customHeight="1">
      <c r="A141" s="741"/>
      <c r="B141" s="746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</row>
    <row r="142" ht="15.75" customHeight="1">
      <c r="A142" s="741"/>
      <c r="B142" s="746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</row>
    <row r="143" ht="15.75" customHeight="1">
      <c r="A143" s="741"/>
      <c r="B143" s="746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</row>
    <row r="144" ht="15.75" customHeight="1">
      <c r="A144" s="741"/>
      <c r="B144" s="746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</row>
    <row r="145" ht="15.75" customHeight="1">
      <c r="A145" s="741"/>
      <c r="B145" s="746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</row>
    <row r="146" ht="15.75" customHeight="1">
      <c r="A146" s="741"/>
      <c r="B146" s="746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</row>
    <row r="147" ht="15.75" customHeight="1">
      <c r="A147" s="741"/>
      <c r="B147" s="746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</row>
    <row r="148" ht="15.75" customHeight="1">
      <c r="A148" s="741"/>
      <c r="B148" s="746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</row>
    <row r="149" ht="15.75" customHeight="1">
      <c r="A149" s="741"/>
      <c r="B149" s="746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</row>
    <row r="150" ht="15.75" customHeight="1">
      <c r="A150" s="741"/>
      <c r="B150" s="746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</row>
    <row r="151" ht="15.75" customHeight="1">
      <c r="A151" s="741"/>
      <c r="B151" s="746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</row>
    <row r="152" ht="15.75" customHeight="1">
      <c r="A152" s="741"/>
      <c r="B152" s="746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</row>
    <row r="153" ht="15.75" customHeight="1">
      <c r="A153" s="741"/>
      <c r="B153" s="746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</row>
    <row r="154" ht="15.75" customHeight="1">
      <c r="A154" s="741"/>
      <c r="B154" s="746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</row>
    <row r="155" ht="15.75" customHeight="1">
      <c r="A155" s="741"/>
      <c r="B155" s="746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</row>
    <row r="156" ht="15.75" customHeight="1">
      <c r="A156" s="741"/>
      <c r="B156" s="746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</row>
    <row r="157" ht="15.75" customHeight="1">
      <c r="A157" s="741"/>
      <c r="B157" s="746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</row>
    <row r="158" ht="15.75" customHeight="1">
      <c r="A158" s="741"/>
      <c r="B158" s="746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</row>
    <row r="159" ht="15.75" customHeight="1">
      <c r="A159" s="741"/>
      <c r="B159" s="746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</row>
    <row r="160" ht="15.75" customHeight="1">
      <c r="A160" s="741"/>
      <c r="B160" s="746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</row>
    <row r="161" ht="15.75" customHeight="1">
      <c r="A161" s="741"/>
      <c r="B161" s="746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</row>
    <row r="162" ht="15.75" customHeight="1">
      <c r="A162" s="741"/>
      <c r="B162" s="746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</row>
    <row r="163" ht="15.75" customHeight="1">
      <c r="A163" s="741"/>
      <c r="B163" s="746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</row>
    <row r="164" ht="15.75" customHeight="1">
      <c r="A164" s="741"/>
      <c r="B164" s="746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</row>
    <row r="165" ht="15.75" customHeight="1">
      <c r="A165" s="741"/>
      <c r="B165" s="746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</row>
    <row r="166" ht="15.75" customHeight="1">
      <c r="A166" s="741"/>
      <c r="B166" s="746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</row>
    <row r="167" ht="15.75" customHeight="1">
      <c r="A167" s="741"/>
      <c r="B167" s="746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</row>
    <row r="168" ht="15.75" customHeight="1">
      <c r="A168" s="741"/>
      <c r="B168" s="746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</row>
    <row r="169" ht="15.75" customHeight="1">
      <c r="A169" s="741"/>
      <c r="B169" s="746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</row>
    <row r="170" ht="15.75" customHeight="1">
      <c r="A170" s="741"/>
      <c r="B170" s="746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</row>
    <row r="171" ht="15.75" customHeight="1">
      <c r="A171" s="741"/>
      <c r="B171" s="746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</row>
    <row r="172" ht="15.75" customHeight="1">
      <c r="A172" s="741"/>
      <c r="B172" s="746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</row>
    <row r="173" ht="15.75" customHeight="1">
      <c r="A173" s="741"/>
      <c r="B173" s="746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</row>
    <row r="174" ht="15.75" customHeight="1">
      <c r="A174" s="741"/>
      <c r="B174" s="746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</row>
    <row r="175" ht="15.75" customHeight="1">
      <c r="A175" s="741"/>
      <c r="B175" s="746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</row>
    <row r="176" ht="15.75" customHeight="1">
      <c r="A176" s="741"/>
      <c r="B176" s="746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</row>
    <row r="177" ht="15.75" customHeight="1">
      <c r="A177" s="741"/>
      <c r="B177" s="746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</row>
    <row r="178" ht="15.75" customHeight="1">
      <c r="A178" s="741"/>
      <c r="B178" s="746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</row>
    <row r="179" ht="15.75" customHeight="1">
      <c r="A179" s="741"/>
      <c r="B179" s="746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</row>
    <row r="180" ht="15.75" customHeight="1">
      <c r="A180" s="741"/>
      <c r="B180" s="746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</row>
    <row r="181" ht="15.75" customHeight="1">
      <c r="A181" s="741"/>
      <c r="B181" s="746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</row>
    <row r="182" ht="15.75" customHeight="1">
      <c r="A182" s="741"/>
      <c r="B182" s="746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</row>
    <row r="183" ht="15.75" customHeight="1">
      <c r="A183" s="741"/>
      <c r="B183" s="746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</row>
    <row r="184" ht="15.75" customHeight="1">
      <c r="A184" s="741"/>
      <c r="B184" s="746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</row>
    <row r="185" ht="15.75" customHeight="1">
      <c r="A185" s="741"/>
      <c r="B185" s="746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</row>
    <row r="186" ht="15.75" customHeight="1">
      <c r="A186" s="741"/>
      <c r="B186" s="746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</row>
    <row r="187" ht="15.75" customHeight="1">
      <c r="A187" s="741"/>
      <c r="B187" s="746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</row>
    <row r="188" ht="15.75" customHeight="1">
      <c r="A188" s="741"/>
      <c r="B188" s="746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</row>
    <row r="189" ht="15.75" customHeight="1">
      <c r="A189" s="741"/>
      <c r="B189" s="746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</row>
    <row r="190" ht="15.75" customHeight="1">
      <c r="A190" s="741"/>
      <c r="B190" s="746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</row>
    <row r="191" ht="15.75" customHeight="1">
      <c r="A191" s="741"/>
      <c r="B191" s="746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</row>
    <row r="192" ht="15.75" customHeight="1">
      <c r="A192" s="741"/>
      <c r="B192" s="746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</row>
    <row r="193" ht="15.75" customHeight="1">
      <c r="A193" s="741"/>
      <c r="B193" s="746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</row>
    <row r="194" ht="15.75" customHeight="1">
      <c r="A194" s="741"/>
      <c r="B194" s="746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</row>
    <row r="195" ht="15.75" customHeight="1">
      <c r="A195" s="741"/>
      <c r="B195" s="746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</row>
    <row r="196" ht="15.75" customHeight="1">
      <c r="A196" s="741"/>
      <c r="B196" s="746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</row>
    <row r="197" ht="15.75" customHeight="1">
      <c r="A197" s="741"/>
      <c r="B197" s="746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</row>
    <row r="198" ht="15.75" customHeight="1">
      <c r="A198" s="741"/>
      <c r="B198" s="746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</row>
    <row r="199" ht="15.75" customHeight="1">
      <c r="A199" s="741"/>
      <c r="B199" s="746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</row>
    <row r="200" ht="15.75" customHeight="1">
      <c r="A200" s="741"/>
      <c r="B200" s="746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0" t="s">
        <v>5900</v>
      </c>
      <c r="B1" s="751" t="s">
        <v>2</v>
      </c>
      <c r="C1" s="750" t="s">
        <v>3</v>
      </c>
      <c r="D1" s="750" t="s">
        <v>5901</v>
      </c>
      <c r="E1" s="752" t="s">
        <v>5250</v>
      </c>
      <c r="F1" s="750" t="s">
        <v>5620</v>
      </c>
      <c r="G1" s="750" t="s">
        <v>4</v>
      </c>
      <c r="H1" s="750" t="s">
        <v>5</v>
      </c>
      <c r="I1" s="750" t="s">
        <v>6</v>
      </c>
      <c r="J1" s="753" t="s">
        <v>73</v>
      </c>
      <c r="K1" s="750" t="s">
        <v>9</v>
      </c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</row>
    <row r="2" ht="15.75" customHeight="1">
      <c r="A2" s="755">
        <v>43768.0</v>
      </c>
      <c r="B2" s="756" t="s">
        <v>2523</v>
      </c>
      <c r="C2" s="745" t="s">
        <v>2376</v>
      </c>
      <c r="D2" s="745" t="s">
        <v>5902</v>
      </c>
      <c r="E2" s="757">
        <v>0.0</v>
      </c>
      <c r="F2" s="745" t="s">
        <v>2522</v>
      </c>
      <c r="G2" s="755" t="s">
        <v>2379</v>
      </c>
      <c r="H2" s="755" t="s">
        <v>29</v>
      </c>
      <c r="I2" s="755" t="s">
        <v>2380</v>
      </c>
      <c r="J2" s="755">
        <v>43567.0</v>
      </c>
      <c r="K2" s="758" t="s">
        <v>3664</v>
      </c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</row>
    <row r="3" ht="15.75" customHeight="1">
      <c r="A3" s="755">
        <v>43782.0</v>
      </c>
      <c r="B3" s="756" t="s">
        <v>2971</v>
      </c>
      <c r="C3" s="745" t="s">
        <v>2376</v>
      </c>
      <c r="D3" s="745" t="s">
        <v>5902</v>
      </c>
      <c r="E3" s="757">
        <v>0.0</v>
      </c>
      <c r="F3" s="745" t="s">
        <v>2970</v>
      </c>
      <c r="G3" s="755" t="s">
        <v>2379</v>
      </c>
      <c r="H3" s="755" t="s">
        <v>29</v>
      </c>
      <c r="I3" s="755" t="s">
        <v>2392</v>
      </c>
      <c r="J3" s="755">
        <v>43567.0</v>
      </c>
      <c r="K3" s="758" t="s">
        <v>4033</v>
      </c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</row>
    <row r="4" ht="15.75" customHeight="1">
      <c r="A4" s="755">
        <v>43862.0</v>
      </c>
      <c r="B4" s="756" t="s">
        <v>3392</v>
      </c>
      <c r="C4" s="745" t="s">
        <v>2376</v>
      </c>
      <c r="D4" s="745" t="s">
        <v>5902</v>
      </c>
      <c r="E4" s="757">
        <v>0.0</v>
      </c>
      <c r="F4" s="745" t="s">
        <v>3391</v>
      </c>
      <c r="G4" s="755" t="s">
        <v>18</v>
      </c>
      <c r="H4" s="755" t="s">
        <v>29</v>
      </c>
      <c r="I4" s="755" t="s">
        <v>2633</v>
      </c>
      <c r="J4" s="755">
        <v>43461.0</v>
      </c>
      <c r="K4" s="758" t="s">
        <v>4033</v>
      </c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  <c r="X4" s="754"/>
      <c r="Y4" s="754"/>
      <c r="Z4" s="754"/>
      <c r="AA4" s="754"/>
      <c r="AB4" s="754"/>
      <c r="AC4" s="754"/>
      <c r="AD4" s="754"/>
      <c r="AE4" s="754"/>
    </row>
    <row r="5" ht="15.75" customHeight="1">
      <c r="A5" s="759">
        <v>43893.0</v>
      </c>
      <c r="B5" s="760" t="s">
        <v>3272</v>
      </c>
      <c r="C5" s="761" t="s">
        <v>2376</v>
      </c>
      <c r="D5" s="745" t="s">
        <v>5903</v>
      </c>
      <c r="E5" s="757">
        <v>25000.0</v>
      </c>
      <c r="F5" s="745" t="s">
        <v>3271</v>
      </c>
      <c r="G5" s="755" t="s">
        <v>2379</v>
      </c>
      <c r="H5" s="755" t="s">
        <v>29</v>
      </c>
      <c r="I5" s="755" t="s">
        <v>2380</v>
      </c>
      <c r="J5" s="755">
        <v>43675.0</v>
      </c>
      <c r="K5" s="758" t="s">
        <v>4033</v>
      </c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754"/>
      <c r="AA5" s="754"/>
      <c r="AB5" s="754"/>
      <c r="AC5" s="754"/>
      <c r="AD5" s="754"/>
      <c r="AE5" s="754"/>
    </row>
    <row r="6" ht="15.75" customHeight="1">
      <c r="A6" s="759">
        <v>43893.0</v>
      </c>
      <c r="B6" s="760" t="s">
        <v>3217</v>
      </c>
      <c r="C6" s="761" t="s">
        <v>2376</v>
      </c>
      <c r="D6" s="745" t="s">
        <v>5903</v>
      </c>
      <c r="E6" s="757">
        <v>6000.0</v>
      </c>
      <c r="F6" s="745" t="s">
        <v>1838</v>
      </c>
      <c r="G6" s="755" t="s">
        <v>2379</v>
      </c>
      <c r="H6" s="755" t="s">
        <v>29</v>
      </c>
      <c r="I6" s="755" t="s">
        <v>2392</v>
      </c>
      <c r="J6" s="755">
        <v>43620.0</v>
      </c>
      <c r="K6" s="758" t="s">
        <v>3651</v>
      </c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754"/>
      <c r="AA6" s="754"/>
      <c r="AB6" s="754"/>
      <c r="AC6" s="754"/>
      <c r="AD6" s="754"/>
      <c r="AE6" s="754"/>
    </row>
    <row r="7" ht="15.75" customHeight="1">
      <c r="A7" s="759">
        <v>43894.0</v>
      </c>
      <c r="B7" s="760" t="s">
        <v>5904</v>
      </c>
      <c r="C7" s="761" t="s">
        <v>3642</v>
      </c>
      <c r="D7" s="745" t="s">
        <v>5903</v>
      </c>
      <c r="E7" s="757">
        <v>50000.0</v>
      </c>
      <c r="F7" s="745" t="s">
        <v>4889</v>
      </c>
      <c r="G7" s="745" t="s">
        <v>2379</v>
      </c>
      <c r="H7" s="745" t="s">
        <v>29</v>
      </c>
      <c r="I7" s="745" t="s">
        <v>2379</v>
      </c>
      <c r="J7" s="755">
        <v>43749.0</v>
      </c>
      <c r="K7" s="762" t="s">
        <v>4033</v>
      </c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754"/>
      <c r="AA7" s="754"/>
      <c r="AB7" s="754"/>
      <c r="AC7" s="754"/>
      <c r="AD7" s="754"/>
      <c r="AE7" s="754"/>
    </row>
    <row r="8" ht="15.75" customHeight="1">
      <c r="A8" s="759">
        <v>43894.0</v>
      </c>
      <c r="B8" s="760" t="s">
        <v>3272</v>
      </c>
      <c r="C8" s="761" t="s">
        <v>2376</v>
      </c>
      <c r="D8" s="745" t="s">
        <v>5903</v>
      </c>
      <c r="E8" s="757">
        <v>9500.0</v>
      </c>
      <c r="F8" s="745" t="s">
        <v>3271</v>
      </c>
      <c r="G8" s="755" t="s">
        <v>2379</v>
      </c>
      <c r="H8" s="755" t="s">
        <v>29</v>
      </c>
      <c r="I8" s="755" t="s">
        <v>2380</v>
      </c>
      <c r="J8" s="755">
        <v>43675.0</v>
      </c>
      <c r="K8" s="758" t="s">
        <v>4033</v>
      </c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754"/>
      <c r="AA8" s="754"/>
      <c r="AB8" s="754"/>
      <c r="AC8" s="754"/>
      <c r="AD8" s="754"/>
      <c r="AE8" s="754"/>
    </row>
    <row r="9" ht="15.75" customHeight="1">
      <c r="A9" s="759">
        <v>43894.0</v>
      </c>
      <c r="B9" s="760" t="s">
        <v>3198</v>
      </c>
      <c r="C9" s="761" t="s">
        <v>2376</v>
      </c>
      <c r="D9" s="745" t="s">
        <v>5903</v>
      </c>
      <c r="E9" s="757">
        <v>5000.0</v>
      </c>
      <c r="F9" s="745" t="s">
        <v>3197</v>
      </c>
      <c r="G9" s="755" t="s">
        <v>2379</v>
      </c>
      <c r="H9" s="755" t="s">
        <v>29</v>
      </c>
      <c r="I9" s="755" t="s">
        <v>2380</v>
      </c>
      <c r="J9" s="755">
        <v>43700.0</v>
      </c>
      <c r="K9" s="758" t="s">
        <v>4033</v>
      </c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754"/>
      <c r="AA9" s="754"/>
      <c r="AB9" s="754"/>
      <c r="AC9" s="754"/>
      <c r="AD9" s="754"/>
      <c r="AE9" s="754"/>
    </row>
    <row r="10" ht="15.75" customHeight="1">
      <c r="A10" s="759">
        <v>43894.0</v>
      </c>
      <c r="B10" s="760" t="s">
        <v>2858</v>
      </c>
      <c r="C10" s="761" t="s">
        <v>2376</v>
      </c>
      <c r="D10" s="745" t="s">
        <v>5903</v>
      </c>
      <c r="E10" s="757">
        <v>3700.0</v>
      </c>
      <c r="F10" s="745" t="s">
        <v>2857</v>
      </c>
      <c r="G10" s="755" t="s">
        <v>18</v>
      </c>
      <c r="H10" s="755" t="s">
        <v>29</v>
      </c>
      <c r="I10" s="755" t="s">
        <v>2633</v>
      </c>
      <c r="J10" s="755">
        <v>43510.0</v>
      </c>
      <c r="K10" s="758" t="s">
        <v>5905</v>
      </c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754"/>
      <c r="AA10" s="754"/>
      <c r="AB10" s="754"/>
      <c r="AC10" s="754"/>
      <c r="AD10" s="754"/>
      <c r="AE10" s="754"/>
    </row>
    <row r="11" ht="15.75" customHeight="1">
      <c r="A11" s="759">
        <v>43895.0</v>
      </c>
      <c r="B11" s="760" t="s">
        <v>2811</v>
      </c>
      <c r="C11" s="761" t="s">
        <v>2376</v>
      </c>
      <c r="D11" s="745" t="s">
        <v>5903</v>
      </c>
      <c r="E11" s="757">
        <v>14000.0</v>
      </c>
      <c r="F11" s="745" t="s">
        <v>2810</v>
      </c>
      <c r="G11" s="755" t="s">
        <v>2379</v>
      </c>
      <c r="H11" s="755" t="s">
        <v>29</v>
      </c>
      <c r="I11" s="755" t="s">
        <v>2380</v>
      </c>
      <c r="J11" s="755">
        <v>43703.0</v>
      </c>
      <c r="K11" s="758" t="s">
        <v>4033</v>
      </c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  <c r="X11" s="754"/>
      <c r="Y11" s="754"/>
      <c r="Z11" s="754"/>
      <c r="AA11" s="754"/>
      <c r="AB11" s="754"/>
      <c r="AC11" s="754"/>
      <c r="AD11" s="754"/>
      <c r="AE11" s="754"/>
    </row>
    <row r="12" ht="15.75" customHeight="1">
      <c r="A12" s="759">
        <v>43902.0</v>
      </c>
      <c r="B12" s="760" t="s">
        <v>3416</v>
      </c>
      <c r="C12" s="761" t="s">
        <v>2376</v>
      </c>
      <c r="D12" s="745" t="s">
        <v>5903</v>
      </c>
      <c r="E12" s="757">
        <v>10000.0</v>
      </c>
      <c r="F12" s="745" t="s">
        <v>3415</v>
      </c>
      <c r="G12" s="755" t="s">
        <v>2379</v>
      </c>
      <c r="H12" s="755" t="s">
        <v>29</v>
      </c>
      <c r="I12" s="755" t="s">
        <v>2380</v>
      </c>
      <c r="J12" s="755">
        <v>43567.0</v>
      </c>
      <c r="K12" s="758" t="s">
        <v>3651</v>
      </c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  <c r="X12" s="754"/>
      <c r="Y12" s="754"/>
      <c r="Z12" s="754"/>
      <c r="AA12" s="754"/>
      <c r="AB12" s="754"/>
      <c r="AC12" s="754"/>
      <c r="AD12" s="754"/>
      <c r="AE12" s="754"/>
    </row>
    <row r="13" ht="15.75" customHeight="1">
      <c r="A13" s="759">
        <v>43906.0</v>
      </c>
      <c r="B13" s="760" t="s">
        <v>2870</v>
      </c>
      <c r="C13" s="761" t="s">
        <v>2376</v>
      </c>
      <c r="D13" s="745" t="s">
        <v>5903</v>
      </c>
      <c r="E13" s="757">
        <v>193205.23</v>
      </c>
      <c r="F13" s="745" t="s">
        <v>2869</v>
      </c>
      <c r="G13" s="755" t="s">
        <v>2379</v>
      </c>
      <c r="H13" s="755" t="s">
        <v>29</v>
      </c>
      <c r="I13" s="755" t="s">
        <v>2380</v>
      </c>
      <c r="J13" s="755">
        <v>43605.0</v>
      </c>
      <c r="K13" s="758" t="s">
        <v>3660</v>
      </c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  <c r="X13" s="754"/>
      <c r="Y13" s="754"/>
      <c r="Z13" s="754"/>
      <c r="AA13" s="754"/>
      <c r="AB13" s="754"/>
      <c r="AC13" s="754"/>
      <c r="AD13" s="754"/>
      <c r="AE13" s="754"/>
    </row>
    <row r="14" ht="15.75" customHeight="1">
      <c r="A14" s="759">
        <v>43906.0</v>
      </c>
      <c r="B14" s="763" t="s">
        <v>5906</v>
      </c>
      <c r="C14" s="761" t="s">
        <v>3642</v>
      </c>
      <c r="D14" s="745" t="s">
        <v>5903</v>
      </c>
      <c r="E14" s="757">
        <v>10000.0</v>
      </c>
      <c r="F14" s="745" t="s">
        <v>5010</v>
      </c>
      <c r="G14" s="745" t="s">
        <v>2379</v>
      </c>
      <c r="H14" s="745" t="s">
        <v>29</v>
      </c>
      <c r="I14" s="745" t="s">
        <v>2379</v>
      </c>
      <c r="J14" s="755">
        <v>43924.0</v>
      </c>
      <c r="K14" s="762" t="s">
        <v>3651</v>
      </c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  <c r="X14" s="754"/>
      <c r="Y14" s="754"/>
      <c r="Z14" s="754"/>
      <c r="AA14" s="754"/>
      <c r="AB14" s="754"/>
      <c r="AC14" s="754"/>
      <c r="AD14" s="754"/>
      <c r="AE14" s="754"/>
    </row>
    <row r="15" ht="15.75" customHeight="1">
      <c r="A15" s="759">
        <v>43907.0</v>
      </c>
      <c r="B15" s="760" t="s">
        <v>2623</v>
      </c>
      <c r="C15" s="761" t="s">
        <v>2376</v>
      </c>
      <c r="D15" s="745" t="s">
        <v>5903</v>
      </c>
      <c r="E15" s="757">
        <v>25000.0</v>
      </c>
      <c r="F15" s="745" t="s">
        <v>2622</v>
      </c>
      <c r="G15" s="755" t="s">
        <v>2379</v>
      </c>
      <c r="H15" s="755" t="s">
        <v>29</v>
      </c>
      <c r="I15" s="755" t="s">
        <v>2380</v>
      </c>
      <c r="J15" s="755">
        <v>43822.0</v>
      </c>
      <c r="K15" s="758" t="s">
        <v>3660</v>
      </c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  <c r="X15" s="754"/>
      <c r="Y15" s="754"/>
      <c r="Z15" s="754"/>
      <c r="AA15" s="754"/>
      <c r="AB15" s="754"/>
      <c r="AC15" s="754"/>
      <c r="AD15" s="754"/>
      <c r="AE15" s="754"/>
    </row>
    <row r="16" ht="15.75" customHeight="1">
      <c r="A16" s="759">
        <v>43907.0</v>
      </c>
      <c r="B16" s="760" t="s">
        <v>2811</v>
      </c>
      <c r="C16" s="761" t="s">
        <v>2376</v>
      </c>
      <c r="D16" s="745" t="s">
        <v>5903</v>
      </c>
      <c r="E16" s="757">
        <v>7000.0</v>
      </c>
      <c r="F16" s="745" t="s">
        <v>2810</v>
      </c>
      <c r="G16" s="755" t="s">
        <v>2379</v>
      </c>
      <c r="H16" s="755" t="s">
        <v>29</v>
      </c>
      <c r="I16" s="755" t="s">
        <v>2380</v>
      </c>
      <c r="J16" s="755">
        <v>43703.0</v>
      </c>
      <c r="K16" s="758" t="s">
        <v>4033</v>
      </c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  <c r="X16" s="754"/>
      <c r="Y16" s="754"/>
      <c r="Z16" s="754"/>
      <c r="AA16" s="754"/>
      <c r="AB16" s="754"/>
      <c r="AC16" s="754"/>
      <c r="AD16" s="754"/>
      <c r="AE16" s="754"/>
    </row>
    <row r="17" ht="15.75" customHeight="1">
      <c r="A17" s="759">
        <v>43907.0</v>
      </c>
      <c r="B17" s="760" t="s">
        <v>5907</v>
      </c>
      <c r="C17" s="761" t="s">
        <v>3642</v>
      </c>
      <c r="D17" s="745" t="s">
        <v>5903</v>
      </c>
      <c r="E17" s="757">
        <v>95799.8</v>
      </c>
      <c r="F17" s="745" t="s">
        <v>4507</v>
      </c>
      <c r="G17" s="745" t="s">
        <v>2379</v>
      </c>
      <c r="H17" s="745" t="s">
        <v>29</v>
      </c>
      <c r="I17" s="745" t="s">
        <v>2379</v>
      </c>
      <c r="J17" s="755">
        <v>44252.0</v>
      </c>
      <c r="K17" s="762" t="s">
        <v>3660</v>
      </c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  <c r="X17" s="754"/>
      <c r="Y17" s="754"/>
      <c r="Z17" s="754"/>
      <c r="AA17" s="754"/>
      <c r="AB17" s="754"/>
      <c r="AC17" s="754"/>
      <c r="AD17" s="754"/>
      <c r="AE17" s="754"/>
    </row>
    <row r="18" ht="15.75" customHeight="1">
      <c r="A18" s="755">
        <v>43910.0</v>
      </c>
      <c r="B18" s="756" t="s">
        <v>2714</v>
      </c>
      <c r="C18" s="745" t="s">
        <v>2376</v>
      </c>
      <c r="D18" s="745" t="s">
        <v>5902</v>
      </c>
      <c r="E18" s="757">
        <v>0.0</v>
      </c>
      <c r="F18" s="745" t="s">
        <v>2713</v>
      </c>
      <c r="G18" s="755" t="s">
        <v>2379</v>
      </c>
      <c r="H18" s="755" t="s">
        <v>29</v>
      </c>
      <c r="I18" s="755" t="s">
        <v>2392</v>
      </c>
      <c r="J18" s="755">
        <v>43699.0</v>
      </c>
      <c r="K18" s="758" t="s">
        <v>4033</v>
      </c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  <c r="X18" s="754"/>
      <c r="Y18" s="754"/>
      <c r="Z18" s="754"/>
      <c r="AA18" s="754"/>
      <c r="AB18" s="754"/>
      <c r="AC18" s="754"/>
      <c r="AD18" s="754"/>
      <c r="AE18" s="754"/>
    </row>
    <row r="19" ht="15.75" customHeight="1">
      <c r="A19" s="759">
        <v>43915.0</v>
      </c>
      <c r="B19" s="760" t="s">
        <v>2870</v>
      </c>
      <c r="C19" s="761" t="s">
        <v>2376</v>
      </c>
      <c r="D19" s="745" t="s">
        <v>5903</v>
      </c>
      <c r="E19" s="757">
        <v>0.0</v>
      </c>
      <c r="F19" s="745" t="s">
        <v>2869</v>
      </c>
      <c r="G19" s="755" t="s">
        <v>2379</v>
      </c>
      <c r="H19" s="755" t="s">
        <v>29</v>
      </c>
      <c r="I19" s="755" t="s">
        <v>2380</v>
      </c>
      <c r="J19" s="755">
        <v>43605.0</v>
      </c>
      <c r="K19" s="758" t="s">
        <v>3660</v>
      </c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754"/>
      <c r="Z19" s="754"/>
      <c r="AA19" s="754"/>
      <c r="AB19" s="754"/>
      <c r="AC19" s="754"/>
      <c r="AD19" s="754"/>
      <c r="AE19" s="754"/>
    </row>
    <row r="20" ht="15.75" customHeight="1">
      <c r="A20" s="759">
        <v>43915.0</v>
      </c>
      <c r="B20" s="760" t="s">
        <v>2811</v>
      </c>
      <c r="C20" s="761" t="s">
        <v>2376</v>
      </c>
      <c r="D20" s="745" t="s">
        <v>5903</v>
      </c>
      <c r="E20" s="757">
        <v>80000.0</v>
      </c>
      <c r="F20" s="745" t="s">
        <v>2810</v>
      </c>
      <c r="G20" s="755" t="s">
        <v>2379</v>
      </c>
      <c r="H20" s="755" t="s">
        <v>29</v>
      </c>
      <c r="I20" s="755" t="s">
        <v>2380</v>
      </c>
      <c r="J20" s="755">
        <v>43703.0</v>
      </c>
      <c r="K20" s="758" t="s">
        <v>4033</v>
      </c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54"/>
      <c r="AB20" s="754"/>
      <c r="AC20" s="754"/>
      <c r="AD20" s="754"/>
      <c r="AE20" s="754"/>
    </row>
    <row r="21" ht="15.75" customHeight="1">
      <c r="A21" s="759">
        <v>43915.0</v>
      </c>
      <c r="B21" s="760" t="s">
        <v>5906</v>
      </c>
      <c r="C21" s="761" t="s">
        <v>3642</v>
      </c>
      <c r="D21" s="745" t="s">
        <v>2387</v>
      </c>
      <c r="E21" s="757">
        <v>10000.0</v>
      </c>
      <c r="F21" s="745" t="s">
        <v>5010</v>
      </c>
      <c r="G21" s="745" t="s">
        <v>2379</v>
      </c>
      <c r="H21" s="745" t="s">
        <v>29</v>
      </c>
      <c r="I21" s="745" t="s">
        <v>2379</v>
      </c>
      <c r="J21" s="755">
        <v>43924.0</v>
      </c>
      <c r="K21" s="762" t="s">
        <v>3651</v>
      </c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54"/>
      <c r="AB21" s="754"/>
      <c r="AC21" s="754"/>
      <c r="AD21" s="754"/>
      <c r="AE21" s="754"/>
    </row>
    <row r="22" ht="15.75" customHeight="1">
      <c r="A22" s="759">
        <v>43917.0</v>
      </c>
      <c r="B22" s="760" t="s">
        <v>2914</v>
      </c>
      <c r="C22" s="761" t="s">
        <v>2376</v>
      </c>
      <c r="D22" s="745" t="s">
        <v>5903</v>
      </c>
      <c r="E22" s="757">
        <v>80000.0</v>
      </c>
      <c r="F22" s="745" t="s">
        <v>2913</v>
      </c>
      <c r="G22" s="755" t="s">
        <v>2379</v>
      </c>
      <c r="H22" s="755" t="s">
        <v>29</v>
      </c>
      <c r="I22" s="755" t="s">
        <v>2392</v>
      </c>
      <c r="J22" s="755">
        <v>43664.0</v>
      </c>
      <c r="K22" s="758" t="s">
        <v>4033</v>
      </c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  <c r="X22" s="754"/>
      <c r="Y22" s="754"/>
      <c r="Z22" s="754"/>
      <c r="AA22" s="754"/>
      <c r="AB22" s="754"/>
      <c r="AC22" s="754"/>
      <c r="AD22" s="754"/>
      <c r="AE22" s="754"/>
    </row>
    <row r="23" ht="15.75" customHeight="1">
      <c r="A23" s="759">
        <v>43917.0</v>
      </c>
      <c r="B23" s="760" t="s">
        <v>5904</v>
      </c>
      <c r="C23" s="761" t="s">
        <v>3642</v>
      </c>
      <c r="D23" s="745" t="s">
        <v>5903</v>
      </c>
      <c r="E23" s="757">
        <v>25000.0</v>
      </c>
      <c r="F23" s="745" t="s">
        <v>4889</v>
      </c>
      <c r="G23" s="745" t="s">
        <v>2379</v>
      </c>
      <c r="H23" s="745" t="s">
        <v>29</v>
      </c>
      <c r="I23" s="745" t="s">
        <v>2379</v>
      </c>
      <c r="J23" s="755">
        <v>43749.0</v>
      </c>
      <c r="K23" s="762" t="s">
        <v>4033</v>
      </c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  <c r="X23" s="754"/>
      <c r="Y23" s="754"/>
      <c r="Z23" s="754"/>
      <c r="AA23" s="754"/>
      <c r="AB23" s="754"/>
      <c r="AC23" s="754"/>
      <c r="AD23" s="754"/>
      <c r="AE23" s="754"/>
    </row>
    <row r="24" ht="15.75" customHeight="1">
      <c r="A24" s="759">
        <v>43920.0</v>
      </c>
      <c r="B24" s="760" t="s">
        <v>2885</v>
      </c>
      <c r="C24" s="761" t="s">
        <v>2376</v>
      </c>
      <c r="D24" s="745" t="s">
        <v>5903</v>
      </c>
      <c r="E24" s="757">
        <v>20000.0</v>
      </c>
      <c r="F24" s="745" t="s">
        <v>2884</v>
      </c>
      <c r="G24" s="755" t="s">
        <v>2379</v>
      </c>
      <c r="H24" s="755" t="s">
        <v>29</v>
      </c>
      <c r="I24" s="755" t="s">
        <v>2392</v>
      </c>
      <c r="J24" s="755">
        <v>43559.0</v>
      </c>
      <c r="K24" s="758" t="s">
        <v>4033</v>
      </c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  <c r="X24" s="754"/>
      <c r="Y24" s="754"/>
      <c r="Z24" s="754"/>
      <c r="AA24" s="754"/>
      <c r="AB24" s="754"/>
      <c r="AC24" s="754"/>
      <c r="AD24" s="754"/>
      <c r="AE24" s="754"/>
    </row>
    <row r="25" ht="15.75" customHeight="1">
      <c r="A25" s="755">
        <v>43922.0</v>
      </c>
      <c r="B25" s="756" t="s">
        <v>3188</v>
      </c>
      <c r="C25" s="745" t="s">
        <v>2376</v>
      </c>
      <c r="D25" s="745" t="s">
        <v>5902</v>
      </c>
      <c r="E25" s="757">
        <v>95799.8</v>
      </c>
      <c r="F25" s="745" t="s">
        <v>3187</v>
      </c>
      <c r="G25" s="755" t="s">
        <v>2379</v>
      </c>
      <c r="H25" s="755" t="s">
        <v>29</v>
      </c>
      <c r="I25" s="755" t="s">
        <v>2380</v>
      </c>
      <c r="J25" s="755">
        <v>43563.0</v>
      </c>
      <c r="K25" s="758" t="s">
        <v>3664</v>
      </c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54"/>
      <c r="AE25" s="754"/>
    </row>
    <row r="26" ht="15.75" customHeight="1">
      <c r="A26" s="759">
        <v>43922.0</v>
      </c>
      <c r="B26" s="760" t="s">
        <v>3188</v>
      </c>
      <c r="C26" s="761" t="s">
        <v>2376</v>
      </c>
      <c r="D26" s="745" t="s">
        <v>2387</v>
      </c>
      <c r="E26" s="757">
        <v>50000.0</v>
      </c>
      <c r="F26" s="745" t="s">
        <v>3187</v>
      </c>
      <c r="G26" s="755" t="s">
        <v>2379</v>
      </c>
      <c r="H26" s="755" t="s">
        <v>29</v>
      </c>
      <c r="I26" s="755" t="s">
        <v>2380</v>
      </c>
      <c r="J26" s="755">
        <v>43563.0</v>
      </c>
      <c r="K26" s="758" t="s">
        <v>3664</v>
      </c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  <c r="X26" s="754"/>
      <c r="Y26" s="754"/>
      <c r="Z26" s="754"/>
      <c r="AA26" s="754"/>
      <c r="AB26" s="754"/>
      <c r="AC26" s="754"/>
      <c r="AD26" s="754"/>
      <c r="AE26" s="754"/>
    </row>
    <row r="27" ht="15.75" customHeight="1">
      <c r="A27" s="759">
        <v>43922.0</v>
      </c>
      <c r="B27" s="760" t="s">
        <v>2613</v>
      </c>
      <c r="C27" s="761" t="s">
        <v>2376</v>
      </c>
      <c r="D27" s="745" t="s">
        <v>2387</v>
      </c>
      <c r="E27" s="757">
        <v>30000.0</v>
      </c>
      <c r="F27" s="745" t="s">
        <v>2612</v>
      </c>
      <c r="G27" s="755" t="s">
        <v>2379</v>
      </c>
      <c r="H27" s="755" t="s">
        <v>29</v>
      </c>
      <c r="I27" s="755" t="s">
        <v>2380</v>
      </c>
      <c r="J27" s="755">
        <v>43453.0</v>
      </c>
      <c r="K27" s="758" t="s">
        <v>3664</v>
      </c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4"/>
      <c r="Y27" s="754"/>
      <c r="Z27" s="754"/>
      <c r="AA27" s="754"/>
      <c r="AB27" s="754"/>
      <c r="AC27" s="754"/>
      <c r="AD27" s="754"/>
      <c r="AE27" s="754"/>
    </row>
    <row r="28" ht="15.75" customHeight="1">
      <c r="A28" s="759">
        <v>43923.0</v>
      </c>
      <c r="B28" s="760" t="s">
        <v>2811</v>
      </c>
      <c r="C28" s="761" t="s">
        <v>2376</v>
      </c>
      <c r="D28" s="745" t="s">
        <v>5903</v>
      </c>
      <c r="E28" s="757">
        <v>14000.0</v>
      </c>
      <c r="F28" s="745" t="s">
        <v>2810</v>
      </c>
      <c r="G28" s="755" t="s">
        <v>2379</v>
      </c>
      <c r="H28" s="755" t="s">
        <v>29</v>
      </c>
      <c r="I28" s="755" t="s">
        <v>2380</v>
      </c>
      <c r="J28" s="755">
        <v>43703.0</v>
      </c>
      <c r="K28" s="758" t="s">
        <v>4033</v>
      </c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54"/>
      <c r="AB28" s="754"/>
      <c r="AC28" s="754"/>
      <c r="AD28" s="754"/>
      <c r="AE28" s="754"/>
    </row>
    <row r="29" ht="15.75" customHeight="1">
      <c r="A29" s="755">
        <v>43924.0</v>
      </c>
      <c r="B29" s="756" t="s">
        <v>5906</v>
      </c>
      <c r="C29" s="745" t="s">
        <v>3642</v>
      </c>
      <c r="D29" s="745" t="s">
        <v>5902</v>
      </c>
      <c r="E29" s="757">
        <v>0.0</v>
      </c>
      <c r="F29" s="745" t="s">
        <v>5010</v>
      </c>
      <c r="G29" s="745" t="s">
        <v>2379</v>
      </c>
      <c r="H29" s="745" t="s">
        <v>29</v>
      </c>
      <c r="I29" s="745" t="s">
        <v>2379</v>
      </c>
      <c r="J29" s="755">
        <v>43684.0</v>
      </c>
      <c r="K29" s="762" t="s">
        <v>3651</v>
      </c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54"/>
      <c r="AC29" s="754"/>
      <c r="AD29" s="754"/>
      <c r="AE29" s="754"/>
    </row>
    <row r="30" ht="15.75" customHeight="1">
      <c r="A30" s="759">
        <v>43928.0</v>
      </c>
      <c r="B30" s="760" t="s">
        <v>5908</v>
      </c>
      <c r="C30" s="761" t="s">
        <v>3642</v>
      </c>
      <c r="D30" s="745" t="s">
        <v>5903</v>
      </c>
      <c r="E30" s="757">
        <v>20000.0</v>
      </c>
      <c r="F30" s="745" t="s">
        <v>4521</v>
      </c>
      <c r="G30" s="745" t="s">
        <v>2379</v>
      </c>
      <c r="H30" s="745" t="s">
        <v>29</v>
      </c>
      <c r="I30" s="745" t="s">
        <v>2379</v>
      </c>
      <c r="J30" s="755">
        <v>43872.0</v>
      </c>
      <c r="K30" s="762" t="s">
        <v>3651</v>
      </c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54"/>
      <c r="AC30" s="754"/>
      <c r="AD30" s="754"/>
      <c r="AE30" s="754"/>
    </row>
    <row r="31" ht="15.75" customHeight="1">
      <c r="A31" s="759">
        <v>43929.0</v>
      </c>
      <c r="B31" s="760" t="s">
        <v>3398</v>
      </c>
      <c r="C31" s="761" t="s">
        <v>2376</v>
      </c>
      <c r="D31" s="745" t="s">
        <v>5903</v>
      </c>
      <c r="E31" s="757">
        <v>8000.0</v>
      </c>
      <c r="F31" s="745" t="s">
        <v>3397</v>
      </c>
      <c r="G31" s="755" t="s">
        <v>2379</v>
      </c>
      <c r="H31" s="755" t="s">
        <v>29</v>
      </c>
      <c r="I31" s="755" t="s">
        <v>2380</v>
      </c>
      <c r="J31" s="755">
        <v>43738.0</v>
      </c>
      <c r="K31" s="758" t="s">
        <v>3664</v>
      </c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54"/>
      <c r="AC31" s="754"/>
      <c r="AD31" s="754"/>
      <c r="AE31" s="754"/>
    </row>
    <row r="32" ht="15.75" customHeight="1">
      <c r="A32" s="759">
        <v>43930.0</v>
      </c>
      <c r="B32" s="760" t="s">
        <v>3546</v>
      </c>
      <c r="C32" s="761" t="s">
        <v>3458</v>
      </c>
      <c r="D32" s="745" t="s">
        <v>5903</v>
      </c>
      <c r="E32" s="757">
        <v>5000.0</v>
      </c>
      <c r="F32" s="745" t="s">
        <v>3545</v>
      </c>
      <c r="G32" s="755" t="s">
        <v>18</v>
      </c>
      <c r="H32" s="755" t="s">
        <v>29</v>
      </c>
      <c r="I32" s="755" t="s">
        <v>2052</v>
      </c>
      <c r="J32" s="755">
        <v>43797.0</v>
      </c>
      <c r="K32" s="758" t="s">
        <v>3660</v>
      </c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54"/>
      <c r="AC32" s="754"/>
      <c r="AD32" s="754"/>
      <c r="AE32" s="754"/>
    </row>
    <row r="33" ht="15.75" customHeight="1">
      <c r="A33" s="759">
        <v>43935.0</v>
      </c>
      <c r="B33" s="760" t="s">
        <v>5909</v>
      </c>
      <c r="C33" s="761" t="s">
        <v>3642</v>
      </c>
      <c r="D33" s="745" t="s">
        <v>5903</v>
      </c>
      <c r="E33" s="757">
        <v>2000.0</v>
      </c>
      <c r="F33" s="745" t="s">
        <v>4952</v>
      </c>
      <c r="G33" s="745" t="s">
        <v>2379</v>
      </c>
      <c r="H33" s="745" t="s">
        <v>29</v>
      </c>
      <c r="I33" s="745" t="s">
        <v>2379</v>
      </c>
      <c r="J33" s="755">
        <v>44225.0</v>
      </c>
      <c r="K33" s="762" t="s">
        <v>3651</v>
      </c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54"/>
      <c r="AB33" s="754"/>
      <c r="AC33" s="754"/>
      <c r="AD33" s="754"/>
      <c r="AE33" s="754"/>
    </row>
    <row r="34" ht="15.75" customHeight="1">
      <c r="A34" s="759">
        <v>43938.0</v>
      </c>
      <c r="B34" s="760" t="s">
        <v>2870</v>
      </c>
      <c r="C34" s="761" t="s">
        <v>2376</v>
      </c>
      <c r="D34" s="745" t="s">
        <v>5903</v>
      </c>
      <c r="E34" s="757">
        <v>3000.0</v>
      </c>
      <c r="F34" s="745" t="s">
        <v>2869</v>
      </c>
      <c r="G34" s="755" t="s">
        <v>2379</v>
      </c>
      <c r="H34" s="755" t="s">
        <v>29</v>
      </c>
      <c r="I34" s="755" t="s">
        <v>2380</v>
      </c>
      <c r="J34" s="755">
        <v>43605.0</v>
      </c>
      <c r="K34" s="758" t="s">
        <v>3660</v>
      </c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54"/>
      <c r="AB34" s="754"/>
      <c r="AC34" s="754"/>
      <c r="AD34" s="754"/>
      <c r="AE34" s="754"/>
    </row>
    <row r="35" ht="15.75" customHeight="1">
      <c r="A35" s="759">
        <v>43948.0</v>
      </c>
      <c r="B35" s="760" t="s">
        <v>2811</v>
      </c>
      <c r="C35" s="761" t="s">
        <v>2376</v>
      </c>
      <c r="D35" s="745" t="s">
        <v>5903</v>
      </c>
      <c r="E35" s="757">
        <v>10000.0</v>
      </c>
      <c r="F35" s="745" t="s">
        <v>2810</v>
      </c>
      <c r="G35" s="755" t="s">
        <v>2379</v>
      </c>
      <c r="H35" s="755" t="s">
        <v>29</v>
      </c>
      <c r="I35" s="755" t="s">
        <v>2380</v>
      </c>
      <c r="J35" s="755">
        <v>43703.0</v>
      </c>
      <c r="K35" s="758" t="s">
        <v>4033</v>
      </c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  <c r="X35" s="754"/>
      <c r="Y35" s="754"/>
      <c r="Z35" s="754"/>
      <c r="AA35" s="754"/>
      <c r="AB35" s="754"/>
      <c r="AC35" s="754"/>
      <c r="AD35" s="754"/>
      <c r="AE35" s="754"/>
    </row>
    <row r="36" ht="15.75" customHeight="1">
      <c r="A36" s="759">
        <v>43948.0</v>
      </c>
      <c r="B36" s="760" t="s">
        <v>2870</v>
      </c>
      <c r="C36" s="761" t="s">
        <v>2376</v>
      </c>
      <c r="D36" s="745" t="s">
        <v>5903</v>
      </c>
      <c r="E36" s="757">
        <v>2000.0</v>
      </c>
      <c r="F36" s="745" t="s">
        <v>2869</v>
      </c>
      <c r="G36" s="755" t="s">
        <v>2379</v>
      </c>
      <c r="H36" s="755" t="s">
        <v>29</v>
      </c>
      <c r="I36" s="755" t="s">
        <v>2380</v>
      </c>
      <c r="J36" s="755">
        <v>43605.0</v>
      </c>
      <c r="K36" s="758" t="s">
        <v>3660</v>
      </c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  <c r="X36" s="754"/>
      <c r="Y36" s="754"/>
      <c r="Z36" s="754"/>
      <c r="AA36" s="754"/>
      <c r="AB36" s="754"/>
      <c r="AC36" s="754"/>
      <c r="AD36" s="754"/>
      <c r="AE36" s="754"/>
    </row>
    <row r="37" ht="15.75" customHeight="1">
      <c r="A37" s="759">
        <v>43949.0</v>
      </c>
      <c r="B37" s="760" t="s">
        <v>5904</v>
      </c>
      <c r="C37" s="761" t="s">
        <v>3642</v>
      </c>
      <c r="D37" s="745" t="s">
        <v>5903</v>
      </c>
      <c r="E37" s="757">
        <v>15000.0</v>
      </c>
      <c r="F37" s="745" t="s">
        <v>4889</v>
      </c>
      <c r="G37" s="745" t="s">
        <v>2379</v>
      </c>
      <c r="H37" s="745" t="s">
        <v>29</v>
      </c>
      <c r="I37" s="745" t="s">
        <v>2379</v>
      </c>
      <c r="J37" s="755">
        <v>43749.0</v>
      </c>
      <c r="K37" s="762" t="s">
        <v>4033</v>
      </c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  <c r="X37" s="754"/>
      <c r="Y37" s="754"/>
      <c r="Z37" s="754"/>
      <c r="AA37" s="754"/>
      <c r="AB37" s="754"/>
      <c r="AC37" s="754"/>
      <c r="AD37" s="754"/>
      <c r="AE37" s="754"/>
    </row>
    <row r="38" ht="15.75" customHeight="1">
      <c r="A38" s="759">
        <v>43950.0</v>
      </c>
      <c r="B38" s="760" t="s">
        <v>2914</v>
      </c>
      <c r="C38" s="761" t="s">
        <v>2376</v>
      </c>
      <c r="D38" s="745" t="s">
        <v>5903</v>
      </c>
      <c r="E38" s="757">
        <v>100000.0</v>
      </c>
      <c r="F38" s="745" t="s">
        <v>2913</v>
      </c>
      <c r="G38" s="755" t="s">
        <v>2379</v>
      </c>
      <c r="H38" s="755" t="s">
        <v>29</v>
      </c>
      <c r="I38" s="755" t="s">
        <v>2392</v>
      </c>
      <c r="J38" s="755">
        <v>43664.0</v>
      </c>
      <c r="K38" s="758" t="s">
        <v>4033</v>
      </c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  <c r="X38" s="754"/>
      <c r="Y38" s="754"/>
      <c r="Z38" s="754"/>
      <c r="AA38" s="754"/>
      <c r="AB38" s="754"/>
      <c r="AC38" s="754"/>
      <c r="AD38" s="754"/>
      <c r="AE38" s="754"/>
    </row>
    <row r="39" ht="15.75" customHeight="1">
      <c r="A39" s="759">
        <v>43951.0</v>
      </c>
      <c r="B39" s="760" t="s">
        <v>2885</v>
      </c>
      <c r="C39" s="761" t="s">
        <v>2376</v>
      </c>
      <c r="D39" s="745" t="s">
        <v>5903</v>
      </c>
      <c r="E39" s="757">
        <v>20000.0</v>
      </c>
      <c r="F39" s="745" t="s">
        <v>2884</v>
      </c>
      <c r="G39" s="755" t="s">
        <v>2379</v>
      </c>
      <c r="H39" s="755" t="s">
        <v>29</v>
      </c>
      <c r="I39" s="755" t="s">
        <v>2392</v>
      </c>
      <c r="J39" s="755">
        <v>43559.0</v>
      </c>
      <c r="K39" s="758" t="s">
        <v>4033</v>
      </c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  <c r="X39" s="754"/>
      <c r="Y39" s="754"/>
      <c r="Z39" s="754"/>
      <c r="AA39" s="754"/>
      <c r="AB39" s="754"/>
      <c r="AC39" s="754"/>
      <c r="AD39" s="754"/>
      <c r="AE39" s="754"/>
    </row>
    <row r="40" ht="15.75" customHeight="1">
      <c r="A40" s="759">
        <v>43956.0</v>
      </c>
      <c r="B40" s="760" t="s">
        <v>3159</v>
      </c>
      <c r="C40" s="761" t="s">
        <v>2376</v>
      </c>
      <c r="D40" s="745" t="s">
        <v>5903</v>
      </c>
      <c r="E40" s="757">
        <v>75000.0</v>
      </c>
      <c r="F40" s="745" t="s">
        <v>3158</v>
      </c>
      <c r="G40" s="755" t="s">
        <v>2379</v>
      </c>
      <c r="H40" s="755" t="s">
        <v>29</v>
      </c>
      <c r="I40" s="755" t="s">
        <v>2380</v>
      </c>
      <c r="J40" s="755">
        <v>43699.0</v>
      </c>
      <c r="K40" s="758" t="s">
        <v>4033</v>
      </c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  <c r="X40" s="754"/>
      <c r="Y40" s="754"/>
      <c r="Z40" s="754"/>
      <c r="AA40" s="754"/>
      <c r="AB40" s="754"/>
      <c r="AC40" s="754"/>
      <c r="AD40" s="754"/>
      <c r="AE40" s="754"/>
    </row>
    <row r="41" ht="15.75" customHeight="1">
      <c r="A41" s="759">
        <v>43958.0</v>
      </c>
      <c r="B41" s="760" t="s">
        <v>2885</v>
      </c>
      <c r="C41" s="761" t="s">
        <v>2376</v>
      </c>
      <c r="D41" s="745" t="s">
        <v>5903</v>
      </c>
      <c r="E41" s="757">
        <v>2000.0</v>
      </c>
      <c r="F41" s="745" t="s">
        <v>2884</v>
      </c>
      <c r="G41" s="755" t="s">
        <v>2379</v>
      </c>
      <c r="H41" s="755" t="s">
        <v>29</v>
      </c>
      <c r="I41" s="755" t="s">
        <v>2392</v>
      </c>
      <c r="J41" s="755">
        <v>43559.0</v>
      </c>
      <c r="K41" s="758" t="s">
        <v>4033</v>
      </c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  <c r="X41" s="754"/>
      <c r="Y41" s="754"/>
      <c r="Z41" s="754"/>
      <c r="AA41" s="754"/>
      <c r="AB41" s="754"/>
      <c r="AC41" s="754"/>
      <c r="AD41" s="754"/>
      <c r="AE41" s="754"/>
    </row>
    <row r="42" ht="15.75" customHeight="1">
      <c r="A42" s="759">
        <v>43958.0</v>
      </c>
      <c r="B42" s="760" t="s">
        <v>3342</v>
      </c>
      <c r="C42" s="761" t="s">
        <v>2376</v>
      </c>
      <c r="D42" s="745" t="s">
        <v>5903</v>
      </c>
      <c r="E42" s="757">
        <v>2000.0</v>
      </c>
      <c r="F42" s="745" t="s">
        <v>3341</v>
      </c>
      <c r="G42" s="755" t="s">
        <v>2379</v>
      </c>
      <c r="H42" s="755" t="s">
        <v>29</v>
      </c>
      <c r="I42" s="755" t="s">
        <v>2380</v>
      </c>
      <c r="J42" s="755">
        <v>43717.0</v>
      </c>
      <c r="K42" s="758" t="s">
        <v>4033</v>
      </c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54"/>
      <c r="AB42" s="754"/>
      <c r="AC42" s="754"/>
      <c r="AD42" s="754"/>
      <c r="AE42" s="754"/>
    </row>
    <row r="43" ht="15.75" customHeight="1">
      <c r="A43" s="759">
        <v>43959.0</v>
      </c>
      <c r="B43" s="763" t="s">
        <v>3235</v>
      </c>
      <c r="C43" s="761" t="s">
        <v>2376</v>
      </c>
      <c r="D43" s="745" t="s">
        <v>5903</v>
      </c>
      <c r="E43" s="764">
        <v>1000.0</v>
      </c>
      <c r="F43" s="745" t="s">
        <v>3234</v>
      </c>
      <c r="G43" s="755" t="s">
        <v>2379</v>
      </c>
      <c r="H43" s="755" t="s">
        <v>29</v>
      </c>
      <c r="I43" s="755" t="s">
        <v>2380</v>
      </c>
      <c r="J43" s="755">
        <v>43894.0</v>
      </c>
      <c r="K43" s="758" t="s">
        <v>3660</v>
      </c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54"/>
      <c r="AB43" s="754"/>
      <c r="AC43" s="754"/>
      <c r="AD43" s="754"/>
      <c r="AE43" s="754"/>
    </row>
    <row r="44" ht="15.75" customHeight="1">
      <c r="A44" s="759">
        <v>43964.0</v>
      </c>
      <c r="B44" s="760" t="s">
        <v>3398</v>
      </c>
      <c r="C44" s="761" t="s">
        <v>2376</v>
      </c>
      <c r="D44" s="745" t="s">
        <v>5903</v>
      </c>
      <c r="E44" s="757">
        <v>60000.0</v>
      </c>
      <c r="F44" s="745" t="s">
        <v>3397</v>
      </c>
      <c r="G44" s="755" t="s">
        <v>2379</v>
      </c>
      <c r="H44" s="755" t="s">
        <v>29</v>
      </c>
      <c r="I44" s="755" t="s">
        <v>2380</v>
      </c>
      <c r="J44" s="755">
        <v>43738.0</v>
      </c>
      <c r="K44" s="758" t="s">
        <v>3664</v>
      </c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  <c r="X44" s="754"/>
      <c r="Y44" s="754"/>
      <c r="Z44" s="754"/>
      <c r="AA44" s="754"/>
      <c r="AB44" s="754"/>
      <c r="AC44" s="754"/>
      <c r="AD44" s="754"/>
      <c r="AE44" s="754"/>
    </row>
    <row r="45" ht="15.75" customHeight="1">
      <c r="A45" s="759">
        <v>43965.0</v>
      </c>
      <c r="B45" s="763" t="s">
        <v>2669</v>
      </c>
      <c r="C45" s="761" t="s">
        <v>2376</v>
      </c>
      <c r="D45" s="745" t="s">
        <v>5903</v>
      </c>
      <c r="E45" s="757">
        <v>20000.0</v>
      </c>
      <c r="F45" s="745" t="s">
        <v>2668</v>
      </c>
      <c r="G45" s="755" t="s">
        <v>2379</v>
      </c>
      <c r="H45" s="755" t="s">
        <v>29</v>
      </c>
      <c r="I45" s="755" t="s">
        <v>2392</v>
      </c>
      <c r="J45" s="755">
        <v>43913.0</v>
      </c>
      <c r="K45" s="758" t="s">
        <v>3651</v>
      </c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  <c r="X45" s="754"/>
      <c r="Y45" s="754"/>
      <c r="Z45" s="754"/>
      <c r="AA45" s="754"/>
      <c r="AB45" s="754"/>
      <c r="AC45" s="754"/>
      <c r="AD45" s="754"/>
      <c r="AE45" s="754"/>
    </row>
    <row r="46" ht="15.75" customHeight="1">
      <c r="A46" s="759">
        <v>43965.0</v>
      </c>
      <c r="B46" s="760" t="s">
        <v>5909</v>
      </c>
      <c r="C46" s="761" t="s">
        <v>3642</v>
      </c>
      <c r="D46" s="745" t="s">
        <v>5903</v>
      </c>
      <c r="E46" s="757">
        <v>20000.0</v>
      </c>
      <c r="F46" s="745" t="s">
        <v>4952</v>
      </c>
      <c r="G46" s="745" t="s">
        <v>2379</v>
      </c>
      <c r="H46" s="745" t="s">
        <v>29</v>
      </c>
      <c r="I46" s="745" t="s">
        <v>2379</v>
      </c>
      <c r="J46" s="755">
        <v>44225.0</v>
      </c>
      <c r="K46" s="762" t="s">
        <v>3651</v>
      </c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  <c r="Z46" s="754"/>
      <c r="AA46" s="754"/>
      <c r="AB46" s="754"/>
      <c r="AC46" s="754"/>
      <c r="AD46" s="754"/>
      <c r="AE46" s="754"/>
    </row>
    <row r="47" ht="15.75" customHeight="1">
      <c r="A47" s="759">
        <v>43965.0</v>
      </c>
      <c r="B47" s="760" t="s">
        <v>3398</v>
      </c>
      <c r="C47" s="761" t="s">
        <v>2376</v>
      </c>
      <c r="D47" s="745" t="s">
        <v>5903</v>
      </c>
      <c r="E47" s="757">
        <v>6000.0</v>
      </c>
      <c r="F47" s="745" t="s">
        <v>3397</v>
      </c>
      <c r="G47" s="755" t="s">
        <v>2379</v>
      </c>
      <c r="H47" s="755" t="s">
        <v>29</v>
      </c>
      <c r="I47" s="755" t="s">
        <v>2380</v>
      </c>
      <c r="J47" s="755">
        <v>43738.0</v>
      </c>
      <c r="K47" s="758" t="s">
        <v>3664</v>
      </c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  <c r="X47" s="754"/>
      <c r="Y47" s="754"/>
      <c r="Z47" s="754"/>
      <c r="AA47" s="754"/>
      <c r="AB47" s="754"/>
      <c r="AC47" s="754"/>
      <c r="AD47" s="754"/>
      <c r="AE47" s="754"/>
    </row>
    <row r="48" ht="15.75" customHeight="1">
      <c r="A48" s="759">
        <v>43966.0</v>
      </c>
      <c r="B48" s="760" t="s">
        <v>2811</v>
      </c>
      <c r="C48" s="761" t="s">
        <v>2376</v>
      </c>
      <c r="D48" s="745" t="s">
        <v>5903</v>
      </c>
      <c r="E48" s="757">
        <v>10000.0</v>
      </c>
      <c r="F48" s="745" t="s">
        <v>2810</v>
      </c>
      <c r="G48" s="755" t="s">
        <v>2379</v>
      </c>
      <c r="H48" s="755" t="s">
        <v>29</v>
      </c>
      <c r="I48" s="755" t="s">
        <v>2380</v>
      </c>
      <c r="J48" s="755">
        <v>43703.0</v>
      </c>
      <c r="K48" s="758" t="s">
        <v>4033</v>
      </c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54"/>
      <c r="AB48" s="754"/>
      <c r="AC48" s="754"/>
      <c r="AD48" s="754"/>
      <c r="AE48" s="754"/>
    </row>
    <row r="49" ht="15.75" customHeight="1">
      <c r="A49" s="759">
        <v>43969.0</v>
      </c>
      <c r="B49" s="760" t="s">
        <v>3235</v>
      </c>
      <c r="C49" s="761" t="s">
        <v>2376</v>
      </c>
      <c r="D49" s="745" t="s">
        <v>5903</v>
      </c>
      <c r="E49" s="757">
        <v>7000.0</v>
      </c>
      <c r="F49" s="745" t="s">
        <v>3234</v>
      </c>
      <c r="G49" s="755" t="s">
        <v>2379</v>
      </c>
      <c r="H49" s="755" t="s">
        <v>29</v>
      </c>
      <c r="I49" s="755" t="s">
        <v>2380</v>
      </c>
      <c r="J49" s="755">
        <v>43894.0</v>
      </c>
      <c r="K49" s="758" t="s">
        <v>3660</v>
      </c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54"/>
      <c r="AB49" s="754"/>
      <c r="AC49" s="754"/>
      <c r="AD49" s="754"/>
      <c r="AE49" s="754"/>
    </row>
    <row r="50" ht="15.75" customHeight="1">
      <c r="A50" s="759">
        <v>43969.0</v>
      </c>
      <c r="B50" s="760" t="s">
        <v>3235</v>
      </c>
      <c r="C50" s="761" t="s">
        <v>2376</v>
      </c>
      <c r="D50" s="745" t="s">
        <v>5903</v>
      </c>
      <c r="E50" s="757">
        <v>10000.0</v>
      </c>
      <c r="F50" s="745" t="s">
        <v>3234</v>
      </c>
      <c r="G50" s="755" t="s">
        <v>2379</v>
      </c>
      <c r="H50" s="755" t="s">
        <v>29</v>
      </c>
      <c r="I50" s="755" t="s">
        <v>2380</v>
      </c>
      <c r="J50" s="755">
        <v>43894.0</v>
      </c>
      <c r="K50" s="758" t="s">
        <v>3660</v>
      </c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  <c r="X50" s="754"/>
      <c r="Y50" s="754"/>
      <c r="Z50" s="754"/>
      <c r="AA50" s="754"/>
      <c r="AB50" s="754"/>
      <c r="AC50" s="754"/>
      <c r="AD50" s="754"/>
      <c r="AE50" s="754"/>
    </row>
    <row r="51" ht="15.75" customHeight="1">
      <c r="A51" s="759">
        <v>43969.0</v>
      </c>
      <c r="B51" s="760" t="s">
        <v>2484</v>
      </c>
      <c r="C51" s="761" t="s">
        <v>2376</v>
      </c>
      <c r="D51" s="745" t="s">
        <v>5903</v>
      </c>
      <c r="E51" s="757">
        <v>1000.0</v>
      </c>
      <c r="F51" s="745" t="s">
        <v>2483</v>
      </c>
      <c r="G51" s="755" t="s">
        <v>2379</v>
      </c>
      <c r="H51" s="755" t="s">
        <v>29</v>
      </c>
      <c r="I51" s="755" t="s">
        <v>2380</v>
      </c>
      <c r="J51" s="755">
        <v>43867.0</v>
      </c>
      <c r="K51" s="758" t="s">
        <v>3651</v>
      </c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  <c r="X51" s="754"/>
      <c r="Y51" s="754"/>
      <c r="Z51" s="754"/>
      <c r="AA51" s="754"/>
      <c r="AB51" s="754"/>
      <c r="AC51" s="754"/>
      <c r="AD51" s="754"/>
      <c r="AE51" s="754"/>
    </row>
    <row r="52" ht="15.75" customHeight="1">
      <c r="A52" s="759">
        <v>43971.0</v>
      </c>
      <c r="B52" s="763" t="s">
        <v>5904</v>
      </c>
      <c r="C52" s="761" t="s">
        <v>3642</v>
      </c>
      <c r="D52" s="745" t="s">
        <v>5903</v>
      </c>
      <c r="E52" s="757">
        <v>7500.0</v>
      </c>
      <c r="F52" s="745" t="s">
        <v>4889</v>
      </c>
      <c r="G52" s="745" t="s">
        <v>2379</v>
      </c>
      <c r="H52" s="745" t="s">
        <v>29</v>
      </c>
      <c r="I52" s="745" t="s">
        <v>2379</v>
      </c>
      <c r="J52" s="755">
        <v>43749.0</v>
      </c>
      <c r="K52" s="762" t="s">
        <v>4033</v>
      </c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</row>
    <row r="53" ht="15.75" customHeight="1">
      <c r="A53" s="759">
        <v>43972.0</v>
      </c>
      <c r="B53" s="760" t="s">
        <v>3159</v>
      </c>
      <c r="C53" s="761" t="s">
        <v>2376</v>
      </c>
      <c r="D53" s="745" t="s">
        <v>5903</v>
      </c>
      <c r="E53" s="757">
        <v>50000.0</v>
      </c>
      <c r="F53" s="745" t="s">
        <v>3158</v>
      </c>
      <c r="G53" s="755" t="s">
        <v>2379</v>
      </c>
      <c r="H53" s="755" t="s">
        <v>29</v>
      </c>
      <c r="I53" s="755" t="s">
        <v>2380</v>
      </c>
      <c r="J53" s="755">
        <v>43699.0</v>
      </c>
      <c r="K53" s="758" t="s">
        <v>4033</v>
      </c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  <c r="X53" s="754"/>
      <c r="Y53" s="754"/>
      <c r="Z53" s="754"/>
      <c r="AA53" s="754"/>
      <c r="AB53" s="754"/>
      <c r="AC53" s="754"/>
      <c r="AD53" s="754"/>
      <c r="AE53" s="754"/>
    </row>
    <row r="54" ht="15.75" customHeight="1">
      <c r="A54" s="759">
        <v>43973.0</v>
      </c>
      <c r="B54" s="763" t="s">
        <v>5907</v>
      </c>
      <c r="C54" s="761" t="s">
        <v>3642</v>
      </c>
      <c r="D54" s="745" t="s">
        <v>5903</v>
      </c>
      <c r="E54" s="757">
        <v>20000.0</v>
      </c>
      <c r="F54" s="745" t="s">
        <v>4507</v>
      </c>
      <c r="G54" s="745" t="s">
        <v>2379</v>
      </c>
      <c r="H54" s="745" t="s">
        <v>29</v>
      </c>
      <c r="I54" s="745" t="s">
        <v>2379</v>
      </c>
      <c r="J54" s="755">
        <v>44252.0</v>
      </c>
      <c r="K54" s="762" t="s">
        <v>3660</v>
      </c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</row>
    <row r="55" ht="15.75" customHeight="1">
      <c r="A55" s="759">
        <v>43973.0</v>
      </c>
      <c r="B55" s="760" t="s">
        <v>3546</v>
      </c>
      <c r="C55" s="761" t="s">
        <v>5910</v>
      </c>
      <c r="D55" s="745" t="s">
        <v>5903</v>
      </c>
      <c r="E55" s="757">
        <v>10000.0</v>
      </c>
      <c r="F55" s="745" t="s">
        <v>3545</v>
      </c>
      <c r="G55" s="745" t="s">
        <v>18</v>
      </c>
      <c r="H55" s="745" t="s">
        <v>29</v>
      </c>
      <c r="I55" s="745" t="s">
        <v>2052</v>
      </c>
      <c r="J55" s="755">
        <v>43797.0</v>
      </c>
      <c r="K55" s="758" t="s">
        <v>3660</v>
      </c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  <c r="X55" s="754"/>
      <c r="Y55" s="754"/>
      <c r="Z55" s="754"/>
      <c r="AA55" s="754"/>
      <c r="AB55" s="754"/>
      <c r="AC55" s="754"/>
      <c r="AD55" s="754"/>
      <c r="AE55" s="754"/>
    </row>
    <row r="56" ht="15.75" customHeight="1">
      <c r="A56" s="759">
        <v>43976.0</v>
      </c>
      <c r="B56" s="760" t="s">
        <v>2885</v>
      </c>
      <c r="C56" s="761" t="s">
        <v>2376</v>
      </c>
      <c r="D56" s="745" t="s">
        <v>5903</v>
      </c>
      <c r="E56" s="757">
        <v>973440.75</v>
      </c>
      <c r="F56" s="745" t="s">
        <v>2884</v>
      </c>
      <c r="G56" s="755" t="s">
        <v>2379</v>
      </c>
      <c r="H56" s="755" t="s">
        <v>29</v>
      </c>
      <c r="I56" s="755" t="s">
        <v>2392</v>
      </c>
      <c r="J56" s="755">
        <v>43559.0</v>
      </c>
      <c r="K56" s="758" t="s">
        <v>4033</v>
      </c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  <c r="X56" s="754"/>
      <c r="Y56" s="754"/>
      <c r="Z56" s="754"/>
      <c r="AA56" s="754"/>
      <c r="AB56" s="754"/>
      <c r="AC56" s="754"/>
      <c r="AD56" s="754"/>
      <c r="AE56" s="754"/>
    </row>
    <row r="57" ht="15.75" customHeight="1">
      <c r="A57" s="759">
        <v>43977.0</v>
      </c>
      <c r="B57" s="760" t="s">
        <v>2811</v>
      </c>
      <c r="C57" s="761" t="s">
        <v>2376</v>
      </c>
      <c r="D57" s="745" t="s">
        <v>5903</v>
      </c>
      <c r="E57" s="757">
        <v>7000.0</v>
      </c>
      <c r="F57" s="745" t="s">
        <v>2810</v>
      </c>
      <c r="G57" s="755" t="s">
        <v>2379</v>
      </c>
      <c r="H57" s="755" t="s">
        <v>29</v>
      </c>
      <c r="I57" s="755" t="s">
        <v>2380</v>
      </c>
      <c r="J57" s="755">
        <v>43703.0</v>
      </c>
      <c r="K57" s="758" t="s">
        <v>4033</v>
      </c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  <c r="X57" s="754"/>
      <c r="Y57" s="754"/>
      <c r="Z57" s="754"/>
      <c r="AA57" s="754"/>
      <c r="AB57" s="754"/>
      <c r="AC57" s="754"/>
      <c r="AD57" s="754"/>
      <c r="AE57" s="754"/>
    </row>
    <row r="58" ht="15.75" customHeight="1">
      <c r="A58" s="759">
        <v>43978.0</v>
      </c>
      <c r="B58" s="760" t="s">
        <v>3235</v>
      </c>
      <c r="C58" s="761" t="s">
        <v>2376</v>
      </c>
      <c r="D58" s="745" t="s">
        <v>5903</v>
      </c>
      <c r="E58" s="757">
        <v>180000.0</v>
      </c>
      <c r="F58" s="745" t="s">
        <v>3234</v>
      </c>
      <c r="G58" s="755" t="s">
        <v>2379</v>
      </c>
      <c r="H58" s="755" t="s">
        <v>29</v>
      </c>
      <c r="I58" s="755" t="s">
        <v>2380</v>
      </c>
      <c r="J58" s="755">
        <v>43894.0</v>
      </c>
      <c r="K58" s="758" t="s">
        <v>3660</v>
      </c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  <c r="X58" s="754"/>
      <c r="Y58" s="754"/>
      <c r="Z58" s="754"/>
      <c r="AA58" s="754"/>
      <c r="AB58" s="754"/>
      <c r="AC58" s="754"/>
      <c r="AD58" s="754"/>
      <c r="AE58" s="754"/>
    </row>
    <row r="59" ht="15.75" customHeight="1">
      <c r="A59" s="759">
        <v>43980.0</v>
      </c>
      <c r="B59" s="763" t="s">
        <v>2914</v>
      </c>
      <c r="C59" s="761" t="s">
        <v>2376</v>
      </c>
      <c r="D59" s="745" t="s">
        <v>5903</v>
      </c>
      <c r="E59" s="757">
        <v>10701.0</v>
      </c>
      <c r="F59" s="745" t="s">
        <v>2913</v>
      </c>
      <c r="G59" s="755" t="s">
        <v>2379</v>
      </c>
      <c r="H59" s="755" t="s">
        <v>29</v>
      </c>
      <c r="I59" s="755" t="s">
        <v>2392</v>
      </c>
      <c r="J59" s="755">
        <v>43664.0</v>
      </c>
      <c r="K59" s="758" t="s">
        <v>4033</v>
      </c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54"/>
      <c r="AB59" s="754"/>
      <c r="AC59" s="754"/>
      <c r="AD59" s="754"/>
      <c r="AE59" s="754"/>
    </row>
    <row r="60" ht="15.75" customHeight="1">
      <c r="A60" s="759">
        <v>43984.0</v>
      </c>
      <c r="B60" s="760" t="s">
        <v>2484</v>
      </c>
      <c r="C60" s="761" t="s">
        <v>2376</v>
      </c>
      <c r="D60" s="745" t="s">
        <v>5903</v>
      </c>
      <c r="E60" s="757">
        <v>2000.0</v>
      </c>
      <c r="F60" s="745" t="s">
        <v>2483</v>
      </c>
      <c r="G60" s="755" t="s">
        <v>2379</v>
      </c>
      <c r="H60" s="755" t="s">
        <v>29</v>
      </c>
      <c r="I60" s="755" t="s">
        <v>2380</v>
      </c>
      <c r="J60" s="755">
        <v>43867.0</v>
      </c>
      <c r="K60" s="758" t="s">
        <v>3651</v>
      </c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  <c r="X60" s="754"/>
      <c r="Y60" s="754"/>
      <c r="Z60" s="754"/>
      <c r="AA60" s="754"/>
      <c r="AB60" s="754"/>
      <c r="AC60" s="754"/>
      <c r="AD60" s="754"/>
      <c r="AE60" s="754"/>
    </row>
    <row r="61" ht="15.75" customHeight="1">
      <c r="A61" s="759">
        <v>43984.0</v>
      </c>
      <c r="B61" s="760" t="s">
        <v>3159</v>
      </c>
      <c r="C61" s="761" t="s">
        <v>2376</v>
      </c>
      <c r="D61" s="745" t="s">
        <v>5903</v>
      </c>
      <c r="E61" s="757">
        <v>200000.0</v>
      </c>
      <c r="F61" s="745" t="s">
        <v>3158</v>
      </c>
      <c r="G61" s="755" t="s">
        <v>2379</v>
      </c>
      <c r="H61" s="755" t="s">
        <v>29</v>
      </c>
      <c r="I61" s="755" t="s">
        <v>2380</v>
      </c>
      <c r="J61" s="755">
        <v>43699.0</v>
      </c>
      <c r="K61" s="758" t="s">
        <v>4033</v>
      </c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</row>
    <row r="62" ht="15.75" customHeight="1">
      <c r="A62" s="759">
        <v>43985.0</v>
      </c>
      <c r="B62" s="760" t="s">
        <v>2811</v>
      </c>
      <c r="C62" s="761" t="s">
        <v>2376</v>
      </c>
      <c r="D62" s="745" t="s">
        <v>5903</v>
      </c>
      <c r="E62" s="757">
        <v>6000.0</v>
      </c>
      <c r="F62" s="745" t="s">
        <v>2810</v>
      </c>
      <c r="G62" s="755" t="s">
        <v>2379</v>
      </c>
      <c r="H62" s="755" t="s">
        <v>29</v>
      </c>
      <c r="I62" s="755" t="s">
        <v>2380</v>
      </c>
      <c r="J62" s="755">
        <v>43703.0</v>
      </c>
      <c r="K62" s="758" t="s">
        <v>4033</v>
      </c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  <c r="X62" s="754"/>
      <c r="Y62" s="754"/>
      <c r="Z62" s="754"/>
      <c r="AA62" s="754"/>
      <c r="AB62" s="754"/>
      <c r="AC62" s="754"/>
      <c r="AD62" s="754"/>
      <c r="AE62" s="754"/>
    </row>
    <row r="63" ht="15.75" customHeight="1">
      <c r="A63" s="759">
        <v>43987.0</v>
      </c>
      <c r="B63" s="763" t="s">
        <v>2885</v>
      </c>
      <c r="C63" s="761" t="s">
        <v>2376</v>
      </c>
      <c r="D63" s="745" t="s">
        <v>5903</v>
      </c>
      <c r="E63" s="757">
        <v>10000.0</v>
      </c>
      <c r="F63" s="745" t="s">
        <v>2884</v>
      </c>
      <c r="G63" s="755" t="s">
        <v>2379</v>
      </c>
      <c r="H63" s="755" t="s">
        <v>29</v>
      </c>
      <c r="I63" s="755" t="s">
        <v>2392</v>
      </c>
      <c r="J63" s="755">
        <v>43559.0</v>
      </c>
      <c r="K63" s="758" t="s">
        <v>4033</v>
      </c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  <c r="X63" s="754"/>
      <c r="Y63" s="754"/>
      <c r="Z63" s="754"/>
      <c r="AA63" s="754"/>
      <c r="AB63" s="754"/>
      <c r="AC63" s="754"/>
      <c r="AD63" s="754"/>
      <c r="AE63" s="754"/>
    </row>
    <row r="64" ht="15.75" customHeight="1">
      <c r="A64" s="759">
        <v>43990.0</v>
      </c>
      <c r="B64" s="760" t="s">
        <v>3291</v>
      </c>
      <c r="C64" s="761" t="s">
        <v>2376</v>
      </c>
      <c r="D64" s="745" t="s">
        <v>5903</v>
      </c>
      <c r="E64" s="757">
        <v>20000.0</v>
      </c>
      <c r="F64" s="745" t="s">
        <v>3290</v>
      </c>
      <c r="G64" s="755" t="s">
        <v>2379</v>
      </c>
      <c r="H64" s="755" t="s">
        <v>29</v>
      </c>
      <c r="I64" s="755" t="s">
        <v>2392</v>
      </c>
      <c r="J64" s="755">
        <v>43607.0</v>
      </c>
      <c r="K64" s="758" t="s">
        <v>4033</v>
      </c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  <c r="X64" s="754"/>
      <c r="Y64" s="754"/>
      <c r="Z64" s="754"/>
      <c r="AA64" s="754"/>
      <c r="AB64" s="754"/>
      <c r="AC64" s="754"/>
      <c r="AD64" s="754"/>
      <c r="AE64" s="754"/>
    </row>
    <row r="65" ht="15.75" customHeight="1">
      <c r="A65" s="759">
        <v>43991.0</v>
      </c>
      <c r="B65" s="760" t="s">
        <v>3073</v>
      </c>
      <c r="C65" s="761" t="s">
        <v>2376</v>
      </c>
      <c r="D65" s="745" t="s">
        <v>5903</v>
      </c>
      <c r="E65" s="757">
        <v>6000.0</v>
      </c>
      <c r="F65" s="745" t="s">
        <v>3072</v>
      </c>
      <c r="G65" s="755" t="s">
        <v>2379</v>
      </c>
      <c r="H65" s="755" t="s">
        <v>29</v>
      </c>
      <c r="I65" s="755" t="s">
        <v>2380</v>
      </c>
      <c r="J65" s="755">
        <v>43564.0</v>
      </c>
      <c r="K65" s="758" t="s">
        <v>3664</v>
      </c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  <c r="Z65" s="754"/>
      <c r="AA65" s="754"/>
      <c r="AB65" s="754"/>
      <c r="AC65" s="754"/>
      <c r="AD65" s="754"/>
      <c r="AE65" s="754"/>
    </row>
    <row r="66" ht="15.75" customHeight="1">
      <c r="A66" s="759">
        <v>43991.0</v>
      </c>
      <c r="B66" s="763" t="s">
        <v>3235</v>
      </c>
      <c r="C66" s="761" t="s">
        <v>2376</v>
      </c>
      <c r="D66" s="745" t="s">
        <v>5903</v>
      </c>
      <c r="E66" s="757">
        <v>3000.0</v>
      </c>
      <c r="F66" s="745" t="s">
        <v>3234</v>
      </c>
      <c r="G66" s="755" t="s">
        <v>2379</v>
      </c>
      <c r="H66" s="755" t="s">
        <v>29</v>
      </c>
      <c r="I66" s="755" t="s">
        <v>2380</v>
      </c>
      <c r="J66" s="755">
        <v>43894.0</v>
      </c>
      <c r="K66" s="758" t="s">
        <v>3660</v>
      </c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54"/>
      <c r="AB66" s="754"/>
      <c r="AC66" s="754"/>
      <c r="AD66" s="754"/>
      <c r="AE66" s="754"/>
    </row>
    <row r="67" ht="15.75" customHeight="1">
      <c r="A67" s="759">
        <v>43994.0</v>
      </c>
      <c r="B67" s="760" t="s">
        <v>5911</v>
      </c>
      <c r="C67" s="761" t="s">
        <v>3642</v>
      </c>
      <c r="D67" s="745" t="s">
        <v>5903</v>
      </c>
      <c r="E67" s="757">
        <v>14000.0</v>
      </c>
      <c r="F67" s="745" t="s">
        <v>5151</v>
      </c>
      <c r="G67" s="745" t="s">
        <v>2379</v>
      </c>
      <c r="H67" s="745" t="s">
        <v>29</v>
      </c>
      <c r="I67" s="745" t="s">
        <v>2379</v>
      </c>
      <c r="J67" s="755">
        <v>44216.0</v>
      </c>
      <c r="K67" s="762" t="s">
        <v>3651</v>
      </c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  <c r="X67" s="754"/>
      <c r="Y67" s="754"/>
      <c r="Z67" s="754"/>
      <c r="AA67" s="754"/>
      <c r="AB67" s="754"/>
      <c r="AC67" s="754"/>
      <c r="AD67" s="754"/>
      <c r="AE67" s="754"/>
    </row>
    <row r="68" ht="15.75" customHeight="1">
      <c r="A68" s="755">
        <v>43997.0</v>
      </c>
      <c r="B68" s="756" t="s">
        <v>2613</v>
      </c>
      <c r="C68" s="745" t="s">
        <v>2376</v>
      </c>
      <c r="D68" s="745" t="s">
        <v>5902</v>
      </c>
      <c r="E68" s="757">
        <v>0.0</v>
      </c>
      <c r="F68" s="745" t="s">
        <v>2612</v>
      </c>
      <c r="G68" s="755" t="s">
        <v>2379</v>
      </c>
      <c r="H68" s="755" t="s">
        <v>29</v>
      </c>
      <c r="I68" s="755" t="s">
        <v>2380</v>
      </c>
      <c r="J68" s="755">
        <v>43453.0</v>
      </c>
      <c r="K68" s="758" t="s">
        <v>3664</v>
      </c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  <c r="X68" s="754"/>
      <c r="Y68" s="754"/>
      <c r="Z68" s="754"/>
      <c r="AA68" s="754"/>
      <c r="AB68" s="754"/>
      <c r="AC68" s="754"/>
      <c r="AD68" s="754"/>
      <c r="AE68" s="754"/>
    </row>
    <row r="69" ht="15.75" customHeight="1">
      <c r="A69" s="755">
        <v>43997.0</v>
      </c>
      <c r="B69" s="756" t="s">
        <v>3011</v>
      </c>
      <c r="C69" s="745" t="s">
        <v>2376</v>
      </c>
      <c r="D69" s="745" t="s">
        <v>5902</v>
      </c>
      <c r="E69" s="757">
        <v>76468.36</v>
      </c>
      <c r="F69" s="745" t="s">
        <v>3010</v>
      </c>
      <c r="G69" s="755" t="s">
        <v>2379</v>
      </c>
      <c r="H69" s="755" t="s">
        <v>29</v>
      </c>
      <c r="I69" s="755" t="s">
        <v>2392</v>
      </c>
      <c r="J69" s="755">
        <v>43853.0</v>
      </c>
      <c r="K69" s="758" t="s">
        <v>3660</v>
      </c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  <c r="X69" s="754"/>
      <c r="Y69" s="754"/>
      <c r="Z69" s="754"/>
      <c r="AA69" s="754"/>
      <c r="AB69" s="754"/>
      <c r="AC69" s="754"/>
      <c r="AD69" s="754"/>
      <c r="AE69" s="754"/>
    </row>
    <row r="70" ht="15.75" customHeight="1">
      <c r="A70" s="755">
        <v>43998.0</v>
      </c>
      <c r="B70" s="756" t="s">
        <v>2615</v>
      </c>
      <c r="C70" s="745" t="s">
        <v>2376</v>
      </c>
      <c r="D70" s="745" t="s">
        <v>5902</v>
      </c>
      <c r="E70" s="757">
        <v>36013.41</v>
      </c>
      <c r="F70" s="745" t="s">
        <v>2612</v>
      </c>
      <c r="G70" s="755" t="s">
        <v>2379</v>
      </c>
      <c r="H70" s="755" t="s">
        <v>29</v>
      </c>
      <c r="I70" s="755" t="s">
        <v>2380</v>
      </c>
      <c r="J70" s="755">
        <v>43997.0</v>
      </c>
      <c r="K70" s="758" t="s">
        <v>3651</v>
      </c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  <c r="X70" s="754"/>
      <c r="Y70" s="754"/>
      <c r="Z70" s="754"/>
      <c r="AA70" s="754"/>
      <c r="AB70" s="754"/>
      <c r="AC70" s="754"/>
      <c r="AD70" s="754"/>
      <c r="AE70" s="754"/>
    </row>
    <row r="71" ht="15.75" customHeight="1">
      <c r="A71" s="759">
        <v>43999.0</v>
      </c>
      <c r="B71" s="760" t="s">
        <v>3342</v>
      </c>
      <c r="C71" s="761" t="s">
        <v>2376</v>
      </c>
      <c r="D71" s="745" t="s">
        <v>5903</v>
      </c>
      <c r="E71" s="757">
        <v>100000.0</v>
      </c>
      <c r="F71" s="745" t="s">
        <v>3341</v>
      </c>
      <c r="G71" s="755" t="s">
        <v>2379</v>
      </c>
      <c r="H71" s="755" t="s">
        <v>29</v>
      </c>
      <c r="I71" s="755" t="s">
        <v>2380</v>
      </c>
      <c r="J71" s="755">
        <v>43717.0</v>
      </c>
      <c r="K71" s="758" t="s">
        <v>4033</v>
      </c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  <c r="X71" s="754"/>
      <c r="Y71" s="754"/>
      <c r="Z71" s="754"/>
      <c r="AA71" s="754"/>
      <c r="AB71" s="754"/>
      <c r="AC71" s="754"/>
      <c r="AD71" s="754"/>
      <c r="AE71" s="754"/>
    </row>
    <row r="72" ht="15.75" customHeight="1">
      <c r="A72" s="759">
        <v>43999.0</v>
      </c>
      <c r="B72" s="760" t="s">
        <v>3159</v>
      </c>
      <c r="C72" s="761" t="s">
        <v>2376</v>
      </c>
      <c r="D72" s="745" t="s">
        <v>5903</v>
      </c>
      <c r="E72" s="757">
        <v>10000.0</v>
      </c>
      <c r="F72" s="745" t="s">
        <v>3158</v>
      </c>
      <c r="G72" s="755" t="s">
        <v>2379</v>
      </c>
      <c r="H72" s="755" t="s">
        <v>29</v>
      </c>
      <c r="I72" s="755" t="s">
        <v>2380</v>
      </c>
      <c r="J72" s="755">
        <v>43699.0</v>
      </c>
      <c r="K72" s="758" t="s">
        <v>4033</v>
      </c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  <c r="X72" s="754"/>
      <c r="Y72" s="754"/>
      <c r="Z72" s="754"/>
      <c r="AA72" s="754"/>
      <c r="AB72" s="754"/>
      <c r="AC72" s="754"/>
      <c r="AD72" s="754"/>
      <c r="AE72" s="754"/>
    </row>
    <row r="73" ht="15.75" customHeight="1">
      <c r="A73" s="759">
        <v>43999.0</v>
      </c>
      <c r="B73" s="763" t="s">
        <v>3073</v>
      </c>
      <c r="C73" s="761" t="s">
        <v>2376</v>
      </c>
      <c r="D73" s="745" t="s">
        <v>5903</v>
      </c>
      <c r="E73" s="757">
        <v>7000.0</v>
      </c>
      <c r="F73" s="745" t="s">
        <v>3072</v>
      </c>
      <c r="G73" s="755" t="s">
        <v>2379</v>
      </c>
      <c r="H73" s="755" t="s">
        <v>29</v>
      </c>
      <c r="I73" s="755" t="s">
        <v>2380</v>
      </c>
      <c r="J73" s="755">
        <v>43564.0</v>
      </c>
      <c r="K73" s="758" t="s">
        <v>3664</v>
      </c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  <c r="X73" s="754"/>
      <c r="Y73" s="754"/>
      <c r="Z73" s="754"/>
      <c r="AA73" s="754"/>
      <c r="AB73" s="754"/>
      <c r="AC73" s="754"/>
      <c r="AD73" s="754"/>
      <c r="AE73" s="754"/>
    </row>
    <row r="74" ht="15.75" customHeight="1">
      <c r="A74" s="759">
        <v>44004.0</v>
      </c>
      <c r="B74" s="760" t="s">
        <v>3073</v>
      </c>
      <c r="C74" s="761" t="s">
        <v>2376</v>
      </c>
      <c r="D74" s="745" t="s">
        <v>5903</v>
      </c>
      <c r="E74" s="757">
        <v>9000.0</v>
      </c>
      <c r="F74" s="745" t="s">
        <v>3072</v>
      </c>
      <c r="G74" s="755" t="s">
        <v>2379</v>
      </c>
      <c r="H74" s="755" t="s">
        <v>29</v>
      </c>
      <c r="I74" s="755" t="s">
        <v>2380</v>
      </c>
      <c r="J74" s="755">
        <v>43564.0</v>
      </c>
      <c r="K74" s="758" t="s">
        <v>3664</v>
      </c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  <c r="Z74" s="754"/>
      <c r="AA74" s="754"/>
      <c r="AB74" s="754"/>
      <c r="AC74" s="754"/>
      <c r="AD74" s="754"/>
      <c r="AE74" s="754"/>
    </row>
    <row r="75" ht="15.75" customHeight="1">
      <c r="A75" s="759">
        <v>44004.0</v>
      </c>
      <c r="B75" s="763" t="s">
        <v>2885</v>
      </c>
      <c r="C75" s="761" t="s">
        <v>2376</v>
      </c>
      <c r="D75" s="745" t="s">
        <v>5903</v>
      </c>
      <c r="E75" s="757">
        <v>10000.0</v>
      </c>
      <c r="F75" s="745" t="s">
        <v>2884</v>
      </c>
      <c r="G75" s="755" t="s">
        <v>2379</v>
      </c>
      <c r="H75" s="755" t="s">
        <v>29</v>
      </c>
      <c r="I75" s="755" t="s">
        <v>2392</v>
      </c>
      <c r="J75" s="755">
        <v>43559.0</v>
      </c>
      <c r="K75" s="758" t="s">
        <v>4033</v>
      </c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54"/>
      <c r="AB75" s="754"/>
      <c r="AC75" s="754"/>
      <c r="AD75" s="754"/>
      <c r="AE75" s="754"/>
    </row>
    <row r="76" ht="15.75" customHeight="1">
      <c r="A76" s="755">
        <v>44007.0</v>
      </c>
      <c r="B76" s="756" t="s">
        <v>2847</v>
      </c>
      <c r="C76" s="745" t="s">
        <v>2376</v>
      </c>
      <c r="D76" s="745" t="s">
        <v>5902</v>
      </c>
      <c r="E76" s="757">
        <v>120144.24</v>
      </c>
      <c r="F76" s="745" t="s">
        <v>2846</v>
      </c>
      <c r="G76" s="755" t="s">
        <v>2379</v>
      </c>
      <c r="H76" s="755" t="s">
        <v>29</v>
      </c>
      <c r="I76" s="755" t="s">
        <v>2392</v>
      </c>
      <c r="J76" s="755">
        <v>43822.0</v>
      </c>
      <c r="K76" s="758" t="s">
        <v>3651</v>
      </c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  <c r="X76" s="754"/>
      <c r="Y76" s="754"/>
      <c r="Z76" s="754"/>
      <c r="AA76" s="754"/>
      <c r="AB76" s="754"/>
      <c r="AC76" s="754"/>
      <c r="AD76" s="754"/>
      <c r="AE76" s="754"/>
    </row>
    <row r="77" ht="15.75" customHeight="1">
      <c r="A77" s="759">
        <v>44007.0</v>
      </c>
      <c r="B77" s="760" t="s">
        <v>3235</v>
      </c>
      <c r="C77" s="761" t="s">
        <v>2376</v>
      </c>
      <c r="D77" s="745" t="s">
        <v>5903</v>
      </c>
      <c r="E77" s="757">
        <v>160000.0</v>
      </c>
      <c r="F77" s="745" t="s">
        <v>3234</v>
      </c>
      <c r="G77" s="755" t="s">
        <v>2379</v>
      </c>
      <c r="H77" s="755" t="s">
        <v>29</v>
      </c>
      <c r="I77" s="755" t="s">
        <v>2380</v>
      </c>
      <c r="J77" s="755">
        <v>43894.0</v>
      </c>
      <c r="K77" s="758" t="s">
        <v>3660</v>
      </c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  <c r="X77" s="754"/>
      <c r="Y77" s="754"/>
      <c r="Z77" s="754"/>
      <c r="AA77" s="754"/>
      <c r="AB77" s="754"/>
      <c r="AC77" s="754"/>
      <c r="AD77" s="754"/>
      <c r="AE77" s="754"/>
    </row>
    <row r="78" ht="15.75" customHeight="1">
      <c r="A78" s="759">
        <v>44007.0</v>
      </c>
      <c r="B78" s="760" t="s">
        <v>2870</v>
      </c>
      <c r="C78" s="761" t="s">
        <v>2376</v>
      </c>
      <c r="D78" s="745" t="s">
        <v>5903</v>
      </c>
      <c r="E78" s="757">
        <v>2500.0</v>
      </c>
      <c r="F78" s="745" t="s">
        <v>2869</v>
      </c>
      <c r="G78" s="755" t="s">
        <v>2379</v>
      </c>
      <c r="H78" s="755" t="s">
        <v>29</v>
      </c>
      <c r="I78" s="755" t="s">
        <v>2380</v>
      </c>
      <c r="J78" s="755">
        <v>43605.0</v>
      </c>
      <c r="K78" s="758" t="s">
        <v>3660</v>
      </c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  <c r="X78" s="754"/>
      <c r="Y78" s="754"/>
      <c r="Z78" s="754"/>
      <c r="AA78" s="754"/>
      <c r="AB78" s="754"/>
      <c r="AC78" s="754"/>
      <c r="AD78" s="754"/>
      <c r="AE78" s="754"/>
    </row>
    <row r="79" ht="15.75" customHeight="1">
      <c r="A79" s="759">
        <v>44008.0</v>
      </c>
      <c r="B79" s="760" t="s">
        <v>2811</v>
      </c>
      <c r="C79" s="761" t="s">
        <v>2376</v>
      </c>
      <c r="D79" s="745" t="s">
        <v>5903</v>
      </c>
      <c r="E79" s="757">
        <v>11000.0</v>
      </c>
      <c r="F79" s="745" t="s">
        <v>2810</v>
      </c>
      <c r="G79" s="755" t="s">
        <v>2379</v>
      </c>
      <c r="H79" s="755" t="s">
        <v>29</v>
      </c>
      <c r="I79" s="755" t="s">
        <v>2380</v>
      </c>
      <c r="J79" s="755">
        <v>43703.0</v>
      </c>
      <c r="K79" s="758" t="s">
        <v>4033</v>
      </c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  <c r="X79" s="754"/>
      <c r="Y79" s="754"/>
      <c r="Z79" s="754"/>
      <c r="AA79" s="754"/>
      <c r="AB79" s="754"/>
      <c r="AC79" s="754"/>
      <c r="AD79" s="754"/>
      <c r="AE79" s="754"/>
    </row>
    <row r="80" ht="15.75" customHeight="1">
      <c r="A80" s="755">
        <v>44011.0</v>
      </c>
      <c r="B80" s="756" t="s">
        <v>5911</v>
      </c>
      <c r="C80" s="745" t="s">
        <v>3642</v>
      </c>
      <c r="D80" s="745" t="s">
        <v>5902</v>
      </c>
      <c r="E80" s="757">
        <v>0.0</v>
      </c>
      <c r="F80" s="745" t="s">
        <v>5151</v>
      </c>
      <c r="G80" s="745" t="s">
        <v>2379</v>
      </c>
      <c r="H80" s="745" t="s">
        <v>29</v>
      </c>
      <c r="I80" s="745" t="s">
        <v>2379</v>
      </c>
      <c r="J80" s="755">
        <v>44216.0</v>
      </c>
      <c r="K80" s="762" t="s">
        <v>3651</v>
      </c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  <c r="X80" s="754"/>
      <c r="Y80" s="754"/>
      <c r="Z80" s="754"/>
      <c r="AA80" s="754"/>
      <c r="AB80" s="754"/>
      <c r="AC80" s="754"/>
      <c r="AD80" s="754"/>
      <c r="AE80" s="754"/>
    </row>
    <row r="81" ht="15.75" customHeight="1">
      <c r="A81" s="759">
        <v>44012.0</v>
      </c>
      <c r="B81" s="760" t="s">
        <v>2770</v>
      </c>
      <c r="C81" s="761" t="s">
        <v>2376</v>
      </c>
      <c r="D81" s="745" t="s">
        <v>5903</v>
      </c>
      <c r="E81" s="757">
        <v>36000.0</v>
      </c>
      <c r="F81" s="745" t="s">
        <v>2769</v>
      </c>
      <c r="G81" s="755" t="s">
        <v>2379</v>
      </c>
      <c r="H81" s="755" t="s">
        <v>29</v>
      </c>
      <c r="I81" s="755" t="s">
        <v>2380</v>
      </c>
      <c r="J81" s="755">
        <v>43888.0</v>
      </c>
      <c r="K81" s="758" t="s">
        <v>3651</v>
      </c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  <c r="X81" s="754"/>
      <c r="Y81" s="754"/>
      <c r="Z81" s="754"/>
      <c r="AA81" s="754"/>
      <c r="AB81" s="754"/>
      <c r="AC81" s="754"/>
      <c r="AD81" s="754"/>
      <c r="AE81" s="754"/>
    </row>
    <row r="82" ht="15.75" customHeight="1">
      <c r="A82" s="759">
        <v>44014.0</v>
      </c>
      <c r="B82" s="760" t="s">
        <v>2885</v>
      </c>
      <c r="C82" s="761" t="s">
        <v>2376</v>
      </c>
      <c r="D82" s="745" t="s">
        <v>5903</v>
      </c>
      <c r="E82" s="757">
        <v>100000.0</v>
      </c>
      <c r="F82" s="745" t="s">
        <v>2884</v>
      </c>
      <c r="G82" s="755" t="s">
        <v>2379</v>
      </c>
      <c r="H82" s="755" t="s">
        <v>29</v>
      </c>
      <c r="I82" s="755" t="s">
        <v>2392</v>
      </c>
      <c r="J82" s="755">
        <v>43559.0</v>
      </c>
      <c r="K82" s="758" t="s">
        <v>4033</v>
      </c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  <c r="X82" s="754"/>
      <c r="Y82" s="754"/>
      <c r="Z82" s="754"/>
      <c r="AA82" s="754"/>
      <c r="AB82" s="754"/>
      <c r="AC82" s="754"/>
      <c r="AD82" s="754"/>
      <c r="AE82" s="754"/>
    </row>
    <row r="83" ht="15.75" customHeight="1">
      <c r="A83" s="759">
        <v>44022.0</v>
      </c>
      <c r="B83" s="760" t="s">
        <v>3546</v>
      </c>
      <c r="C83" s="761" t="s">
        <v>3458</v>
      </c>
      <c r="D83" s="745" t="s">
        <v>5903</v>
      </c>
      <c r="E83" s="757">
        <v>100000.0</v>
      </c>
      <c r="F83" s="745" t="s">
        <v>3545</v>
      </c>
      <c r="G83" s="755" t="s">
        <v>18</v>
      </c>
      <c r="H83" s="755" t="s">
        <v>29</v>
      </c>
      <c r="I83" s="755" t="s">
        <v>2052</v>
      </c>
      <c r="J83" s="755">
        <v>43797.0</v>
      </c>
      <c r="K83" s="758" t="s">
        <v>3660</v>
      </c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  <c r="X83" s="754"/>
      <c r="Y83" s="754"/>
      <c r="Z83" s="754"/>
      <c r="AA83" s="754"/>
      <c r="AB83" s="754"/>
      <c r="AC83" s="754"/>
      <c r="AD83" s="754"/>
      <c r="AE83" s="754"/>
    </row>
    <row r="84" ht="15.75" customHeight="1">
      <c r="A84" s="759">
        <v>44022.0</v>
      </c>
      <c r="B84" s="760" t="s">
        <v>3251</v>
      </c>
      <c r="C84" s="761" t="s">
        <v>2376</v>
      </c>
      <c r="D84" s="745" t="s">
        <v>5903</v>
      </c>
      <c r="E84" s="757">
        <v>40078.02</v>
      </c>
      <c r="F84" s="745" t="s">
        <v>3250</v>
      </c>
      <c r="G84" s="755" t="s">
        <v>2379</v>
      </c>
      <c r="H84" s="755" t="s">
        <v>29</v>
      </c>
      <c r="I84" s="755" t="s">
        <v>2380</v>
      </c>
      <c r="J84" s="755">
        <v>43840.0</v>
      </c>
      <c r="K84" s="758" t="s">
        <v>3660</v>
      </c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54"/>
      <c r="AB84" s="754"/>
      <c r="AC84" s="754"/>
      <c r="AD84" s="754"/>
      <c r="AE84" s="754"/>
    </row>
    <row r="85" ht="15.75" customHeight="1">
      <c r="A85" s="759">
        <v>44023.0</v>
      </c>
      <c r="B85" s="760" t="s">
        <v>2852</v>
      </c>
      <c r="C85" s="761" t="s">
        <v>2376</v>
      </c>
      <c r="D85" s="745" t="s">
        <v>5903</v>
      </c>
      <c r="E85" s="757">
        <v>46758.86</v>
      </c>
      <c r="F85" s="745" t="s">
        <v>2851</v>
      </c>
      <c r="G85" s="755" t="s">
        <v>2379</v>
      </c>
      <c r="H85" s="755" t="s">
        <v>29</v>
      </c>
      <c r="I85" s="755" t="s">
        <v>2380</v>
      </c>
      <c r="J85" s="755">
        <v>43620.0</v>
      </c>
      <c r="K85" s="758" t="s">
        <v>3664</v>
      </c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  <c r="X85" s="754"/>
      <c r="Y85" s="754"/>
      <c r="Z85" s="754"/>
      <c r="AA85" s="754"/>
      <c r="AB85" s="754"/>
      <c r="AC85" s="754"/>
      <c r="AD85" s="754"/>
      <c r="AE85" s="754"/>
    </row>
    <row r="86" ht="15.75" customHeight="1">
      <c r="A86" s="755">
        <v>44025.0</v>
      </c>
      <c r="B86" s="756" t="s">
        <v>3401</v>
      </c>
      <c r="C86" s="745" t="s">
        <v>2376</v>
      </c>
      <c r="D86" s="745" t="s">
        <v>5902</v>
      </c>
      <c r="E86" s="757">
        <v>0.0</v>
      </c>
      <c r="F86" s="745" t="s">
        <v>3400</v>
      </c>
      <c r="G86" s="755" t="s">
        <v>2379</v>
      </c>
      <c r="H86" s="755" t="s">
        <v>29</v>
      </c>
      <c r="I86" s="755" t="s">
        <v>2380</v>
      </c>
      <c r="J86" s="755">
        <v>43538.0</v>
      </c>
      <c r="K86" s="758" t="s">
        <v>4033</v>
      </c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  <c r="X86" s="754"/>
      <c r="Y86" s="754"/>
      <c r="Z86" s="754"/>
      <c r="AA86" s="754"/>
      <c r="AB86" s="754"/>
      <c r="AC86" s="754"/>
      <c r="AD86" s="754"/>
      <c r="AE86" s="754"/>
    </row>
    <row r="87" ht="15.75" customHeight="1">
      <c r="A87" s="755">
        <v>44025.0</v>
      </c>
      <c r="B87" s="756" t="s">
        <v>3403</v>
      </c>
      <c r="C87" s="745" t="s">
        <v>2376</v>
      </c>
      <c r="D87" s="745" t="s">
        <v>5902</v>
      </c>
      <c r="E87" s="757">
        <v>0.0</v>
      </c>
      <c r="F87" s="745" t="s">
        <v>3400</v>
      </c>
      <c r="G87" s="755" t="s">
        <v>2379</v>
      </c>
      <c r="H87" s="755" t="s">
        <v>29</v>
      </c>
      <c r="I87" s="755" t="s">
        <v>2380</v>
      </c>
      <c r="J87" s="755">
        <v>43538.0</v>
      </c>
      <c r="K87" s="758" t="s">
        <v>3664</v>
      </c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  <c r="X87" s="754"/>
      <c r="Y87" s="754"/>
      <c r="Z87" s="754"/>
      <c r="AA87" s="754"/>
      <c r="AB87" s="754"/>
      <c r="AC87" s="754"/>
      <c r="AD87" s="754"/>
      <c r="AE87" s="754"/>
    </row>
    <row r="88" ht="15.75" customHeight="1">
      <c r="A88" s="759">
        <v>44029.0</v>
      </c>
      <c r="B88" s="760" t="s">
        <v>3235</v>
      </c>
      <c r="C88" s="761" t="s">
        <v>2376</v>
      </c>
      <c r="D88" s="745" t="s">
        <v>5903</v>
      </c>
      <c r="E88" s="757">
        <v>60000.0</v>
      </c>
      <c r="F88" s="745" t="s">
        <v>3234</v>
      </c>
      <c r="G88" s="755" t="s">
        <v>2379</v>
      </c>
      <c r="H88" s="755" t="s">
        <v>29</v>
      </c>
      <c r="I88" s="755" t="s">
        <v>2380</v>
      </c>
      <c r="J88" s="755">
        <v>43894.0</v>
      </c>
      <c r="K88" s="758" t="s">
        <v>3660</v>
      </c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4"/>
      <c r="Y88" s="754"/>
      <c r="Z88" s="754"/>
      <c r="AA88" s="754"/>
      <c r="AB88" s="754"/>
      <c r="AC88" s="754"/>
      <c r="AD88" s="754"/>
      <c r="AE88" s="754"/>
    </row>
    <row r="89" ht="15.75" customHeight="1">
      <c r="A89" s="759">
        <v>44032.0</v>
      </c>
      <c r="B89" s="760" t="s">
        <v>2870</v>
      </c>
      <c r="C89" s="761" t="s">
        <v>2376</v>
      </c>
      <c r="D89" s="745" t="s">
        <v>5903</v>
      </c>
      <c r="E89" s="757">
        <v>211079.19</v>
      </c>
      <c r="F89" s="745" t="s">
        <v>2869</v>
      </c>
      <c r="G89" s="755" t="s">
        <v>2379</v>
      </c>
      <c r="H89" s="755" t="s">
        <v>29</v>
      </c>
      <c r="I89" s="755" t="s">
        <v>2380</v>
      </c>
      <c r="J89" s="755">
        <v>43605.0</v>
      </c>
      <c r="K89" s="758" t="s">
        <v>3660</v>
      </c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  <c r="X89" s="754"/>
      <c r="Y89" s="754"/>
      <c r="Z89" s="754"/>
      <c r="AA89" s="754"/>
      <c r="AB89" s="754"/>
      <c r="AC89" s="754"/>
      <c r="AD89" s="754"/>
      <c r="AE89" s="754"/>
    </row>
    <row r="90" ht="15.75" customHeight="1">
      <c r="A90" s="759">
        <v>44032.0</v>
      </c>
      <c r="B90" s="760" t="s">
        <v>2974</v>
      </c>
      <c r="C90" s="761" t="s">
        <v>2376</v>
      </c>
      <c r="D90" s="745" t="s">
        <v>5903</v>
      </c>
      <c r="E90" s="757">
        <v>7000.0</v>
      </c>
      <c r="F90" s="745" t="s">
        <v>2973</v>
      </c>
      <c r="G90" s="755" t="s">
        <v>2379</v>
      </c>
      <c r="H90" s="755" t="s">
        <v>29</v>
      </c>
      <c r="I90" s="755" t="s">
        <v>2380</v>
      </c>
      <c r="J90" s="755">
        <v>43732.0</v>
      </c>
      <c r="K90" s="758" t="s">
        <v>4033</v>
      </c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54"/>
      <c r="AB90" s="754"/>
      <c r="AC90" s="754"/>
      <c r="AD90" s="754"/>
      <c r="AE90" s="754"/>
    </row>
    <row r="91" ht="15.75" customHeight="1">
      <c r="A91" s="759">
        <v>44032.0</v>
      </c>
      <c r="B91" s="760" t="s">
        <v>2993</v>
      </c>
      <c r="C91" s="761" t="s">
        <v>2376</v>
      </c>
      <c r="D91" s="745" t="s">
        <v>5903</v>
      </c>
      <c r="E91" s="757">
        <v>14000.0</v>
      </c>
      <c r="F91" s="745" t="s">
        <v>2992</v>
      </c>
      <c r="G91" s="755" t="s">
        <v>2379</v>
      </c>
      <c r="H91" s="755" t="s">
        <v>29</v>
      </c>
      <c r="I91" s="755" t="s">
        <v>2380</v>
      </c>
      <c r="J91" s="755">
        <v>43620.0</v>
      </c>
      <c r="K91" s="758" t="s">
        <v>3651</v>
      </c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54"/>
      <c r="AB91" s="754"/>
      <c r="AC91" s="754"/>
      <c r="AD91" s="754"/>
      <c r="AE91" s="754"/>
    </row>
    <row r="92" ht="15.75" customHeight="1">
      <c r="A92" s="759">
        <v>44032.0</v>
      </c>
      <c r="B92" s="760" t="s">
        <v>5912</v>
      </c>
      <c r="C92" s="761" t="s">
        <v>3642</v>
      </c>
      <c r="D92" s="745" t="s">
        <v>5903</v>
      </c>
      <c r="E92" s="757">
        <v>10000.0</v>
      </c>
      <c r="F92" s="745" t="s">
        <v>2992</v>
      </c>
      <c r="G92" s="745" t="s">
        <v>2379</v>
      </c>
      <c r="H92" s="745" t="s">
        <v>29</v>
      </c>
      <c r="I92" s="745" t="s">
        <v>2379</v>
      </c>
      <c r="J92" s="755">
        <v>43700.0</v>
      </c>
      <c r="K92" s="762" t="s">
        <v>3651</v>
      </c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  <c r="X92" s="754"/>
      <c r="Y92" s="754"/>
      <c r="Z92" s="754"/>
      <c r="AA92" s="754"/>
      <c r="AB92" s="754"/>
      <c r="AC92" s="754"/>
      <c r="AD92" s="754"/>
      <c r="AE92" s="754"/>
    </row>
    <row r="93" ht="15.75" customHeight="1">
      <c r="A93" s="759">
        <v>44033.0</v>
      </c>
      <c r="B93" s="763" t="s">
        <v>2669</v>
      </c>
      <c r="C93" s="761" t="s">
        <v>2376</v>
      </c>
      <c r="D93" s="745" t="s">
        <v>2387</v>
      </c>
      <c r="E93" s="757">
        <v>30000.0</v>
      </c>
      <c r="F93" s="745" t="s">
        <v>2668</v>
      </c>
      <c r="G93" s="755" t="s">
        <v>2379</v>
      </c>
      <c r="H93" s="755" t="s">
        <v>29</v>
      </c>
      <c r="I93" s="755" t="s">
        <v>2392</v>
      </c>
      <c r="J93" s="755">
        <v>43913.0</v>
      </c>
      <c r="K93" s="758" t="s">
        <v>3651</v>
      </c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  <c r="X93" s="754"/>
      <c r="Y93" s="754"/>
      <c r="Z93" s="754"/>
      <c r="AA93" s="754"/>
      <c r="AB93" s="754"/>
      <c r="AC93" s="754"/>
      <c r="AD93" s="754"/>
      <c r="AE93" s="754"/>
    </row>
    <row r="94" ht="15.75" customHeight="1">
      <c r="A94" s="759">
        <v>44034.0</v>
      </c>
      <c r="B94" s="760" t="s">
        <v>3144</v>
      </c>
      <c r="C94" s="761" t="s">
        <v>2376</v>
      </c>
      <c r="D94" s="745" t="s">
        <v>2387</v>
      </c>
      <c r="E94" s="757">
        <v>20000.0</v>
      </c>
      <c r="F94" s="745" t="s">
        <v>3143</v>
      </c>
      <c r="G94" s="755" t="s">
        <v>2489</v>
      </c>
      <c r="H94" s="755" t="s">
        <v>29</v>
      </c>
      <c r="I94" s="755" t="s">
        <v>2489</v>
      </c>
      <c r="J94" s="755">
        <v>43441.0</v>
      </c>
      <c r="K94" s="758" t="s">
        <v>3664</v>
      </c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  <c r="X94" s="754"/>
      <c r="Y94" s="754"/>
      <c r="Z94" s="754"/>
      <c r="AA94" s="754"/>
      <c r="AB94" s="754"/>
      <c r="AC94" s="754"/>
      <c r="AD94" s="754"/>
      <c r="AE94" s="754"/>
    </row>
    <row r="95" ht="15.75" customHeight="1">
      <c r="A95" s="759">
        <v>44036.0</v>
      </c>
      <c r="B95" s="760" t="s">
        <v>2993</v>
      </c>
      <c r="C95" s="761" t="s">
        <v>2376</v>
      </c>
      <c r="D95" s="745" t="s">
        <v>5903</v>
      </c>
      <c r="E95" s="757">
        <v>3500.0</v>
      </c>
      <c r="F95" s="745" t="s">
        <v>2992</v>
      </c>
      <c r="G95" s="755" t="s">
        <v>2379</v>
      </c>
      <c r="H95" s="755" t="s">
        <v>29</v>
      </c>
      <c r="I95" s="755" t="s">
        <v>2380</v>
      </c>
      <c r="J95" s="755">
        <v>43620.0</v>
      </c>
      <c r="K95" s="758" t="s">
        <v>3651</v>
      </c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  <c r="X95" s="754"/>
      <c r="Y95" s="754"/>
      <c r="Z95" s="754"/>
      <c r="AA95" s="754"/>
      <c r="AB95" s="754"/>
      <c r="AC95" s="754"/>
      <c r="AD95" s="754"/>
      <c r="AE95" s="754"/>
    </row>
    <row r="96" ht="15.75" customHeight="1">
      <c r="A96" s="759">
        <v>44036.0</v>
      </c>
      <c r="B96" s="763" t="s">
        <v>2852</v>
      </c>
      <c r="C96" s="761" t="s">
        <v>2376</v>
      </c>
      <c r="D96" s="745" t="s">
        <v>2387</v>
      </c>
      <c r="E96" s="757">
        <v>7000.0</v>
      </c>
      <c r="F96" s="745" t="s">
        <v>2851</v>
      </c>
      <c r="G96" s="755" t="s">
        <v>2379</v>
      </c>
      <c r="H96" s="755" t="s">
        <v>29</v>
      </c>
      <c r="I96" s="755" t="s">
        <v>2380</v>
      </c>
      <c r="J96" s="755">
        <v>43620.0</v>
      </c>
      <c r="K96" s="758" t="s">
        <v>3664</v>
      </c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  <c r="X96" s="754"/>
      <c r="Y96" s="754"/>
      <c r="Z96" s="754"/>
      <c r="AA96" s="754"/>
      <c r="AB96" s="754"/>
      <c r="AC96" s="754"/>
      <c r="AD96" s="754"/>
      <c r="AE96" s="754"/>
    </row>
    <row r="97" ht="15.75" customHeight="1">
      <c r="A97" s="759">
        <v>44039.0</v>
      </c>
      <c r="B97" s="760" t="s">
        <v>3251</v>
      </c>
      <c r="C97" s="761" t="s">
        <v>2376</v>
      </c>
      <c r="D97" s="745" t="s">
        <v>5903</v>
      </c>
      <c r="E97" s="757">
        <v>20000.0</v>
      </c>
      <c r="F97" s="745" t="s">
        <v>3250</v>
      </c>
      <c r="G97" s="755" t="s">
        <v>2379</v>
      </c>
      <c r="H97" s="755" t="s">
        <v>29</v>
      </c>
      <c r="I97" s="755" t="s">
        <v>2380</v>
      </c>
      <c r="J97" s="755">
        <v>43840.0</v>
      </c>
      <c r="K97" s="758" t="s">
        <v>3660</v>
      </c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54"/>
      <c r="AB97" s="754"/>
      <c r="AC97" s="754"/>
      <c r="AD97" s="754"/>
      <c r="AE97" s="754"/>
    </row>
    <row r="98" ht="15.75" customHeight="1">
      <c r="A98" s="759">
        <v>44039.0</v>
      </c>
      <c r="B98" s="763" t="s">
        <v>2870</v>
      </c>
      <c r="C98" s="761" t="s">
        <v>2376</v>
      </c>
      <c r="D98" s="745" t="s">
        <v>5903</v>
      </c>
      <c r="E98" s="757">
        <v>5000.0</v>
      </c>
      <c r="F98" s="745" t="s">
        <v>2869</v>
      </c>
      <c r="G98" s="755" t="s">
        <v>2379</v>
      </c>
      <c r="H98" s="755" t="s">
        <v>29</v>
      </c>
      <c r="I98" s="755" t="s">
        <v>2380</v>
      </c>
      <c r="J98" s="755">
        <v>43605.0</v>
      </c>
      <c r="K98" s="758" t="s">
        <v>3660</v>
      </c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754"/>
      <c r="AD98" s="754"/>
      <c r="AE98" s="754"/>
    </row>
    <row r="99" ht="15.75" customHeight="1">
      <c r="A99" s="759">
        <v>44040.0</v>
      </c>
      <c r="B99" s="760" t="s">
        <v>2811</v>
      </c>
      <c r="C99" s="761" t="s">
        <v>2376</v>
      </c>
      <c r="D99" s="745" t="s">
        <v>5903</v>
      </c>
      <c r="E99" s="757">
        <v>10000.0</v>
      </c>
      <c r="F99" s="745" t="s">
        <v>2810</v>
      </c>
      <c r="G99" s="755" t="s">
        <v>2379</v>
      </c>
      <c r="H99" s="755" t="s">
        <v>29</v>
      </c>
      <c r="I99" s="755" t="s">
        <v>2380</v>
      </c>
      <c r="J99" s="755">
        <v>43703.0</v>
      </c>
      <c r="K99" s="758" t="s">
        <v>4033</v>
      </c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  <c r="X99" s="754"/>
      <c r="Y99" s="754"/>
      <c r="Z99" s="754"/>
      <c r="AA99" s="754"/>
      <c r="AB99" s="754"/>
      <c r="AC99" s="754"/>
      <c r="AD99" s="754"/>
      <c r="AE99" s="754"/>
    </row>
    <row r="100" ht="15.75" customHeight="1">
      <c r="A100" s="755">
        <v>44041.0</v>
      </c>
      <c r="B100" s="756" t="s">
        <v>5913</v>
      </c>
      <c r="C100" s="745" t="s">
        <v>2376</v>
      </c>
      <c r="D100" s="745" t="s">
        <v>5902</v>
      </c>
      <c r="E100" s="757">
        <v>0.0</v>
      </c>
      <c r="F100" s="745" t="s">
        <v>5914</v>
      </c>
      <c r="G100" s="755"/>
      <c r="H100" s="755"/>
      <c r="I100" s="755"/>
      <c r="J100" s="755"/>
      <c r="K100" s="758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  <c r="X100" s="754"/>
      <c r="Y100" s="754"/>
      <c r="Z100" s="754"/>
      <c r="AA100" s="754"/>
      <c r="AB100" s="754"/>
      <c r="AC100" s="754"/>
      <c r="AD100" s="754"/>
      <c r="AE100" s="754"/>
    </row>
    <row r="101" ht="15.75" customHeight="1">
      <c r="A101" s="759">
        <v>44041.0</v>
      </c>
      <c r="B101" s="763" t="s">
        <v>2770</v>
      </c>
      <c r="C101" s="761" t="s">
        <v>2376</v>
      </c>
      <c r="D101" s="745" t="s">
        <v>5903</v>
      </c>
      <c r="E101" s="757">
        <v>151239.98</v>
      </c>
      <c r="F101" s="745" t="s">
        <v>2769</v>
      </c>
      <c r="G101" s="755" t="s">
        <v>2379</v>
      </c>
      <c r="H101" s="755" t="s">
        <v>29</v>
      </c>
      <c r="I101" s="755" t="s">
        <v>2380</v>
      </c>
      <c r="J101" s="755">
        <v>43888.0</v>
      </c>
      <c r="K101" s="758" t="s">
        <v>3651</v>
      </c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  <c r="X101" s="754"/>
      <c r="Y101" s="754"/>
      <c r="Z101" s="754"/>
      <c r="AA101" s="754"/>
      <c r="AB101" s="754"/>
      <c r="AC101" s="754"/>
      <c r="AD101" s="754"/>
      <c r="AE101" s="754"/>
    </row>
    <row r="102" ht="15.75" customHeight="1">
      <c r="A102" s="759">
        <v>44041.0</v>
      </c>
      <c r="B102" s="760" t="s">
        <v>3475</v>
      </c>
      <c r="C102" s="761" t="s">
        <v>3458</v>
      </c>
      <c r="D102" s="745" t="s">
        <v>5903</v>
      </c>
      <c r="E102" s="757">
        <v>10000.0</v>
      </c>
      <c r="F102" s="745" t="s">
        <v>387</v>
      </c>
      <c r="G102" s="755" t="s">
        <v>18</v>
      </c>
      <c r="H102" s="755" t="s">
        <v>29</v>
      </c>
      <c r="I102" s="755" t="s">
        <v>2633</v>
      </c>
      <c r="J102" s="755">
        <v>43934.0</v>
      </c>
      <c r="K102" s="758" t="s">
        <v>3647</v>
      </c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  <c r="X102" s="754"/>
      <c r="Y102" s="754"/>
      <c r="Z102" s="754"/>
      <c r="AA102" s="754"/>
      <c r="AB102" s="754"/>
      <c r="AC102" s="754"/>
      <c r="AD102" s="754"/>
      <c r="AE102" s="754"/>
    </row>
    <row r="103" ht="15.75" customHeight="1">
      <c r="A103" s="755">
        <v>44042.0</v>
      </c>
      <c r="B103" s="765" t="s">
        <v>5915</v>
      </c>
      <c r="C103" s="745" t="s">
        <v>3642</v>
      </c>
      <c r="D103" s="745" t="s">
        <v>5902</v>
      </c>
      <c r="E103" s="757">
        <v>0.0</v>
      </c>
      <c r="F103" s="745" t="s">
        <v>3784</v>
      </c>
      <c r="G103" s="745" t="s">
        <v>2379</v>
      </c>
      <c r="H103" s="745" t="s">
        <v>29</v>
      </c>
      <c r="I103" s="745" t="s">
        <v>2379</v>
      </c>
      <c r="J103" s="755">
        <v>43838.0</v>
      </c>
      <c r="K103" s="762" t="s">
        <v>3785</v>
      </c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  <c r="X103" s="754"/>
      <c r="Y103" s="754"/>
      <c r="Z103" s="754"/>
      <c r="AA103" s="754"/>
      <c r="AB103" s="754"/>
      <c r="AC103" s="754"/>
      <c r="AD103" s="754"/>
      <c r="AE103" s="754"/>
    </row>
    <row r="104" ht="15.75" customHeight="1">
      <c r="A104" s="759">
        <v>44042.0</v>
      </c>
      <c r="B104" s="760" t="s">
        <v>3541</v>
      </c>
      <c r="C104" s="761" t="s">
        <v>3458</v>
      </c>
      <c r="D104" s="745" t="s">
        <v>5903</v>
      </c>
      <c r="E104" s="757">
        <v>10000.0</v>
      </c>
      <c r="F104" s="745" t="s">
        <v>3540</v>
      </c>
      <c r="G104" s="755" t="s">
        <v>18</v>
      </c>
      <c r="H104" s="755" t="s">
        <v>29</v>
      </c>
      <c r="I104" s="755" t="s">
        <v>2633</v>
      </c>
      <c r="J104" s="755">
        <v>43635.0</v>
      </c>
      <c r="K104" s="758" t="s">
        <v>4033</v>
      </c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  <c r="X104" s="754"/>
      <c r="Y104" s="754"/>
      <c r="Z104" s="754"/>
      <c r="AA104" s="754"/>
      <c r="AB104" s="754"/>
      <c r="AC104" s="754"/>
      <c r="AD104" s="754"/>
      <c r="AE104" s="754"/>
    </row>
    <row r="105" ht="15.75" customHeight="1">
      <c r="A105" s="755">
        <v>44044.0</v>
      </c>
      <c r="B105" s="756" t="s">
        <v>3241</v>
      </c>
      <c r="C105" s="745" t="s">
        <v>2376</v>
      </c>
      <c r="D105" s="745" t="s">
        <v>5902</v>
      </c>
      <c r="E105" s="757">
        <v>151239.98</v>
      </c>
      <c r="F105" s="745" t="s">
        <v>3240</v>
      </c>
      <c r="G105" s="755" t="s">
        <v>2379</v>
      </c>
      <c r="H105" s="755" t="s">
        <v>29</v>
      </c>
      <c r="I105" s="755" t="s">
        <v>2380</v>
      </c>
      <c r="J105" s="755">
        <v>43668.0</v>
      </c>
      <c r="K105" s="758" t="s">
        <v>4033</v>
      </c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  <c r="X105" s="754"/>
      <c r="Y105" s="754"/>
      <c r="Z105" s="754"/>
      <c r="AA105" s="754"/>
      <c r="AB105" s="754"/>
      <c r="AC105" s="754"/>
      <c r="AD105" s="754"/>
      <c r="AE105" s="754"/>
    </row>
    <row r="106" ht="15.75" customHeight="1">
      <c r="A106" s="759">
        <v>44046.0</v>
      </c>
      <c r="B106" s="760" t="s">
        <v>2885</v>
      </c>
      <c r="C106" s="761" t="s">
        <v>2376</v>
      </c>
      <c r="D106" s="745" t="s">
        <v>5903</v>
      </c>
      <c r="E106" s="757">
        <v>3000.0</v>
      </c>
      <c r="F106" s="745" t="s">
        <v>2884</v>
      </c>
      <c r="G106" s="755" t="s">
        <v>2379</v>
      </c>
      <c r="H106" s="755" t="s">
        <v>29</v>
      </c>
      <c r="I106" s="755" t="s">
        <v>2392</v>
      </c>
      <c r="J106" s="755">
        <v>43559.0</v>
      </c>
      <c r="K106" s="758" t="s">
        <v>4033</v>
      </c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  <c r="X106" s="754"/>
      <c r="Y106" s="754"/>
      <c r="Z106" s="754"/>
      <c r="AA106" s="754"/>
      <c r="AB106" s="754"/>
      <c r="AC106" s="754"/>
      <c r="AD106" s="754"/>
      <c r="AE106" s="754"/>
    </row>
    <row r="107" ht="15.75" customHeight="1">
      <c r="A107" s="759">
        <v>44046.0</v>
      </c>
      <c r="B107" s="760" t="s">
        <v>3272</v>
      </c>
      <c r="C107" s="761" t="s">
        <v>2376</v>
      </c>
      <c r="D107" s="745" t="s">
        <v>5903</v>
      </c>
      <c r="E107" s="757">
        <v>6500.0</v>
      </c>
      <c r="F107" s="745" t="s">
        <v>3271</v>
      </c>
      <c r="G107" s="755" t="s">
        <v>2379</v>
      </c>
      <c r="H107" s="755" t="s">
        <v>29</v>
      </c>
      <c r="I107" s="755" t="s">
        <v>2380</v>
      </c>
      <c r="J107" s="755">
        <v>43675.0</v>
      </c>
      <c r="K107" s="758" t="s">
        <v>4033</v>
      </c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54"/>
      <c r="AB107" s="754"/>
      <c r="AC107" s="754"/>
      <c r="AD107" s="754"/>
      <c r="AE107" s="754"/>
    </row>
    <row r="108" ht="15.75" customHeight="1">
      <c r="A108" s="759">
        <v>44048.0</v>
      </c>
      <c r="B108" s="763" t="s">
        <v>5907</v>
      </c>
      <c r="C108" s="761" t="s">
        <v>3642</v>
      </c>
      <c r="D108" s="745" t="s">
        <v>5903</v>
      </c>
      <c r="E108" s="757">
        <v>10000.0</v>
      </c>
      <c r="F108" s="745" t="s">
        <v>4507</v>
      </c>
      <c r="G108" s="745" t="s">
        <v>2379</v>
      </c>
      <c r="H108" s="745" t="s">
        <v>29</v>
      </c>
      <c r="I108" s="745" t="s">
        <v>2379</v>
      </c>
      <c r="J108" s="755">
        <v>44252.0</v>
      </c>
      <c r="K108" s="762" t="s">
        <v>3660</v>
      </c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54"/>
      <c r="AB108" s="754"/>
      <c r="AC108" s="754"/>
      <c r="AD108" s="754"/>
      <c r="AE108" s="754"/>
    </row>
    <row r="109" ht="15.75" customHeight="1">
      <c r="A109" s="759">
        <v>44048.0</v>
      </c>
      <c r="B109" s="760" t="s">
        <v>3159</v>
      </c>
      <c r="C109" s="761" t="s">
        <v>2376</v>
      </c>
      <c r="D109" s="745" t="s">
        <v>5903</v>
      </c>
      <c r="E109" s="757">
        <v>33000.0</v>
      </c>
      <c r="F109" s="745" t="s">
        <v>3158</v>
      </c>
      <c r="G109" s="755" t="s">
        <v>2379</v>
      </c>
      <c r="H109" s="755" t="s">
        <v>29</v>
      </c>
      <c r="I109" s="755" t="s">
        <v>2380</v>
      </c>
      <c r="J109" s="755">
        <v>43699.0</v>
      </c>
      <c r="K109" s="758" t="s">
        <v>4033</v>
      </c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  <c r="X109" s="754"/>
      <c r="Y109" s="754"/>
      <c r="Z109" s="754"/>
      <c r="AA109" s="754"/>
      <c r="AB109" s="754"/>
      <c r="AC109" s="754"/>
      <c r="AD109" s="754"/>
      <c r="AE109" s="754"/>
    </row>
    <row r="110" ht="15.75" customHeight="1">
      <c r="A110" s="759">
        <v>44049.0</v>
      </c>
      <c r="B110" s="760" t="s">
        <v>3241</v>
      </c>
      <c r="C110" s="761" t="s">
        <v>2376</v>
      </c>
      <c r="D110" s="745" t="s">
        <v>2387</v>
      </c>
      <c r="E110" s="757">
        <v>5000.0</v>
      </c>
      <c r="F110" s="745" t="s">
        <v>3240</v>
      </c>
      <c r="G110" s="755" t="s">
        <v>2379</v>
      </c>
      <c r="H110" s="755" t="s">
        <v>29</v>
      </c>
      <c r="I110" s="755" t="s">
        <v>2380</v>
      </c>
      <c r="J110" s="755">
        <v>43668.0</v>
      </c>
      <c r="K110" s="758" t="s">
        <v>4033</v>
      </c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  <c r="X110" s="754"/>
      <c r="Y110" s="754"/>
      <c r="Z110" s="754"/>
      <c r="AA110" s="754"/>
      <c r="AB110" s="754"/>
      <c r="AC110" s="754"/>
      <c r="AD110" s="754"/>
      <c r="AE110" s="754"/>
    </row>
    <row r="111" ht="15.75" customHeight="1">
      <c r="A111" s="759">
        <v>44049.0</v>
      </c>
      <c r="B111" s="760" t="s">
        <v>2770</v>
      </c>
      <c r="C111" s="761" t="s">
        <v>2376</v>
      </c>
      <c r="D111" s="745" t="s">
        <v>5903</v>
      </c>
      <c r="E111" s="757">
        <v>99216.1</v>
      </c>
      <c r="F111" s="745" t="s">
        <v>2769</v>
      </c>
      <c r="G111" s="755" t="s">
        <v>2379</v>
      </c>
      <c r="H111" s="755" t="s">
        <v>29</v>
      </c>
      <c r="I111" s="755" t="s">
        <v>2380</v>
      </c>
      <c r="J111" s="755">
        <v>43888.0</v>
      </c>
      <c r="K111" s="758" t="s">
        <v>3651</v>
      </c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  <c r="X111" s="754"/>
      <c r="Y111" s="754"/>
      <c r="Z111" s="754"/>
      <c r="AA111" s="754"/>
      <c r="AB111" s="754"/>
      <c r="AC111" s="754"/>
      <c r="AD111" s="754"/>
      <c r="AE111" s="754"/>
    </row>
    <row r="112" ht="15.75" customHeight="1">
      <c r="A112" s="759">
        <v>44050.0</v>
      </c>
      <c r="B112" s="760" t="s">
        <v>2811</v>
      </c>
      <c r="C112" s="761" t="s">
        <v>2376</v>
      </c>
      <c r="D112" s="745" t="s">
        <v>5903</v>
      </c>
      <c r="E112" s="757">
        <v>14000.0</v>
      </c>
      <c r="F112" s="745" t="s">
        <v>2810</v>
      </c>
      <c r="G112" s="755" t="s">
        <v>2379</v>
      </c>
      <c r="H112" s="755" t="s">
        <v>29</v>
      </c>
      <c r="I112" s="755" t="s">
        <v>2380</v>
      </c>
      <c r="J112" s="755">
        <v>43703.0</v>
      </c>
      <c r="K112" s="758" t="s">
        <v>4033</v>
      </c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  <c r="X112" s="754"/>
      <c r="Y112" s="754"/>
      <c r="Z112" s="754"/>
      <c r="AA112" s="754"/>
      <c r="AB112" s="754"/>
      <c r="AC112" s="754"/>
      <c r="AD112" s="754"/>
      <c r="AE112" s="754"/>
    </row>
    <row r="113" ht="15.75" customHeight="1">
      <c r="A113" s="759">
        <v>44050.0</v>
      </c>
      <c r="B113" s="760" t="s">
        <v>3235</v>
      </c>
      <c r="C113" s="761" t="s">
        <v>2376</v>
      </c>
      <c r="D113" s="745" t="s">
        <v>5903</v>
      </c>
      <c r="E113" s="757">
        <v>9000.0</v>
      </c>
      <c r="F113" s="745" t="s">
        <v>3234</v>
      </c>
      <c r="G113" s="755" t="s">
        <v>2379</v>
      </c>
      <c r="H113" s="755" t="s">
        <v>29</v>
      </c>
      <c r="I113" s="755" t="s">
        <v>2380</v>
      </c>
      <c r="J113" s="755">
        <v>43894.0</v>
      </c>
      <c r="K113" s="758" t="s">
        <v>3660</v>
      </c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  <c r="X113" s="754"/>
      <c r="Y113" s="754"/>
      <c r="Z113" s="754"/>
      <c r="AA113" s="754"/>
      <c r="AB113" s="754"/>
      <c r="AC113" s="754"/>
      <c r="AD113" s="754"/>
      <c r="AE113" s="754"/>
    </row>
    <row r="114" ht="15.75" customHeight="1">
      <c r="A114" s="759">
        <v>44050.0</v>
      </c>
      <c r="B114" s="763" t="s">
        <v>2914</v>
      </c>
      <c r="C114" s="761" t="s">
        <v>2376</v>
      </c>
      <c r="D114" s="745" t="s">
        <v>5903</v>
      </c>
      <c r="E114" s="757">
        <v>20000.0</v>
      </c>
      <c r="F114" s="745" t="s">
        <v>2913</v>
      </c>
      <c r="G114" s="755" t="s">
        <v>2379</v>
      </c>
      <c r="H114" s="755" t="s">
        <v>29</v>
      </c>
      <c r="I114" s="755" t="s">
        <v>2392</v>
      </c>
      <c r="J114" s="755">
        <v>43664.0</v>
      </c>
      <c r="K114" s="758" t="s">
        <v>4033</v>
      </c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  <c r="X114" s="754"/>
      <c r="Y114" s="754"/>
      <c r="Z114" s="754"/>
      <c r="AA114" s="754"/>
      <c r="AB114" s="754"/>
      <c r="AC114" s="754"/>
      <c r="AD114" s="754"/>
      <c r="AE114" s="754"/>
    </row>
    <row r="115" ht="15.75" customHeight="1">
      <c r="A115" s="755">
        <v>44053.0</v>
      </c>
      <c r="B115" s="756" t="s">
        <v>3398</v>
      </c>
      <c r="C115" s="745" t="s">
        <v>2376</v>
      </c>
      <c r="D115" s="745" t="s">
        <v>5902</v>
      </c>
      <c r="E115" s="757">
        <v>0.0</v>
      </c>
      <c r="F115" s="745" t="s">
        <v>3397</v>
      </c>
      <c r="G115" s="755" t="s">
        <v>2379</v>
      </c>
      <c r="H115" s="755" t="s">
        <v>29</v>
      </c>
      <c r="I115" s="755" t="s">
        <v>2380</v>
      </c>
      <c r="J115" s="755">
        <v>43738.0</v>
      </c>
      <c r="K115" s="758" t="s">
        <v>3664</v>
      </c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  <c r="X115" s="754"/>
      <c r="Y115" s="754"/>
      <c r="Z115" s="754"/>
      <c r="AA115" s="754"/>
      <c r="AB115" s="754"/>
      <c r="AC115" s="754"/>
      <c r="AD115" s="754"/>
      <c r="AE115" s="754"/>
    </row>
    <row r="116" ht="15.75" customHeight="1">
      <c r="A116" s="759">
        <v>44057.0</v>
      </c>
      <c r="B116" s="763" t="s">
        <v>3342</v>
      </c>
      <c r="C116" s="761" t="s">
        <v>2376</v>
      </c>
      <c r="D116" s="745" t="s">
        <v>5903</v>
      </c>
      <c r="E116" s="757">
        <v>200000.0</v>
      </c>
      <c r="F116" s="745" t="s">
        <v>3341</v>
      </c>
      <c r="G116" s="755" t="s">
        <v>2379</v>
      </c>
      <c r="H116" s="755" t="s">
        <v>29</v>
      </c>
      <c r="I116" s="755" t="s">
        <v>2380</v>
      </c>
      <c r="J116" s="755">
        <v>43717.0</v>
      </c>
      <c r="K116" s="758" t="s">
        <v>4033</v>
      </c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54"/>
      <c r="AB116" s="754"/>
      <c r="AC116" s="754"/>
      <c r="AD116" s="754"/>
      <c r="AE116" s="754"/>
    </row>
    <row r="117" ht="15.75" customHeight="1">
      <c r="A117" s="759">
        <v>44060.0</v>
      </c>
      <c r="B117" s="760" t="s">
        <v>3073</v>
      </c>
      <c r="C117" s="761" t="s">
        <v>2376</v>
      </c>
      <c r="D117" s="745" t="s">
        <v>5903</v>
      </c>
      <c r="E117" s="757">
        <v>6300.0</v>
      </c>
      <c r="F117" s="745" t="s">
        <v>3072</v>
      </c>
      <c r="G117" s="755" t="s">
        <v>2379</v>
      </c>
      <c r="H117" s="755" t="s">
        <v>29</v>
      </c>
      <c r="I117" s="755" t="s">
        <v>2380</v>
      </c>
      <c r="J117" s="755">
        <v>43564.0</v>
      </c>
      <c r="K117" s="758" t="s">
        <v>3664</v>
      </c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  <c r="X117" s="754"/>
      <c r="Y117" s="754"/>
      <c r="Z117" s="754"/>
      <c r="AA117" s="754"/>
      <c r="AB117" s="754"/>
      <c r="AC117" s="754"/>
      <c r="AD117" s="754"/>
      <c r="AE117" s="754"/>
    </row>
    <row r="118" ht="15.75" customHeight="1">
      <c r="A118" s="755">
        <v>44061.0</v>
      </c>
      <c r="B118" s="756" t="s">
        <v>3198</v>
      </c>
      <c r="C118" s="745" t="s">
        <v>2376</v>
      </c>
      <c r="D118" s="745" t="s">
        <v>5902</v>
      </c>
      <c r="E118" s="757">
        <v>394570.05</v>
      </c>
      <c r="F118" s="745" t="s">
        <v>3197</v>
      </c>
      <c r="G118" s="755" t="s">
        <v>2379</v>
      </c>
      <c r="H118" s="755" t="s">
        <v>29</v>
      </c>
      <c r="I118" s="755" t="s">
        <v>2380</v>
      </c>
      <c r="J118" s="755">
        <v>43700.0</v>
      </c>
      <c r="K118" s="758" t="s">
        <v>4033</v>
      </c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  <c r="X118" s="754"/>
      <c r="Y118" s="754"/>
      <c r="Z118" s="754"/>
      <c r="AA118" s="754"/>
      <c r="AB118" s="754"/>
      <c r="AC118" s="754"/>
      <c r="AD118" s="754"/>
      <c r="AE118" s="754"/>
    </row>
    <row r="119" ht="15.75" customHeight="1">
      <c r="A119" s="759">
        <v>44061.0</v>
      </c>
      <c r="B119" s="760" t="s">
        <v>3251</v>
      </c>
      <c r="C119" s="761" t="s">
        <v>2376</v>
      </c>
      <c r="D119" s="745" t="s">
        <v>5903</v>
      </c>
      <c r="E119" s="757">
        <v>7000.0</v>
      </c>
      <c r="F119" s="745" t="s">
        <v>3250</v>
      </c>
      <c r="G119" s="755" t="s">
        <v>2379</v>
      </c>
      <c r="H119" s="755" t="s">
        <v>29</v>
      </c>
      <c r="I119" s="755" t="s">
        <v>2380</v>
      </c>
      <c r="J119" s="755">
        <v>43840.0</v>
      </c>
      <c r="K119" s="758" t="s">
        <v>3660</v>
      </c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  <c r="X119" s="754"/>
      <c r="Y119" s="754"/>
      <c r="Z119" s="754"/>
      <c r="AA119" s="754"/>
      <c r="AB119" s="754"/>
      <c r="AC119" s="754"/>
      <c r="AD119" s="754"/>
      <c r="AE119" s="754"/>
    </row>
    <row r="120" ht="15.75" customHeight="1">
      <c r="A120" s="755">
        <v>44063.0</v>
      </c>
      <c r="B120" s="756" t="s">
        <v>2706</v>
      </c>
      <c r="C120" s="745" t="s">
        <v>2376</v>
      </c>
      <c r="D120" s="745" t="s">
        <v>5902</v>
      </c>
      <c r="E120" s="757">
        <v>99216.1</v>
      </c>
      <c r="F120" s="745" t="s">
        <v>2705</v>
      </c>
      <c r="G120" s="755" t="s">
        <v>2379</v>
      </c>
      <c r="H120" s="755" t="s">
        <v>29</v>
      </c>
      <c r="I120" s="755" t="s">
        <v>2380</v>
      </c>
      <c r="J120" s="755">
        <v>43675.0</v>
      </c>
      <c r="K120" s="758" t="s">
        <v>4033</v>
      </c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  <c r="X120" s="754"/>
      <c r="Y120" s="754"/>
      <c r="Z120" s="754"/>
      <c r="AA120" s="754"/>
      <c r="AB120" s="754"/>
      <c r="AC120" s="754"/>
      <c r="AD120" s="754"/>
      <c r="AE120" s="754"/>
    </row>
    <row r="121" ht="15.75" customHeight="1">
      <c r="A121" s="759">
        <v>44068.0</v>
      </c>
      <c r="B121" s="760" t="s">
        <v>2870</v>
      </c>
      <c r="C121" s="761" t="s">
        <v>2376</v>
      </c>
      <c r="D121" s="745" t="s">
        <v>5903</v>
      </c>
      <c r="E121" s="757">
        <v>130000.0</v>
      </c>
      <c r="F121" s="745" t="s">
        <v>2869</v>
      </c>
      <c r="G121" s="755" t="s">
        <v>2379</v>
      </c>
      <c r="H121" s="755" t="s">
        <v>29</v>
      </c>
      <c r="I121" s="755" t="s">
        <v>2380</v>
      </c>
      <c r="J121" s="755">
        <v>43605.0</v>
      </c>
      <c r="K121" s="758" t="s">
        <v>3660</v>
      </c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  <c r="X121" s="754"/>
      <c r="Y121" s="754"/>
      <c r="Z121" s="754"/>
      <c r="AA121" s="754"/>
      <c r="AB121" s="754"/>
      <c r="AC121" s="754"/>
      <c r="AD121" s="754"/>
      <c r="AE121" s="754"/>
    </row>
    <row r="122" ht="15.75" customHeight="1">
      <c r="A122" s="759">
        <v>44068.0</v>
      </c>
      <c r="B122" s="763" t="s">
        <v>2885</v>
      </c>
      <c r="C122" s="761" t="s">
        <v>2376</v>
      </c>
      <c r="D122" s="745" t="s">
        <v>5903</v>
      </c>
      <c r="E122" s="757">
        <v>5000.0</v>
      </c>
      <c r="F122" s="745" t="s">
        <v>2884</v>
      </c>
      <c r="G122" s="755" t="s">
        <v>2379</v>
      </c>
      <c r="H122" s="755" t="s">
        <v>29</v>
      </c>
      <c r="I122" s="755" t="s">
        <v>2392</v>
      </c>
      <c r="J122" s="755">
        <v>43559.0</v>
      </c>
      <c r="K122" s="758" t="s">
        <v>4033</v>
      </c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54"/>
      <c r="AB122" s="754"/>
      <c r="AC122" s="754"/>
      <c r="AD122" s="754"/>
      <c r="AE122" s="754"/>
    </row>
    <row r="123" ht="15.75" customHeight="1">
      <c r="A123" s="759">
        <v>44069.0</v>
      </c>
      <c r="B123" s="760" t="s">
        <v>5904</v>
      </c>
      <c r="C123" s="761" t="s">
        <v>3642</v>
      </c>
      <c r="D123" s="745" t="s">
        <v>5903</v>
      </c>
      <c r="E123" s="757">
        <v>1800.0</v>
      </c>
      <c r="F123" s="745" t="s">
        <v>4889</v>
      </c>
      <c r="G123" s="745" t="s">
        <v>2379</v>
      </c>
      <c r="H123" s="745" t="s">
        <v>29</v>
      </c>
      <c r="I123" s="745" t="s">
        <v>2379</v>
      </c>
      <c r="J123" s="755">
        <v>43749.0</v>
      </c>
      <c r="K123" s="762" t="s">
        <v>4033</v>
      </c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  <c r="X123" s="754"/>
      <c r="Y123" s="754"/>
      <c r="Z123" s="754"/>
      <c r="AA123" s="754"/>
      <c r="AB123" s="754"/>
      <c r="AC123" s="754"/>
      <c r="AD123" s="754"/>
      <c r="AE123" s="754"/>
    </row>
    <row r="124" ht="15.75" customHeight="1">
      <c r="A124" s="759">
        <v>44069.0</v>
      </c>
      <c r="B124" s="760" t="s">
        <v>2811</v>
      </c>
      <c r="C124" s="761" t="s">
        <v>2376</v>
      </c>
      <c r="D124" s="745" t="s">
        <v>5903</v>
      </c>
      <c r="E124" s="757">
        <v>20000.0</v>
      </c>
      <c r="F124" s="745" t="s">
        <v>2810</v>
      </c>
      <c r="G124" s="755" t="s">
        <v>2379</v>
      </c>
      <c r="H124" s="755" t="s">
        <v>29</v>
      </c>
      <c r="I124" s="755" t="s">
        <v>2380</v>
      </c>
      <c r="J124" s="755">
        <v>43703.0</v>
      </c>
      <c r="K124" s="758" t="s">
        <v>4033</v>
      </c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  <c r="X124" s="754"/>
      <c r="Y124" s="754"/>
      <c r="Z124" s="754"/>
      <c r="AA124" s="754"/>
      <c r="AB124" s="754"/>
      <c r="AC124" s="754"/>
      <c r="AD124" s="754"/>
      <c r="AE124" s="754"/>
    </row>
    <row r="125" ht="15.75" customHeight="1">
      <c r="A125" s="759">
        <v>44074.0</v>
      </c>
      <c r="B125" s="760" t="s">
        <v>2914</v>
      </c>
      <c r="C125" s="761" t="s">
        <v>2376</v>
      </c>
      <c r="D125" s="745" t="s">
        <v>5903</v>
      </c>
      <c r="E125" s="764">
        <v>150000.0</v>
      </c>
      <c r="F125" s="745" t="s">
        <v>2913</v>
      </c>
      <c r="G125" s="755" t="s">
        <v>2379</v>
      </c>
      <c r="H125" s="755" t="s">
        <v>29</v>
      </c>
      <c r="I125" s="755" t="s">
        <v>2392</v>
      </c>
      <c r="J125" s="755">
        <v>43664.0</v>
      </c>
      <c r="K125" s="758" t="s">
        <v>4033</v>
      </c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  <c r="X125" s="754"/>
      <c r="Y125" s="754"/>
      <c r="Z125" s="754"/>
      <c r="AA125" s="754"/>
      <c r="AB125" s="754"/>
      <c r="AC125" s="754"/>
      <c r="AD125" s="754"/>
      <c r="AE125" s="754"/>
    </row>
    <row r="126" ht="15.75" customHeight="1">
      <c r="A126" s="759">
        <v>44074.0</v>
      </c>
      <c r="B126" s="760" t="s">
        <v>2870</v>
      </c>
      <c r="C126" s="761" t="s">
        <v>2376</v>
      </c>
      <c r="D126" s="745" t="s">
        <v>5903</v>
      </c>
      <c r="E126" s="757">
        <v>20000.0</v>
      </c>
      <c r="F126" s="745" t="s">
        <v>2869</v>
      </c>
      <c r="G126" s="755" t="s">
        <v>2379</v>
      </c>
      <c r="H126" s="755" t="s">
        <v>29</v>
      </c>
      <c r="I126" s="755" t="s">
        <v>2380</v>
      </c>
      <c r="J126" s="755">
        <v>43605.0</v>
      </c>
      <c r="K126" s="758" t="s">
        <v>3660</v>
      </c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  <c r="X126" s="754"/>
      <c r="Y126" s="754"/>
      <c r="Z126" s="754"/>
      <c r="AA126" s="754"/>
      <c r="AB126" s="754"/>
      <c r="AC126" s="754"/>
      <c r="AD126" s="754"/>
      <c r="AE126" s="754"/>
    </row>
    <row r="127" ht="15.75" customHeight="1">
      <c r="A127" s="759">
        <v>44075.0</v>
      </c>
      <c r="B127" s="760" t="s">
        <v>3251</v>
      </c>
      <c r="C127" s="761" t="s">
        <v>2376</v>
      </c>
      <c r="D127" s="745" t="s">
        <v>5903</v>
      </c>
      <c r="E127" s="757">
        <v>194670.06</v>
      </c>
      <c r="F127" s="745" t="s">
        <v>3250</v>
      </c>
      <c r="G127" s="755" t="s">
        <v>2379</v>
      </c>
      <c r="H127" s="755" t="s">
        <v>29</v>
      </c>
      <c r="I127" s="755" t="s">
        <v>2380</v>
      </c>
      <c r="J127" s="755">
        <v>43840.0</v>
      </c>
      <c r="K127" s="758" t="s">
        <v>3660</v>
      </c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  <c r="X127" s="754"/>
      <c r="Y127" s="754"/>
      <c r="Z127" s="754"/>
      <c r="AA127" s="754"/>
      <c r="AB127" s="754"/>
      <c r="AC127" s="754"/>
      <c r="AD127" s="754"/>
      <c r="AE127" s="754"/>
    </row>
    <row r="128" ht="15.75" customHeight="1">
      <c r="A128" s="759">
        <v>44078.0</v>
      </c>
      <c r="B128" s="763" t="s">
        <v>3230</v>
      </c>
      <c r="C128" s="761" t="s">
        <v>2376</v>
      </c>
      <c r="D128" s="745" t="s">
        <v>5903</v>
      </c>
      <c r="E128" s="764">
        <v>5000.0</v>
      </c>
      <c r="F128" s="745" t="s">
        <v>3229</v>
      </c>
      <c r="G128" s="755" t="s">
        <v>2379</v>
      </c>
      <c r="H128" s="755" t="s">
        <v>29</v>
      </c>
      <c r="I128" s="755" t="s">
        <v>2392</v>
      </c>
      <c r="J128" s="755">
        <v>43564.0</v>
      </c>
      <c r="K128" s="758" t="s">
        <v>3647</v>
      </c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  <c r="X128" s="754"/>
      <c r="Y128" s="754"/>
      <c r="Z128" s="754"/>
      <c r="AA128" s="754"/>
      <c r="AB128" s="754"/>
      <c r="AC128" s="754"/>
      <c r="AD128" s="754"/>
      <c r="AE128" s="754"/>
    </row>
    <row r="129" ht="15.75" customHeight="1">
      <c r="A129" s="759">
        <v>44082.0</v>
      </c>
      <c r="B129" s="760" t="s">
        <v>2885</v>
      </c>
      <c r="C129" s="761" t="s">
        <v>2376</v>
      </c>
      <c r="D129" s="745" t="s">
        <v>5903</v>
      </c>
      <c r="E129" s="757">
        <v>14000.0</v>
      </c>
      <c r="F129" s="745" t="s">
        <v>2884</v>
      </c>
      <c r="G129" s="755" t="s">
        <v>2379</v>
      </c>
      <c r="H129" s="755" t="s">
        <v>29</v>
      </c>
      <c r="I129" s="755" t="s">
        <v>2392</v>
      </c>
      <c r="J129" s="755">
        <v>43559.0</v>
      </c>
      <c r="K129" s="758" t="s">
        <v>4033</v>
      </c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  <c r="X129" s="754"/>
      <c r="Y129" s="754"/>
      <c r="Z129" s="754"/>
      <c r="AA129" s="754"/>
      <c r="AB129" s="754"/>
      <c r="AC129" s="754"/>
      <c r="AD129" s="754"/>
      <c r="AE129" s="754"/>
    </row>
    <row r="130" ht="15.75" customHeight="1">
      <c r="A130" s="759">
        <v>44082.0</v>
      </c>
      <c r="B130" s="760" t="s">
        <v>5907</v>
      </c>
      <c r="C130" s="761" t="s">
        <v>3642</v>
      </c>
      <c r="D130" s="745" t="s">
        <v>5903</v>
      </c>
      <c r="E130" s="757">
        <v>20000.0</v>
      </c>
      <c r="F130" s="745" t="s">
        <v>4507</v>
      </c>
      <c r="G130" s="745" t="s">
        <v>2379</v>
      </c>
      <c r="H130" s="745" t="s">
        <v>29</v>
      </c>
      <c r="I130" s="745" t="s">
        <v>2379</v>
      </c>
      <c r="J130" s="755">
        <v>44252.0</v>
      </c>
      <c r="K130" s="762" t="s">
        <v>3660</v>
      </c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  <c r="X130" s="754"/>
      <c r="Y130" s="754"/>
      <c r="Z130" s="754"/>
      <c r="AA130" s="754"/>
      <c r="AB130" s="754"/>
      <c r="AC130" s="754"/>
      <c r="AD130" s="754"/>
      <c r="AE130" s="754"/>
    </row>
    <row r="131" ht="15.75" customHeight="1">
      <c r="A131" s="759">
        <v>44083.0</v>
      </c>
      <c r="B131" s="763" t="s">
        <v>2770</v>
      </c>
      <c r="C131" s="761" t="s">
        <v>2376</v>
      </c>
      <c r="D131" s="745" t="s">
        <v>5903</v>
      </c>
      <c r="E131" s="757">
        <v>85486.0</v>
      </c>
      <c r="F131" s="745" t="s">
        <v>2769</v>
      </c>
      <c r="G131" s="755" t="s">
        <v>2379</v>
      </c>
      <c r="H131" s="755" t="s">
        <v>29</v>
      </c>
      <c r="I131" s="755" t="s">
        <v>2380</v>
      </c>
      <c r="J131" s="755">
        <v>43888.0</v>
      </c>
      <c r="K131" s="758" t="s">
        <v>3651</v>
      </c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  <c r="X131" s="754"/>
      <c r="Y131" s="754"/>
      <c r="Z131" s="754"/>
      <c r="AA131" s="754"/>
      <c r="AB131" s="754"/>
      <c r="AC131" s="754"/>
      <c r="AD131" s="754"/>
      <c r="AE131" s="754"/>
    </row>
    <row r="132" ht="15.75" customHeight="1">
      <c r="A132" s="759">
        <v>44084.0</v>
      </c>
      <c r="B132" s="760" t="s">
        <v>2532</v>
      </c>
      <c r="C132" s="761" t="s">
        <v>2376</v>
      </c>
      <c r="D132" s="745" t="s">
        <v>5903</v>
      </c>
      <c r="E132" s="764">
        <v>3350000.0</v>
      </c>
      <c r="F132" s="745" t="s">
        <v>2531</v>
      </c>
      <c r="G132" s="755" t="s">
        <v>2379</v>
      </c>
      <c r="H132" s="755" t="s">
        <v>29</v>
      </c>
      <c r="I132" s="755" t="s">
        <v>2392</v>
      </c>
      <c r="J132" s="755">
        <v>43903.0</v>
      </c>
      <c r="K132" s="758" t="s">
        <v>3651</v>
      </c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  <c r="X132" s="754"/>
      <c r="Y132" s="754"/>
      <c r="Z132" s="754"/>
      <c r="AA132" s="754"/>
      <c r="AB132" s="754"/>
      <c r="AC132" s="754"/>
      <c r="AD132" s="754"/>
      <c r="AE132" s="754"/>
    </row>
    <row r="133" ht="15.75" customHeight="1">
      <c r="A133" s="755">
        <v>44085.0</v>
      </c>
      <c r="B133" s="765" t="s">
        <v>5916</v>
      </c>
      <c r="C133" s="745" t="s">
        <v>3642</v>
      </c>
      <c r="D133" s="745" t="s">
        <v>5902</v>
      </c>
      <c r="E133" s="757">
        <v>0.0</v>
      </c>
      <c r="F133" s="745" t="s">
        <v>2668</v>
      </c>
      <c r="G133" s="745" t="s">
        <v>2379</v>
      </c>
      <c r="H133" s="745" t="s">
        <v>29</v>
      </c>
      <c r="I133" s="745" t="s">
        <v>2379</v>
      </c>
      <c r="J133" s="755">
        <v>44043.0</v>
      </c>
      <c r="K133" s="762" t="s">
        <v>3651</v>
      </c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  <c r="X133" s="754"/>
      <c r="Y133" s="754"/>
      <c r="Z133" s="754"/>
      <c r="AA133" s="754"/>
      <c r="AB133" s="754"/>
      <c r="AC133" s="754"/>
      <c r="AD133" s="754"/>
      <c r="AE133" s="754"/>
    </row>
    <row r="134" ht="15.75" customHeight="1">
      <c r="A134" s="759">
        <v>44085.0</v>
      </c>
      <c r="B134" s="760" t="s">
        <v>5917</v>
      </c>
      <c r="C134" s="761" t="s">
        <v>3642</v>
      </c>
      <c r="D134" s="745" t="s">
        <v>5903</v>
      </c>
      <c r="E134" s="757">
        <v>277581.55</v>
      </c>
      <c r="F134" s="745" t="s">
        <v>4700</v>
      </c>
      <c r="G134" s="745" t="s">
        <v>2379</v>
      </c>
      <c r="H134" s="745" t="s">
        <v>29</v>
      </c>
      <c r="I134" s="745" t="s">
        <v>2379</v>
      </c>
      <c r="J134" s="755">
        <v>44068.0</v>
      </c>
      <c r="K134" s="762" t="s">
        <v>3651</v>
      </c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54"/>
      <c r="AB134" s="754"/>
      <c r="AC134" s="754"/>
      <c r="AD134" s="754"/>
      <c r="AE134" s="754"/>
    </row>
    <row r="135" ht="15.75" customHeight="1">
      <c r="A135" s="759">
        <v>44085.0</v>
      </c>
      <c r="B135" s="760" t="s">
        <v>5916</v>
      </c>
      <c r="C135" s="761" t="s">
        <v>3642</v>
      </c>
      <c r="D135" s="745" t="s">
        <v>2387</v>
      </c>
      <c r="E135" s="757">
        <v>110000.0</v>
      </c>
      <c r="F135" s="745" t="s">
        <v>2668</v>
      </c>
      <c r="G135" s="745" t="s">
        <v>2379</v>
      </c>
      <c r="H135" s="745" t="s">
        <v>29</v>
      </c>
      <c r="I135" s="745" t="s">
        <v>2379</v>
      </c>
      <c r="J135" s="755">
        <v>44043.0</v>
      </c>
      <c r="K135" s="762" t="s">
        <v>3651</v>
      </c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  <c r="X135" s="754"/>
      <c r="Y135" s="754"/>
      <c r="Z135" s="754"/>
      <c r="AA135" s="754"/>
      <c r="AB135" s="754"/>
      <c r="AC135" s="754"/>
      <c r="AD135" s="754"/>
      <c r="AE135" s="754"/>
    </row>
    <row r="136" ht="15.75" customHeight="1">
      <c r="A136" s="755">
        <v>44086.0</v>
      </c>
      <c r="B136" s="756" t="s">
        <v>2669</v>
      </c>
      <c r="C136" s="745" t="s">
        <v>2376</v>
      </c>
      <c r="D136" s="745" t="s">
        <v>5902</v>
      </c>
      <c r="E136" s="757">
        <v>0.0</v>
      </c>
      <c r="F136" s="745" t="s">
        <v>2668</v>
      </c>
      <c r="G136" s="755" t="s">
        <v>2379</v>
      </c>
      <c r="H136" s="755" t="s">
        <v>29</v>
      </c>
      <c r="I136" s="755" t="s">
        <v>2392</v>
      </c>
      <c r="J136" s="755">
        <v>43913.0</v>
      </c>
      <c r="K136" s="758" t="s">
        <v>3651</v>
      </c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  <c r="X136" s="754"/>
      <c r="Y136" s="754"/>
      <c r="Z136" s="754"/>
      <c r="AA136" s="754"/>
      <c r="AB136" s="754"/>
      <c r="AC136" s="754"/>
      <c r="AD136" s="754"/>
      <c r="AE136" s="754"/>
    </row>
    <row r="137" ht="15.75" customHeight="1">
      <c r="A137" s="759">
        <v>44088.0</v>
      </c>
      <c r="B137" s="763" t="s">
        <v>5907</v>
      </c>
      <c r="C137" s="761" t="s">
        <v>3642</v>
      </c>
      <c r="D137" s="745" t="s">
        <v>5903</v>
      </c>
      <c r="E137" s="757">
        <v>27000.0</v>
      </c>
      <c r="F137" s="745" t="s">
        <v>4507</v>
      </c>
      <c r="G137" s="745" t="s">
        <v>2379</v>
      </c>
      <c r="H137" s="745" t="s">
        <v>29</v>
      </c>
      <c r="I137" s="745" t="s">
        <v>2379</v>
      </c>
      <c r="J137" s="755">
        <v>44252.0</v>
      </c>
      <c r="K137" s="762" t="s">
        <v>3660</v>
      </c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  <c r="X137" s="754"/>
      <c r="Y137" s="754"/>
      <c r="Z137" s="754"/>
      <c r="AA137" s="754"/>
      <c r="AB137" s="754"/>
      <c r="AC137" s="754"/>
      <c r="AD137" s="754"/>
      <c r="AE137" s="754"/>
    </row>
    <row r="138" ht="15.75" customHeight="1">
      <c r="A138" s="759">
        <v>44088.0</v>
      </c>
      <c r="B138" s="760" t="s">
        <v>3416</v>
      </c>
      <c r="C138" s="761" t="s">
        <v>2376</v>
      </c>
      <c r="D138" s="745" t="s">
        <v>5903</v>
      </c>
      <c r="E138" s="757">
        <v>50000.0</v>
      </c>
      <c r="F138" s="745" t="s">
        <v>3415</v>
      </c>
      <c r="G138" s="755" t="s">
        <v>2379</v>
      </c>
      <c r="H138" s="755" t="s">
        <v>29</v>
      </c>
      <c r="I138" s="755" t="s">
        <v>2380</v>
      </c>
      <c r="J138" s="755">
        <v>43567.0</v>
      </c>
      <c r="K138" s="758" t="s">
        <v>3651</v>
      </c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  <c r="X138" s="754"/>
      <c r="Y138" s="754"/>
      <c r="Z138" s="754"/>
      <c r="AA138" s="754"/>
      <c r="AB138" s="754"/>
      <c r="AC138" s="754"/>
      <c r="AD138" s="754"/>
      <c r="AE138" s="754"/>
    </row>
    <row r="139" ht="15.75" customHeight="1">
      <c r="A139" s="759">
        <v>44089.0</v>
      </c>
      <c r="B139" s="760" t="s">
        <v>3159</v>
      </c>
      <c r="C139" s="761" t="s">
        <v>2376</v>
      </c>
      <c r="D139" s="745" t="s">
        <v>5903</v>
      </c>
      <c r="E139" s="757">
        <v>7000.0</v>
      </c>
      <c r="F139" s="745" t="s">
        <v>3158</v>
      </c>
      <c r="G139" s="755" t="s">
        <v>2379</v>
      </c>
      <c r="H139" s="755" t="s">
        <v>29</v>
      </c>
      <c r="I139" s="755" t="s">
        <v>2380</v>
      </c>
      <c r="J139" s="755">
        <v>43699.0</v>
      </c>
      <c r="K139" s="758" t="s">
        <v>4033</v>
      </c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54"/>
      <c r="AB139" s="754"/>
      <c r="AC139" s="754"/>
      <c r="AD139" s="754"/>
      <c r="AE139" s="754"/>
    </row>
    <row r="140" ht="15.75" customHeight="1">
      <c r="A140" s="759">
        <v>44089.0</v>
      </c>
      <c r="B140" s="760" t="s">
        <v>3073</v>
      </c>
      <c r="C140" s="761" t="s">
        <v>2376</v>
      </c>
      <c r="D140" s="745" t="s">
        <v>5903</v>
      </c>
      <c r="E140" s="757">
        <v>14000.0</v>
      </c>
      <c r="F140" s="745" t="s">
        <v>3072</v>
      </c>
      <c r="G140" s="755" t="s">
        <v>2379</v>
      </c>
      <c r="H140" s="755" t="s">
        <v>29</v>
      </c>
      <c r="I140" s="755" t="s">
        <v>2380</v>
      </c>
      <c r="J140" s="755">
        <v>43564.0</v>
      </c>
      <c r="K140" s="758" t="s">
        <v>3664</v>
      </c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54"/>
      <c r="AB140" s="754"/>
      <c r="AC140" s="754"/>
      <c r="AD140" s="754"/>
      <c r="AE140" s="754"/>
    </row>
    <row r="141" ht="15.75" customHeight="1">
      <c r="A141" s="759">
        <v>44089.0</v>
      </c>
      <c r="B141" s="763" t="s">
        <v>3322</v>
      </c>
      <c r="C141" s="761" t="s">
        <v>2376</v>
      </c>
      <c r="D141" s="745" t="s">
        <v>5903</v>
      </c>
      <c r="E141" s="757">
        <v>50000.0</v>
      </c>
      <c r="F141" s="745" t="s">
        <v>3321</v>
      </c>
      <c r="G141" s="755" t="s">
        <v>2379</v>
      </c>
      <c r="H141" s="755" t="s">
        <v>29</v>
      </c>
      <c r="I141" s="755" t="s">
        <v>2380</v>
      </c>
      <c r="J141" s="755">
        <v>44041.0</v>
      </c>
      <c r="K141" s="758" t="s">
        <v>3651</v>
      </c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  <c r="X141" s="754"/>
      <c r="Y141" s="754"/>
      <c r="Z141" s="754"/>
      <c r="AA141" s="754"/>
      <c r="AB141" s="754"/>
      <c r="AC141" s="754"/>
      <c r="AD141" s="754"/>
      <c r="AE141" s="754"/>
    </row>
    <row r="142" ht="15.75" customHeight="1">
      <c r="A142" s="755">
        <v>44091.0</v>
      </c>
      <c r="B142" s="756" t="s">
        <v>5918</v>
      </c>
      <c r="C142" s="745" t="s">
        <v>3642</v>
      </c>
      <c r="D142" s="745" t="s">
        <v>5902</v>
      </c>
      <c r="E142" s="757">
        <v>0.0</v>
      </c>
      <c r="F142" s="745" t="s">
        <v>4261</v>
      </c>
      <c r="G142" s="745" t="s">
        <v>2379</v>
      </c>
      <c r="H142" s="745" t="s">
        <v>29</v>
      </c>
      <c r="I142" s="745" t="s">
        <v>2379</v>
      </c>
      <c r="J142" s="755">
        <v>43696.0</v>
      </c>
      <c r="K142" s="762" t="s">
        <v>3651</v>
      </c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  <c r="X142" s="754"/>
      <c r="Y142" s="754"/>
      <c r="Z142" s="754"/>
      <c r="AA142" s="754"/>
      <c r="AB142" s="754"/>
      <c r="AC142" s="754"/>
      <c r="AD142" s="754"/>
      <c r="AE142" s="754"/>
    </row>
    <row r="143" ht="15.75" customHeight="1">
      <c r="A143" s="759">
        <v>44091.0</v>
      </c>
      <c r="B143" s="760" t="s">
        <v>5918</v>
      </c>
      <c r="C143" s="761" t="s">
        <v>3642</v>
      </c>
      <c r="D143" s="745" t="s">
        <v>2387</v>
      </c>
      <c r="E143" s="757">
        <v>6400.0</v>
      </c>
      <c r="F143" s="745" t="s">
        <v>4261</v>
      </c>
      <c r="G143" s="745" t="s">
        <v>2379</v>
      </c>
      <c r="H143" s="745" t="s">
        <v>29</v>
      </c>
      <c r="I143" s="745" t="s">
        <v>2379</v>
      </c>
      <c r="J143" s="755">
        <v>43696.0</v>
      </c>
      <c r="K143" s="762" t="s">
        <v>3651</v>
      </c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  <c r="X143" s="754"/>
      <c r="Y143" s="754"/>
      <c r="Z143" s="754"/>
      <c r="AA143" s="754"/>
      <c r="AB143" s="754"/>
      <c r="AC143" s="754"/>
      <c r="AD143" s="754"/>
      <c r="AE143" s="754"/>
    </row>
    <row r="144" ht="15.75" customHeight="1">
      <c r="A144" s="759">
        <v>44096.0</v>
      </c>
      <c r="B144" s="763" t="s">
        <v>5917</v>
      </c>
      <c r="C144" s="761" t="s">
        <v>3642</v>
      </c>
      <c r="D144" s="745" t="s">
        <v>5903</v>
      </c>
      <c r="E144" s="757">
        <v>0.0</v>
      </c>
      <c r="F144" s="745" t="s">
        <v>4700</v>
      </c>
      <c r="G144" s="745" t="s">
        <v>2379</v>
      </c>
      <c r="H144" s="745" t="s">
        <v>29</v>
      </c>
      <c r="I144" s="745" t="s">
        <v>2379</v>
      </c>
      <c r="J144" s="755">
        <v>44068.0</v>
      </c>
      <c r="K144" s="762" t="s">
        <v>3651</v>
      </c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  <c r="X144" s="754"/>
      <c r="Y144" s="754"/>
      <c r="Z144" s="754"/>
      <c r="AA144" s="754"/>
      <c r="AB144" s="754"/>
      <c r="AC144" s="754"/>
      <c r="AD144" s="754"/>
      <c r="AE144" s="754"/>
    </row>
    <row r="145" ht="15.75" customHeight="1">
      <c r="A145" s="759">
        <v>44096.0</v>
      </c>
      <c r="B145" s="760" t="s">
        <v>2931</v>
      </c>
      <c r="C145" s="761" t="s">
        <v>2376</v>
      </c>
      <c r="D145" s="745" t="s">
        <v>5903</v>
      </c>
      <c r="E145" s="757">
        <v>27000.0</v>
      </c>
      <c r="F145" s="745" t="s">
        <v>2930</v>
      </c>
      <c r="G145" s="755" t="s">
        <v>2379</v>
      </c>
      <c r="H145" s="755" t="s">
        <v>29</v>
      </c>
      <c r="I145" s="755" t="s">
        <v>2380</v>
      </c>
      <c r="J145" s="755">
        <v>43711.0</v>
      </c>
      <c r="K145" s="758" t="s">
        <v>4033</v>
      </c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54"/>
      <c r="AB145" s="754"/>
      <c r="AC145" s="754"/>
      <c r="AD145" s="754"/>
      <c r="AE145" s="754"/>
    </row>
    <row r="146" ht="15.75" customHeight="1">
      <c r="A146" s="759">
        <v>44097.0</v>
      </c>
      <c r="B146" s="760" t="s">
        <v>5919</v>
      </c>
      <c r="C146" s="761" t="s">
        <v>3642</v>
      </c>
      <c r="D146" s="745" t="s">
        <v>5903</v>
      </c>
      <c r="E146" s="757">
        <v>9000.0</v>
      </c>
      <c r="F146" s="745" t="s">
        <v>4851</v>
      </c>
      <c r="G146" s="745" t="s">
        <v>2379</v>
      </c>
      <c r="H146" s="745" t="s">
        <v>29</v>
      </c>
      <c r="I146" s="745" t="s">
        <v>2379</v>
      </c>
      <c r="J146" s="755">
        <v>44043.0</v>
      </c>
      <c r="K146" s="762" t="s">
        <v>3651</v>
      </c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  <c r="X146" s="754"/>
      <c r="Y146" s="754"/>
      <c r="Z146" s="754"/>
      <c r="AA146" s="754"/>
      <c r="AB146" s="754"/>
      <c r="AC146" s="754"/>
      <c r="AD146" s="754"/>
      <c r="AE146" s="754"/>
    </row>
    <row r="147" ht="15.75" customHeight="1">
      <c r="A147" s="759">
        <v>44099.0</v>
      </c>
      <c r="B147" s="763" t="s">
        <v>2885</v>
      </c>
      <c r="C147" s="761" t="s">
        <v>2376</v>
      </c>
      <c r="D147" s="745" t="s">
        <v>5903</v>
      </c>
      <c r="E147" s="757">
        <v>20000.0</v>
      </c>
      <c r="F147" s="745" t="s">
        <v>2884</v>
      </c>
      <c r="G147" s="755" t="s">
        <v>2379</v>
      </c>
      <c r="H147" s="755" t="s">
        <v>29</v>
      </c>
      <c r="I147" s="755" t="s">
        <v>2392</v>
      </c>
      <c r="J147" s="755">
        <v>43559.0</v>
      </c>
      <c r="K147" s="758" t="s">
        <v>4033</v>
      </c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  <c r="X147" s="754"/>
      <c r="Y147" s="754"/>
      <c r="Z147" s="754"/>
      <c r="AA147" s="754"/>
      <c r="AB147" s="754"/>
      <c r="AC147" s="754"/>
      <c r="AD147" s="754"/>
      <c r="AE147" s="754"/>
    </row>
    <row r="148" ht="15.75" customHeight="1">
      <c r="A148" s="759">
        <v>44099.0</v>
      </c>
      <c r="B148" s="760" t="s">
        <v>2870</v>
      </c>
      <c r="C148" s="761" t="s">
        <v>2376</v>
      </c>
      <c r="D148" s="745" t="s">
        <v>5903</v>
      </c>
      <c r="E148" s="757">
        <v>25000.0</v>
      </c>
      <c r="F148" s="745" t="s">
        <v>2869</v>
      </c>
      <c r="G148" s="755" t="s">
        <v>2379</v>
      </c>
      <c r="H148" s="755" t="s">
        <v>29</v>
      </c>
      <c r="I148" s="755" t="s">
        <v>2380</v>
      </c>
      <c r="J148" s="755">
        <v>43605.0</v>
      </c>
      <c r="K148" s="758" t="s">
        <v>3660</v>
      </c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  <c r="Z148" s="754"/>
      <c r="AA148" s="754"/>
      <c r="AB148" s="754"/>
      <c r="AC148" s="754"/>
      <c r="AD148" s="754"/>
      <c r="AE148" s="754"/>
    </row>
    <row r="149" ht="15.75" customHeight="1">
      <c r="A149" s="759">
        <v>44102.0</v>
      </c>
      <c r="B149" s="763" t="s">
        <v>5904</v>
      </c>
      <c r="C149" s="761" t="s">
        <v>3642</v>
      </c>
      <c r="D149" s="745" t="s">
        <v>5903</v>
      </c>
      <c r="E149" s="757">
        <v>10000.0</v>
      </c>
      <c r="F149" s="745" t="s">
        <v>4889</v>
      </c>
      <c r="G149" s="745" t="s">
        <v>2379</v>
      </c>
      <c r="H149" s="745" t="s">
        <v>29</v>
      </c>
      <c r="I149" s="745" t="s">
        <v>2379</v>
      </c>
      <c r="J149" s="755">
        <v>43749.0</v>
      </c>
      <c r="K149" s="762" t="s">
        <v>4033</v>
      </c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  <c r="X149" s="754"/>
      <c r="Y149" s="754"/>
      <c r="Z149" s="754"/>
      <c r="AA149" s="754"/>
      <c r="AB149" s="754"/>
      <c r="AC149" s="754"/>
      <c r="AD149" s="754"/>
      <c r="AE149" s="754"/>
    </row>
    <row r="150" ht="15.75" customHeight="1">
      <c r="A150" s="759">
        <v>44103.0</v>
      </c>
      <c r="B150" s="760" t="s">
        <v>2914</v>
      </c>
      <c r="C150" s="761" t="s">
        <v>2376</v>
      </c>
      <c r="D150" s="745" t="s">
        <v>5903</v>
      </c>
      <c r="E150" s="757">
        <v>10000.0</v>
      </c>
      <c r="F150" s="745" t="s">
        <v>2913</v>
      </c>
      <c r="G150" s="755" t="s">
        <v>2379</v>
      </c>
      <c r="H150" s="755" t="s">
        <v>29</v>
      </c>
      <c r="I150" s="755" t="s">
        <v>2392</v>
      </c>
      <c r="J150" s="755">
        <v>43664.0</v>
      </c>
      <c r="K150" s="758" t="s">
        <v>4033</v>
      </c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54"/>
      <c r="AB150" s="754"/>
      <c r="AC150" s="754"/>
      <c r="AD150" s="754"/>
      <c r="AE150" s="754"/>
    </row>
    <row r="151" ht="15.75" customHeight="1">
      <c r="A151" s="759">
        <v>44103.0</v>
      </c>
      <c r="B151" s="763" t="s">
        <v>3527</v>
      </c>
      <c r="C151" s="761" t="s">
        <v>3458</v>
      </c>
      <c r="D151" s="745" t="s">
        <v>2387</v>
      </c>
      <c r="E151" s="757">
        <v>7000.0</v>
      </c>
      <c r="F151" s="745" t="s">
        <v>5920</v>
      </c>
      <c r="G151" s="755" t="s">
        <v>18</v>
      </c>
      <c r="H151" s="755" t="s">
        <v>29</v>
      </c>
      <c r="I151" s="755" t="s">
        <v>3528</v>
      </c>
      <c r="J151" s="755">
        <v>43742.0</v>
      </c>
      <c r="K151" s="758" t="s">
        <v>4033</v>
      </c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  <c r="X151" s="754"/>
      <c r="Y151" s="754"/>
      <c r="Z151" s="754"/>
      <c r="AA151" s="754"/>
      <c r="AB151" s="754"/>
      <c r="AC151" s="754"/>
      <c r="AD151" s="754"/>
      <c r="AE151" s="754"/>
    </row>
    <row r="152" ht="15.75" customHeight="1">
      <c r="A152" s="759">
        <v>44103.0</v>
      </c>
      <c r="B152" s="760" t="s">
        <v>2567</v>
      </c>
      <c r="C152" s="761" t="s">
        <v>2376</v>
      </c>
      <c r="D152" s="745" t="s">
        <v>5903</v>
      </c>
      <c r="E152" s="757">
        <v>10000.0</v>
      </c>
      <c r="F152" s="745" t="s">
        <v>2566</v>
      </c>
      <c r="G152" s="755" t="s">
        <v>2379</v>
      </c>
      <c r="H152" s="755" t="s">
        <v>29</v>
      </c>
      <c r="I152" s="755" t="s">
        <v>2380</v>
      </c>
      <c r="J152" s="755">
        <v>43707.0</v>
      </c>
      <c r="K152" s="758" t="s">
        <v>3664</v>
      </c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  <c r="X152" s="754"/>
      <c r="Y152" s="754"/>
      <c r="Z152" s="754"/>
      <c r="AA152" s="754"/>
      <c r="AB152" s="754"/>
      <c r="AC152" s="754"/>
      <c r="AD152" s="754"/>
      <c r="AE152" s="754"/>
    </row>
    <row r="153" ht="15.75" customHeight="1">
      <c r="A153" s="759">
        <v>44103.0</v>
      </c>
      <c r="B153" s="760" t="s">
        <v>5921</v>
      </c>
      <c r="C153" s="761" t="s">
        <v>3642</v>
      </c>
      <c r="D153" s="745" t="s">
        <v>5903</v>
      </c>
      <c r="E153" s="757">
        <v>4000.0</v>
      </c>
      <c r="F153" s="745" t="s">
        <v>4318</v>
      </c>
      <c r="G153" s="745" t="s">
        <v>2379</v>
      </c>
      <c r="H153" s="745" t="s">
        <v>29</v>
      </c>
      <c r="I153" s="745" t="s">
        <v>2379</v>
      </c>
      <c r="J153" s="755">
        <v>43901.0</v>
      </c>
      <c r="K153" s="762" t="s">
        <v>3647</v>
      </c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  <c r="Z153" s="754"/>
      <c r="AA153" s="754"/>
      <c r="AB153" s="754"/>
      <c r="AC153" s="754"/>
      <c r="AD153" s="754"/>
      <c r="AE153" s="754"/>
    </row>
    <row r="154" ht="15.75" customHeight="1">
      <c r="A154" s="759">
        <v>44103.0</v>
      </c>
      <c r="B154" s="760" t="s">
        <v>2811</v>
      </c>
      <c r="C154" s="761" t="s">
        <v>2376</v>
      </c>
      <c r="D154" s="745" t="s">
        <v>5903</v>
      </c>
      <c r="E154" s="757">
        <v>6000.0</v>
      </c>
      <c r="F154" s="745" t="s">
        <v>2810</v>
      </c>
      <c r="G154" s="755" t="s">
        <v>2379</v>
      </c>
      <c r="H154" s="755" t="s">
        <v>29</v>
      </c>
      <c r="I154" s="755" t="s">
        <v>2380</v>
      </c>
      <c r="J154" s="755">
        <v>43703.0</v>
      </c>
      <c r="K154" s="758" t="s">
        <v>4033</v>
      </c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  <c r="Z154" s="754"/>
      <c r="AA154" s="754"/>
      <c r="AB154" s="754"/>
      <c r="AC154" s="754"/>
      <c r="AD154" s="754"/>
      <c r="AE154" s="754"/>
    </row>
    <row r="155" ht="15.75" customHeight="1">
      <c r="A155" s="759">
        <v>44103.0</v>
      </c>
      <c r="B155" s="763" t="s">
        <v>3272</v>
      </c>
      <c r="C155" s="761" t="s">
        <v>2376</v>
      </c>
      <c r="D155" s="745" t="s">
        <v>5903</v>
      </c>
      <c r="E155" s="757">
        <v>1500.0</v>
      </c>
      <c r="F155" s="745" t="s">
        <v>3271</v>
      </c>
      <c r="G155" s="755" t="s">
        <v>2379</v>
      </c>
      <c r="H155" s="755" t="s">
        <v>29</v>
      </c>
      <c r="I155" s="755" t="s">
        <v>2380</v>
      </c>
      <c r="J155" s="755">
        <v>43675.0</v>
      </c>
      <c r="K155" s="758" t="s">
        <v>4033</v>
      </c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54"/>
      <c r="AB155" s="754"/>
      <c r="AC155" s="754"/>
      <c r="AD155" s="754"/>
      <c r="AE155" s="754"/>
    </row>
    <row r="156" ht="15.75" customHeight="1">
      <c r="A156" s="755">
        <v>44105.0</v>
      </c>
      <c r="B156" s="756" t="s">
        <v>3159</v>
      </c>
      <c r="C156" s="745" t="s">
        <v>2376</v>
      </c>
      <c r="D156" s="745" t="s">
        <v>5902</v>
      </c>
      <c r="E156" s="757">
        <v>17805.25</v>
      </c>
      <c r="F156" s="745" t="s">
        <v>3158</v>
      </c>
      <c r="G156" s="755" t="s">
        <v>2379</v>
      </c>
      <c r="H156" s="755" t="s">
        <v>29</v>
      </c>
      <c r="I156" s="755" t="s">
        <v>2380</v>
      </c>
      <c r="J156" s="755">
        <v>43699.0</v>
      </c>
      <c r="K156" s="758" t="s">
        <v>4033</v>
      </c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54"/>
      <c r="AB156" s="754"/>
      <c r="AC156" s="754"/>
      <c r="AD156" s="754"/>
      <c r="AE156" s="754"/>
    </row>
    <row r="157" ht="15.75" customHeight="1">
      <c r="A157" s="755">
        <v>44105.0</v>
      </c>
      <c r="B157" s="765" t="s">
        <v>5912</v>
      </c>
      <c r="C157" s="745" t="s">
        <v>3642</v>
      </c>
      <c r="D157" s="745" t="s">
        <v>5902</v>
      </c>
      <c r="E157" s="757">
        <v>0.0</v>
      </c>
      <c r="F157" s="745" t="s">
        <v>2992</v>
      </c>
      <c r="G157" s="745" t="s">
        <v>2379</v>
      </c>
      <c r="H157" s="745" t="s">
        <v>29</v>
      </c>
      <c r="I157" s="745" t="s">
        <v>2379</v>
      </c>
      <c r="J157" s="755">
        <v>43700.0</v>
      </c>
      <c r="K157" s="762" t="s">
        <v>3651</v>
      </c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  <c r="X157" s="754"/>
      <c r="Y157" s="754"/>
      <c r="Z157" s="754"/>
      <c r="AA157" s="754"/>
      <c r="AB157" s="754"/>
      <c r="AC157" s="754"/>
      <c r="AD157" s="754"/>
      <c r="AE157" s="754"/>
    </row>
    <row r="158" ht="15.75" customHeight="1">
      <c r="A158" s="755">
        <v>44105.0</v>
      </c>
      <c r="B158" s="756" t="s">
        <v>5922</v>
      </c>
      <c r="C158" s="745" t="s">
        <v>3642</v>
      </c>
      <c r="D158" s="745" t="s">
        <v>5902</v>
      </c>
      <c r="E158" s="757">
        <v>0.0</v>
      </c>
      <c r="F158" s="745" t="s">
        <v>5026</v>
      </c>
      <c r="G158" s="745" t="s">
        <v>18</v>
      </c>
      <c r="H158" s="745" t="s">
        <v>29</v>
      </c>
      <c r="I158" s="745" t="s">
        <v>5027</v>
      </c>
      <c r="J158" s="755">
        <v>43777.0</v>
      </c>
      <c r="K158" s="762" t="s">
        <v>4452</v>
      </c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  <c r="Z158" s="754"/>
      <c r="AA158" s="754"/>
      <c r="AB158" s="754"/>
      <c r="AC158" s="754"/>
      <c r="AD158" s="754"/>
      <c r="AE158" s="754"/>
    </row>
    <row r="159" ht="15.75" customHeight="1">
      <c r="A159" s="759">
        <v>44105.0</v>
      </c>
      <c r="B159" s="760" t="s">
        <v>3251</v>
      </c>
      <c r="C159" s="761" t="s">
        <v>2376</v>
      </c>
      <c r="D159" s="745" t="s">
        <v>5903</v>
      </c>
      <c r="E159" s="757">
        <v>20000.0</v>
      </c>
      <c r="F159" s="745" t="s">
        <v>3250</v>
      </c>
      <c r="G159" s="755" t="s">
        <v>2379</v>
      </c>
      <c r="H159" s="755" t="s">
        <v>29</v>
      </c>
      <c r="I159" s="755" t="s">
        <v>2380</v>
      </c>
      <c r="J159" s="755">
        <v>43840.0</v>
      </c>
      <c r="K159" s="758" t="s">
        <v>3660</v>
      </c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  <c r="X159" s="754"/>
      <c r="Y159" s="754"/>
      <c r="Z159" s="754"/>
      <c r="AA159" s="754"/>
      <c r="AB159" s="754"/>
      <c r="AC159" s="754"/>
      <c r="AD159" s="754"/>
      <c r="AE159" s="754"/>
    </row>
    <row r="160" ht="15.75" customHeight="1">
      <c r="A160" s="755">
        <v>44109.0</v>
      </c>
      <c r="B160" s="765" t="s">
        <v>3177</v>
      </c>
      <c r="C160" s="745" t="s">
        <v>2376</v>
      </c>
      <c r="D160" s="745" t="s">
        <v>5902</v>
      </c>
      <c r="E160" s="757">
        <v>379116.63</v>
      </c>
      <c r="F160" s="745" t="s">
        <v>3176</v>
      </c>
      <c r="G160" s="755" t="s">
        <v>2489</v>
      </c>
      <c r="H160" s="755" t="s">
        <v>29</v>
      </c>
      <c r="I160" s="755" t="s">
        <v>2489</v>
      </c>
      <c r="J160" s="755">
        <v>43426.0</v>
      </c>
      <c r="K160" s="758" t="s">
        <v>3664</v>
      </c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54"/>
      <c r="AB160" s="754"/>
      <c r="AC160" s="754"/>
      <c r="AD160" s="754"/>
      <c r="AE160" s="754"/>
    </row>
    <row r="161" ht="15.75" customHeight="1">
      <c r="A161" s="759">
        <v>44109.0</v>
      </c>
      <c r="B161" s="760" t="s">
        <v>5917</v>
      </c>
      <c r="C161" s="761" t="s">
        <v>3642</v>
      </c>
      <c r="D161" s="745" t="s">
        <v>5903</v>
      </c>
      <c r="E161" s="757">
        <v>10000.0</v>
      </c>
      <c r="F161" s="745" t="s">
        <v>4700</v>
      </c>
      <c r="G161" s="745" t="s">
        <v>2379</v>
      </c>
      <c r="H161" s="745" t="s">
        <v>29</v>
      </c>
      <c r="I161" s="745" t="s">
        <v>2379</v>
      </c>
      <c r="J161" s="755">
        <v>44068.0</v>
      </c>
      <c r="K161" s="762" t="s">
        <v>3651</v>
      </c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  <c r="X161" s="754"/>
      <c r="Y161" s="754"/>
      <c r="Z161" s="754"/>
      <c r="AA161" s="754"/>
      <c r="AB161" s="754"/>
      <c r="AC161" s="754"/>
      <c r="AD161" s="754"/>
      <c r="AE161" s="754"/>
    </row>
    <row r="162" ht="15.75" customHeight="1">
      <c r="A162" s="759">
        <v>44109.0</v>
      </c>
      <c r="B162" s="760" t="s">
        <v>2870</v>
      </c>
      <c r="C162" s="761" t="s">
        <v>2376</v>
      </c>
      <c r="D162" s="745" t="s">
        <v>5903</v>
      </c>
      <c r="E162" s="757">
        <v>10000.0</v>
      </c>
      <c r="F162" s="745" t="s">
        <v>2869</v>
      </c>
      <c r="G162" s="755" t="s">
        <v>2379</v>
      </c>
      <c r="H162" s="755" t="s">
        <v>29</v>
      </c>
      <c r="I162" s="755" t="s">
        <v>2380</v>
      </c>
      <c r="J162" s="755">
        <v>43605.0</v>
      </c>
      <c r="K162" s="758" t="s">
        <v>3660</v>
      </c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  <c r="X162" s="754"/>
      <c r="Y162" s="754"/>
      <c r="Z162" s="754"/>
      <c r="AA162" s="754"/>
      <c r="AB162" s="754"/>
      <c r="AC162" s="754"/>
      <c r="AD162" s="754"/>
      <c r="AE162" s="754"/>
    </row>
    <row r="163" ht="15.75" customHeight="1">
      <c r="A163" s="759">
        <v>44109.0</v>
      </c>
      <c r="B163" s="760" t="s">
        <v>3073</v>
      </c>
      <c r="C163" s="761" t="s">
        <v>2376</v>
      </c>
      <c r="D163" s="745" t="s">
        <v>5903</v>
      </c>
      <c r="E163" s="757">
        <v>14000.0</v>
      </c>
      <c r="F163" s="745" t="s">
        <v>3072</v>
      </c>
      <c r="G163" s="755" t="s">
        <v>2379</v>
      </c>
      <c r="H163" s="755" t="s">
        <v>29</v>
      </c>
      <c r="I163" s="755" t="s">
        <v>2380</v>
      </c>
      <c r="J163" s="755">
        <v>43564.0</v>
      </c>
      <c r="K163" s="758" t="s">
        <v>3664</v>
      </c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  <c r="X163" s="754"/>
      <c r="Y163" s="754"/>
      <c r="Z163" s="754"/>
      <c r="AA163" s="754"/>
      <c r="AB163" s="754"/>
      <c r="AC163" s="754"/>
      <c r="AD163" s="754"/>
      <c r="AE163" s="754"/>
    </row>
    <row r="164" ht="15.75" customHeight="1">
      <c r="A164" s="759">
        <v>44119.0</v>
      </c>
      <c r="B164" s="760" t="s">
        <v>3342</v>
      </c>
      <c r="C164" s="761" t="s">
        <v>2376</v>
      </c>
      <c r="D164" s="745" t="s">
        <v>5903</v>
      </c>
      <c r="E164" s="757">
        <v>7000.0</v>
      </c>
      <c r="F164" s="745" t="s">
        <v>3341</v>
      </c>
      <c r="G164" s="755" t="s">
        <v>2379</v>
      </c>
      <c r="H164" s="755" t="s">
        <v>29</v>
      </c>
      <c r="I164" s="755" t="s">
        <v>2380</v>
      </c>
      <c r="J164" s="755">
        <v>43717.0</v>
      </c>
      <c r="K164" s="758" t="s">
        <v>4033</v>
      </c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  <c r="X164" s="754"/>
      <c r="Y164" s="754"/>
      <c r="Z164" s="754"/>
      <c r="AA164" s="754"/>
      <c r="AB164" s="754"/>
      <c r="AC164" s="754"/>
      <c r="AD164" s="754"/>
      <c r="AE164" s="754"/>
    </row>
    <row r="165" ht="15.75" customHeight="1">
      <c r="A165" s="759">
        <v>44120.0</v>
      </c>
      <c r="B165" s="763" t="s">
        <v>5917</v>
      </c>
      <c r="C165" s="761" t="s">
        <v>3642</v>
      </c>
      <c r="D165" s="745" t="s">
        <v>5903</v>
      </c>
      <c r="E165" s="757">
        <v>8000.0</v>
      </c>
      <c r="F165" s="745" t="s">
        <v>4700</v>
      </c>
      <c r="G165" s="745" t="s">
        <v>2379</v>
      </c>
      <c r="H165" s="745" t="s">
        <v>29</v>
      </c>
      <c r="I165" s="745" t="s">
        <v>2379</v>
      </c>
      <c r="J165" s="755">
        <v>44068.0</v>
      </c>
      <c r="K165" s="762" t="s">
        <v>3651</v>
      </c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  <c r="X165" s="754"/>
      <c r="Y165" s="754"/>
      <c r="Z165" s="754"/>
      <c r="AA165" s="754"/>
      <c r="AB165" s="754"/>
      <c r="AC165" s="754"/>
      <c r="AD165" s="754"/>
      <c r="AE165" s="754"/>
    </row>
    <row r="166" ht="15.75" customHeight="1">
      <c r="A166" s="759">
        <v>44124.0</v>
      </c>
      <c r="B166" s="760" t="s">
        <v>3235</v>
      </c>
      <c r="C166" s="761" t="s">
        <v>2376</v>
      </c>
      <c r="D166" s="745" t="s">
        <v>5903</v>
      </c>
      <c r="E166" s="757">
        <v>140000.0</v>
      </c>
      <c r="F166" s="745" t="s">
        <v>3234</v>
      </c>
      <c r="G166" s="755" t="s">
        <v>2379</v>
      </c>
      <c r="H166" s="755" t="s">
        <v>29</v>
      </c>
      <c r="I166" s="755" t="s">
        <v>2380</v>
      </c>
      <c r="J166" s="755">
        <v>43894.0</v>
      </c>
      <c r="K166" s="758" t="s">
        <v>3660</v>
      </c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  <c r="Z166" s="754"/>
      <c r="AA166" s="754"/>
      <c r="AB166" s="754"/>
      <c r="AC166" s="754"/>
      <c r="AD166" s="754"/>
      <c r="AE166" s="754"/>
    </row>
    <row r="167" ht="15.75" customHeight="1">
      <c r="A167" s="759">
        <v>44124.0</v>
      </c>
      <c r="B167" s="760" t="s">
        <v>3110</v>
      </c>
      <c r="C167" s="761" t="s">
        <v>2376</v>
      </c>
      <c r="D167" s="745" t="s">
        <v>5903</v>
      </c>
      <c r="E167" s="757">
        <v>10000.0</v>
      </c>
      <c r="F167" s="745" t="s">
        <v>3109</v>
      </c>
      <c r="G167" s="755" t="s">
        <v>2379</v>
      </c>
      <c r="H167" s="755" t="s">
        <v>29</v>
      </c>
      <c r="I167" s="755" t="s">
        <v>2392</v>
      </c>
      <c r="J167" s="755">
        <v>43622.0</v>
      </c>
      <c r="K167" s="758" t="s">
        <v>3660</v>
      </c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  <c r="X167" s="754"/>
      <c r="Y167" s="754"/>
      <c r="Z167" s="754"/>
      <c r="AA167" s="754"/>
      <c r="AB167" s="754"/>
      <c r="AC167" s="754"/>
      <c r="AD167" s="754"/>
      <c r="AE167" s="754"/>
    </row>
    <row r="168" ht="15.75" customHeight="1">
      <c r="A168" s="759">
        <v>44125.0</v>
      </c>
      <c r="B168" s="760" t="s">
        <v>5907</v>
      </c>
      <c r="C168" s="761" t="s">
        <v>3642</v>
      </c>
      <c r="D168" s="745" t="s">
        <v>5903</v>
      </c>
      <c r="E168" s="757">
        <v>130000.0</v>
      </c>
      <c r="F168" s="745" t="s">
        <v>4507</v>
      </c>
      <c r="G168" s="745" t="s">
        <v>2379</v>
      </c>
      <c r="H168" s="745" t="s">
        <v>29</v>
      </c>
      <c r="I168" s="745" t="s">
        <v>2379</v>
      </c>
      <c r="J168" s="755">
        <v>44252.0</v>
      </c>
      <c r="K168" s="762" t="s">
        <v>3660</v>
      </c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54"/>
      <c r="AB168" s="754"/>
      <c r="AC168" s="754"/>
      <c r="AD168" s="754"/>
      <c r="AE168" s="754"/>
    </row>
    <row r="169" ht="15.75" customHeight="1">
      <c r="A169" s="759">
        <v>44127.0</v>
      </c>
      <c r="B169" s="760" t="s">
        <v>3073</v>
      </c>
      <c r="C169" s="761" t="s">
        <v>2376</v>
      </c>
      <c r="D169" s="745" t="s">
        <v>5903</v>
      </c>
      <c r="E169" s="757">
        <v>12000.0</v>
      </c>
      <c r="F169" s="745" t="s">
        <v>3072</v>
      </c>
      <c r="G169" s="755" t="s">
        <v>2379</v>
      </c>
      <c r="H169" s="755" t="s">
        <v>29</v>
      </c>
      <c r="I169" s="755" t="s">
        <v>2380</v>
      </c>
      <c r="J169" s="755">
        <v>43564.0</v>
      </c>
      <c r="K169" s="758" t="s">
        <v>3664</v>
      </c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  <c r="X169" s="754"/>
      <c r="Y169" s="754"/>
      <c r="Z169" s="754"/>
      <c r="AA169" s="754"/>
      <c r="AB169" s="754"/>
      <c r="AC169" s="754"/>
      <c r="AD169" s="754"/>
      <c r="AE169" s="754"/>
    </row>
    <row r="170" ht="15.75" customHeight="1">
      <c r="A170" s="759">
        <v>44130.0</v>
      </c>
      <c r="B170" s="760" t="s">
        <v>2870</v>
      </c>
      <c r="C170" s="761" t="s">
        <v>2376</v>
      </c>
      <c r="D170" s="745" t="s">
        <v>5903</v>
      </c>
      <c r="E170" s="757">
        <v>34182.0</v>
      </c>
      <c r="F170" s="745" t="s">
        <v>2869</v>
      </c>
      <c r="G170" s="755" t="s">
        <v>2379</v>
      </c>
      <c r="H170" s="755" t="s">
        <v>29</v>
      </c>
      <c r="I170" s="755" t="s">
        <v>2380</v>
      </c>
      <c r="J170" s="755">
        <v>43605.0</v>
      </c>
      <c r="K170" s="758" t="s">
        <v>3660</v>
      </c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  <c r="X170" s="754"/>
      <c r="Y170" s="754"/>
      <c r="Z170" s="754"/>
      <c r="AA170" s="754"/>
      <c r="AB170" s="754"/>
      <c r="AC170" s="754"/>
      <c r="AD170" s="754"/>
      <c r="AE170" s="754"/>
    </row>
    <row r="171" ht="15.75" customHeight="1">
      <c r="A171" s="759">
        <v>44131.0</v>
      </c>
      <c r="B171" s="760" t="s">
        <v>5917</v>
      </c>
      <c r="C171" s="761" t="s">
        <v>3642</v>
      </c>
      <c r="D171" s="745" t="s">
        <v>5903</v>
      </c>
      <c r="E171" s="757">
        <v>20000.0</v>
      </c>
      <c r="F171" s="745" t="s">
        <v>4700</v>
      </c>
      <c r="G171" s="745" t="s">
        <v>2379</v>
      </c>
      <c r="H171" s="745" t="s">
        <v>29</v>
      </c>
      <c r="I171" s="745" t="s">
        <v>2379</v>
      </c>
      <c r="J171" s="755">
        <v>44068.0</v>
      </c>
      <c r="K171" s="762" t="s">
        <v>3651</v>
      </c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  <c r="X171" s="754"/>
      <c r="Y171" s="754"/>
      <c r="Z171" s="754"/>
      <c r="AA171" s="754"/>
      <c r="AB171" s="754"/>
      <c r="AC171" s="754"/>
      <c r="AD171" s="754"/>
      <c r="AE171" s="754"/>
    </row>
    <row r="172" ht="15.75" customHeight="1">
      <c r="A172" s="759">
        <v>44131.0</v>
      </c>
      <c r="B172" s="760" t="s">
        <v>3251</v>
      </c>
      <c r="C172" s="761" t="s">
        <v>2376</v>
      </c>
      <c r="D172" s="745" t="s">
        <v>5903</v>
      </c>
      <c r="E172" s="757">
        <v>20000.0</v>
      </c>
      <c r="F172" s="745" t="s">
        <v>3250</v>
      </c>
      <c r="G172" s="755" t="s">
        <v>2379</v>
      </c>
      <c r="H172" s="755" t="s">
        <v>29</v>
      </c>
      <c r="I172" s="755" t="s">
        <v>2380</v>
      </c>
      <c r="J172" s="755">
        <v>43840.0</v>
      </c>
      <c r="K172" s="758" t="s">
        <v>3660</v>
      </c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  <c r="X172" s="754"/>
      <c r="Y172" s="754"/>
      <c r="Z172" s="754"/>
      <c r="AA172" s="754"/>
      <c r="AB172" s="754"/>
      <c r="AC172" s="754"/>
      <c r="AD172" s="754"/>
      <c r="AE172" s="754"/>
    </row>
    <row r="173" ht="15.75" customHeight="1">
      <c r="A173" s="759">
        <v>44131.0</v>
      </c>
      <c r="B173" s="760" t="s">
        <v>2484</v>
      </c>
      <c r="C173" s="761" t="s">
        <v>2376</v>
      </c>
      <c r="D173" s="745" t="s">
        <v>5903</v>
      </c>
      <c r="E173" s="757">
        <v>3000.0</v>
      </c>
      <c r="F173" s="745" t="s">
        <v>2483</v>
      </c>
      <c r="G173" s="755" t="s">
        <v>2379</v>
      </c>
      <c r="H173" s="755" t="s">
        <v>29</v>
      </c>
      <c r="I173" s="755" t="s">
        <v>2380</v>
      </c>
      <c r="J173" s="755">
        <v>43867.0</v>
      </c>
      <c r="K173" s="758" t="s">
        <v>3651</v>
      </c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  <c r="X173" s="754"/>
      <c r="Y173" s="754"/>
      <c r="Z173" s="754"/>
      <c r="AA173" s="754"/>
      <c r="AB173" s="754"/>
      <c r="AC173" s="754"/>
      <c r="AD173" s="754"/>
      <c r="AE173" s="754"/>
    </row>
    <row r="174" ht="15.75" customHeight="1">
      <c r="A174" s="759">
        <v>44131.0</v>
      </c>
      <c r="B174" s="760" t="s">
        <v>2811</v>
      </c>
      <c r="C174" s="761" t="s">
        <v>2376</v>
      </c>
      <c r="D174" s="745" t="s">
        <v>5903</v>
      </c>
      <c r="E174" s="757">
        <v>7000.0</v>
      </c>
      <c r="F174" s="745" t="s">
        <v>2810</v>
      </c>
      <c r="G174" s="755" t="s">
        <v>2379</v>
      </c>
      <c r="H174" s="755" t="s">
        <v>29</v>
      </c>
      <c r="I174" s="755" t="s">
        <v>2380</v>
      </c>
      <c r="J174" s="755">
        <v>43703.0</v>
      </c>
      <c r="K174" s="758" t="s">
        <v>4033</v>
      </c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54"/>
      <c r="AB174" s="754"/>
      <c r="AC174" s="754"/>
      <c r="AD174" s="754"/>
      <c r="AE174" s="754"/>
    </row>
    <row r="175" ht="15.75" customHeight="1">
      <c r="A175" s="759">
        <v>44131.0</v>
      </c>
      <c r="B175" s="760" t="s">
        <v>2974</v>
      </c>
      <c r="C175" s="761" t="s">
        <v>2376</v>
      </c>
      <c r="D175" s="745" t="s">
        <v>5903</v>
      </c>
      <c r="E175" s="757">
        <v>10000.0</v>
      </c>
      <c r="F175" s="745" t="s">
        <v>2973</v>
      </c>
      <c r="G175" s="755" t="s">
        <v>2379</v>
      </c>
      <c r="H175" s="755" t="s">
        <v>29</v>
      </c>
      <c r="I175" s="755" t="s">
        <v>2380</v>
      </c>
      <c r="J175" s="755">
        <v>43732.0</v>
      </c>
      <c r="K175" s="758" t="s">
        <v>4033</v>
      </c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54"/>
      <c r="AB175" s="754"/>
      <c r="AC175" s="754"/>
      <c r="AD175" s="754"/>
      <c r="AE175" s="754"/>
    </row>
    <row r="176" ht="15.75" customHeight="1">
      <c r="A176" s="755">
        <v>44132.0</v>
      </c>
      <c r="B176" s="756" t="s">
        <v>3373</v>
      </c>
      <c r="C176" s="745" t="s">
        <v>2376</v>
      </c>
      <c r="D176" s="745" t="s">
        <v>5902</v>
      </c>
      <c r="E176" s="757">
        <v>191544.71</v>
      </c>
      <c r="F176" s="745" t="s">
        <v>3372</v>
      </c>
      <c r="G176" s="755" t="s">
        <v>2489</v>
      </c>
      <c r="H176" s="755" t="s">
        <v>29</v>
      </c>
      <c r="I176" s="755" t="s">
        <v>2489</v>
      </c>
      <c r="J176" s="755">
        <v>43494.0</v>
      </c>
      <c r="K176" s="758" t="s">
        <v>3664</v>
      </c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  <c r="X176" s="754"/>
      <c r="Y176" s="754"/>
      <c r="Z176" s="754"/>
      <c r="AA176" s="754"/>
      <c r="AB176" s="754"/>
      <c r="AC176" s="754"/>
      <c r="AD176" s="754"/>
      <c r="AE176" s="754"/>
    </row>
    <row r="177" ht="15.75" customHeight="1">
      <c r="A177" s="759">
        <v>44133.0</v>
      </c>
      <c r="B177" s="760" t="s">
        <v>3096</v>
      </c>
      <c r="C177" s="761" t="s">
        <v>2376</v>
      </c>
      <c r="D177" s="745" t="s">
        <v>5903</v>
      </c>
      <c r="E177" s="757">
        <v>9600.0</v>
      </c>
      <c r="F177" s="745" t="s">
        <v>3095</v>
      </c>
      <c r="G177" s="755" t="s">
        <v>2379</v>
      </c>
      <c r="H177" s="755" t="s">
        <v>29</v>
      </c>
      <c r="I177" s="755" t="s">
        <v>2380</v>
      </c>
      <c r="J177" s="755">
        <v>43873.0</v>
      </c>
      <c r="K177" s="758" t="s">
        <v>3651</v>
      </c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  <c r="X177" s="754"/>
      <c r="Y177" s="754"/>
      <c r="Z177" s="754"/>
      <c r="AA177" s="754"/>
      <c r="AB177" s="754"/>
      <c r="AC177" s="754"/>
      <c r="AD177" s="754"/>
      <c r="AE177" s="754"/>
    </row>
    <row r="178" ht="15.75" customHeight="1">
      <c r="A178" s="759">
        <v>44133.0</v>
      </c>
      <c r="B178" s="760" t="s">
        <v>2870</v>
      </c>
      <c r="C178" s="761" t="s">
        <v>2376</v>
      </c>
      <c r="D178" s="745" t="s">
        <v>5903</v>
      </c>
      <c r="E178" s="757">
        <v>8000.0</v>
      </c>
      <c r="F178" s="745" t="s">
        <v>2869</v>
      </c>
      <c r="G178" s="755" t="s">
        <v>2379</v>
      </c>
      <c r="H178" s="755" t="s">
        <v>29</v>
      </c>
      <c r="I178" s="755" t="s">
        <v>2380</v>
      </c>
      <c r="J178" s="755">
        <v>43605.0</v>
      </c>
      <c r="K178" s="758" t="s">
        <v>3660</v>
      </c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  <c r="X178" s="754"/>
      <c r="Y178" s="754"/>
      <c r="Z178" s="754"/>
      <c r="AA178" s="754"/>
      <c r="AB178" s="754"/>
      <c r="AC178" s="754"/>
      <c r="AD178" s="754"/>
      <c r="AE178" s="754"/>
    </row>
    <row r="179" ht="15.75" customHeight="1">
      <c r="A179" s="759">
        <v>44138.0</v>
      </c>
      <c r="B179" s="760" t="s">
        <v>3272</v>
      </c>
      <c r="C179" s="761" t="s">
        <v>2376</v>
      </c>
      <c r="D179" s="745" t="s">
        <v>5903</v>
      </c>
      <c r="E179" s="757">
        <v>100000.0</v>
      </c>
      <c r="F179" s="745" t="s">
        <v>3271</v>
      </c>
      <c r="G179" s="755" t="s">
        <v>2379</v>
      </c>
      <c r="H179" s="755" t="s">
        <v>29</v>
      </c>
      <c r="I179" s="755" t="s">
        <v>2380</v>
      </c>
      <c r="J179" s="755">
        <v>43675.0</v>
      </c>
      <c r="K179" s="758" t="s">
        <v>4033</v>
      </c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54"/>
      <c r="AB179" s="754"/>
      <c r="AC179" s="754"/>
      <c r="AD179" s="754"/>
      <c r="AE179" s="754"/>
    </row>
    <row r="180" ht="15.75" customHeight="1">
      <c r="A180" s="759">
        <v>44138.0</v>
      </c>
      <c r="B180" s="763" t="s">
        <v>2770</v>
      </c>
      <c r="C180" s="761" t="s">
        <v>2376</v>
      </c>
      <c r="D180" s="745" t="s">
        <v>5903</v>
      </c>
      <c r="E180" s="757">
        <v>30000.0</v>
      </c>
      <c r="F180" s="745" t="s">
        <v>2769</v>
      </c>
      <c r="G180" s="755" t="s">
        <v>2379</v>
      </c>
      <c r="H180" s="755" t="s">
        <v>29</v>
      </c>
      <c r="I180" s="755" t="s">
        <v>2380</v>
      </c>
      <c r="J180" s="755">
        <v>43888.0</v>
      </c>
      <c r="K180" s="758" t="s">
        <v>3651</v>
      </c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  <c r="X180" s="754"/>
      <c r="Y180" s="754"/>
      <c r="Z180" s="754"/>
      <c r="AA180" s="754"/>
      <c r="AB180" s="754"/>
      <c r="AC180" s="754"/>
      <c r="AD180" s="754"/>
      <c r="AE180" s="754"/>
    </row>
    <row r="181" ht="15.75" customHeight="1">
      <c r="A181" s="759">
        <v>44138.0</v>
      </c>
      <c r="B181" s="760" t="s">
        <v>2870</v>
      </c>
      <c r="C181" s="761" t="s">
        <v>2376</v>
      </c>
      <c r="D181" s="745" t="s">
        <v>5903</v>
      </c>
      <c r="E181" s="757">
        <v>6000.0</v>
      </c>
      <c r="F181" s="745" t="s">
        <v>2869</v>
      </c>
      <c r="G181" s="755" t="s">
        <v>2379</v>
      </c>
      <c r="H181" s="755" t="s">
        <v>29</v>
      </c>
      <c r="I181" s="755" t="s">
        <v>2380</v>
      </c>
      <c r="J181" s="755">
        <v>43605.0</v>
      </c>
      <c r="K181" s="758" t="s">
        <v>3660</v>
      </c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  <c r="X181" s="754"/>
      <c r="Y181" s="754"/>
      <c r="Z181" s="754"/>
      <c r="AA181" s="754"/>
      <c r="AB181" s="754"/>
      <c r="AC181" s="754"/>
      <c r="AD181" s="754"/>
      <c r="AE181" s="754"/>
    </row>
    <row r="182" ht="15.75" customHeight="1">
      <c r="A182" s="759">
        <v>44138.0</v>
      </c>
      <c r="B182" s="760" t="s">
        <v>2885</v>
      </c>
      <c r="C182" s="761" t="s">
        <v>2376</v>
      </c>
      <c r="D182" s="745" t="s">
        <v>5903</v>
      </c>
      <c r="E182" s="757">
        <v>6000.0</v>
      </c>
      <c r="F182" s="745" t="s">
        <v>2884</v>
      </c>
      <c r="G182" s="755" t="s">
        <v>2379</v>
      </c>
      <c r="H182" s="755" t="s">
        <v>29</v>
      </c>
      <c r="I182" s="755" t="s">
        <v>2392</v>
      </c>
      <c r="J182" s="755">
        <v>43559.0</v>
      </c>
      <c r="K182" s="758" t="s">
        <v>4033</v>
      </c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  <c r="X182" s="754"/>
      <c r="Y182" s="754"/>
      <c r="Z182" s="754"/>
      <c r="AA182" s="754"/>
      <c r="AB182" s="754"/>
      <c r="AC182" s="754"/>
      <c r="AD182" s="754"/>
      <c r="AE182" s="754"/>
    </row>
    <row r="183" ht="15.75" customHeight="1">
      <c r="A183" s="759">
        <v>44138.0</v>
      </c>
      <c r="B183" s="760" t="s">
        <v>2811</v>
      </c>
      <c r="C183" s="761" t="s">
        <v>2376</v>
      </c>
      <c r="D183" s="745" t="s">
        <v>5903</v>
      </c>
      <c r="E183" s="757">
        <v>6300.0</v>
      </c>
      <c r="F183" s="745" t="s">
        <v>2810</v>
      </c>
      <c r="G183" s="755" t="s">
        <v>2379</v>
      </c>
      <c r="H183" s="755" t="s">
        <v>29</v>
      </c>
      <c r="I183" s="755" t="s">
        <v>2380</v>
      </c>
      <c r="J183" s="755">
        <v>43703.0</v>
      </c>
      <c r="K183" s="758" t="s">
        <v>4033</v>
      </c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  <c r="X183" s="754"/>
      <c r="Y183" s="754"/>
      <c r="Z183" s="754"/>
      <c r="AA183" s="754"/>
      <c r="AB183" s="754"/>
      <c r="AC183" s="754"/>
      <c r="AD183" s="754"/>
      <c r="AE183" s="754"/>
    </row>
    <row r="184" ht="15.75" customHeight="1">
      <c r="A184" s="759">
        <v>44138.0</v>
      </c>
      <c r="B184" s="760" t="s">
        <v>2811</v>
      </c>
      <c r="C184" s="761" t="s">
        <v>2376</v>
      </c>
      <c r="D184" s="745" t="s">
        <v>5903</v>
      </c>
      <c r="E184" s="757">
        <v>10000.0</v>
      </c>
      <c r="F184" s="745" t="s">
        <v>2810</v>
      </c>
      <c r="G184" s="755" t="s">
        <v>2379</v>
      </c>
      <c r="H184" s="755" t="s">
        <v>29</v>
      </c>
      <c r="I184" s="755" t="s">
        <v>2380</v>
      </c>
      <c r="J184" s="755">
        <v>43703.0</v>
      </c>
      <c r="K184" s="758" t="s">
        <v>4033</v>
      </c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  <c r="X184" s="754"/>
      <c r="Y184" s="754"/>
      <c r="Z184" s="754"/>
      <c r="AA184" s="754"/>
      <c r="AB184" s="754"/>
      <c r="AC184" s="754"/>
      <c r="AD184" s="754"/>
      <c r="AE184" s="754"/>
    </row>
    <row r="185" ht="15.75" customHeight="1">
      <c r="A185" s="759">
        <v>44138.0</v>
      </c>
      <c r="B185" s="760" t="s">
        <v>5917</v>
      </c>
      <c r="C185" s="761" t="s">
        <v>3642</v>
      </c>
      <c r="D185" s="745" t="s">
        <v>5903</v>
      </c>
      <c r="E185" s="757">
        <v>5000.0</v>
      </c>
      <c r="F185" s="745" t="s">
        <v>4700</v>
      </c>
      <c r="G185" s="745" t="s">
        <v>2379</v>
      </c>
      <c r="H185" s="745" t="s">
        <v>29</v>
      </c>
      <c r="I185" s="745" t="s">
        <v>2379</v>
      </c>
      <c r="J185" s="755">
        <v>44068.0</v>
      </c>
      <c r="K185" s="762" t="s">
        <v>3651</v>
      </c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  <c r="X185" s="754"/>
      <c r="Y185" s="754"/>
      <c r="Z185" s="754"/>
      <c r="AA185" s="754"/>
      <c r="AB185" s="754"/>
      <c r="AC185" s="754"/>
      <c r="AD185" s="754"/>
      <c r="AE185" s="754"/>
    </row>
    <row r="186" ht="15.75" customHeight="1">
      <c r="A186" s="759">
        <v>44139.0</v>
      </c>
      <c r="B186" s="760" t="s">
        <v>2820</v>
      </c>
      <c r="C186" s="761" t="s">
        <v>2376</v>
      </c>
      <c r="D186" s="745" t="s">
        <v>5903</v>
      </c>
      <c r="E186" s="757">
        <v>10000.0</v>
      </c>
      <c r="F186" s="745" t="s">
        <v>2819</v>
      </c>
      <c r="G186" s="755" t="s">
        <v>2379</v>
      </c>
      <c r="H186" s="755" t="s">
        <v>29</v>
      </c>
      <c r="I186" s="755" t="s">
        <v>2380</v>
      </c>
      <c r="J186" s="755">
        <v>43875.0</v>
      </c>
      <c r="K186" s="758" t="s">
        <v>3660</v>
      </c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  <c r="X186" s="754"/>
      <c r="Y186" s="754"/>
      <c r="Z186" s="754"/>
      <c r="AA186" s="754"/>
      <c r="AB186" s="754"/>
      <c r="AC186" s="754"/>
      <c r="AD186" s="754"/>
      <c r="AE186" s="754"/>
    </row>
    <row r="187" ht="15.75" customHeight="1">
      <c r="A187" s="759">
        <v>44139.0</v>
      </c>
      <c r="B187" s="760" t="s">
        <v>3110</v>
      </c>
      <c r="C187" s="761" t="s">
        <v>2376</v>
      </c>
      <c r="D187" s="745" t="s">
        <v>5903</v>
      </c>
      <c r="E187" s="757">
        <v>20000.0</v>
      </c>
      <c r="F187" s="745" t="s">
        <v>3109</v>
      </c>
      <c r="G187" s="755" t="s">
        <v>2379</v>
      </c>
      <c r="H187" s="755" t="s">
        <v>29</v>
      </c>
      <c r="I187" s="755" t="s">
        <v>2392</v>
      </c>
      <c r="J187" s="755">
        <v>43622.0</v>
      </c>
      <c r="K187" s="758" t="s">
        <v>3660</v>
      </c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  <c r="X187" s="754"/>
      <c r="Y187" s="754"/>
      <c r="Z187" s="754"/>
      <c r="AA187" s="754"/>
      <c r="AB187" s="754"/>
      <c r="AC187" s="754"/>
      <c r="AD187" s="754"/>
      <c r="AE187" s="754"/>
    </row>
    <row r="188" ht="15.75" customHeight="1">
      <c r="A188" s="759">
        <v>44139.0</v>
      </c>
      <c r="B188" s="760" t="s">
        <v>3482</v>
      </c>
      <c r="C188" s="761" t="s">
        <v>3458</v>
      </c>
      <c r="D188" s="745" t="s">
        <v>5903</v>
      </c>
      <c r="E188" s="757">
        <v>30000.0</v>
      </c>
      <c r="F188" s="745" t="s">
        <v>3481</v>
      </c>
      <c r="G188" s="755" t="s">
        <v>18</v>
      </c>
      <c r="H188" s="755" t="s">
        <v>29</v>
      </c>
      <c r="I188" s="755" t="s">
        <v>18</v>
      </c>
      <c r="J188" s="755">
        <v>44062.0</v>
      </c>
      <c r="K188" s="758" t="s">
        <v>3651</v>
      </c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  <c r="X188" s="754"/>
      <c r="Y188" s="754"/>
      <c r="Z188" s="754"/>
      <c r="AA188" s="754"/>
      <c r="AB188" s="754"/>
      <c r="AC188" s="754"/>
      <c r="AD188" s="754"/>
      <c r="AE188" s="754"/>
    </row>
    <row r="189" ht="15.75" customHeight="1">
      <c r="A189" s="759">
        <v>44139.0</v>
      </c>
      <c r="B189" s="760" t="s">
        <v>3541</v>
      </c>
      <c r="C189" s="761" t="s">
        <v>3458</v>
      </c>
      <c r="D189" s="745" t="s">
        <v>5903</v>
      </c>
      <c r="E189" s="757">
        <v>28000.0</v>
      </c>
      <c r="F189" s="745" t="s">
        <v>3540</v>
      </c>
      <c r="G189" s="755" t="s">
        <v>18</v>
      </c>
      <c r="H189" s="755" t="s">
        <v>29</v>
      </c>
      <c r="I189" s="755" t="s">
        <v>2633</v>
      </c>
      <c r="J189" s="755">
        <v>43635.0</v>
      </c>
      <c r="K189" s="758" t="s">
        <v>4033</v>
      </c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  <c r="X189" s="754"/>
      <c r="Y189" s="754"/>
      <c r="Z189" s="754"/>
      <c r="AA189" s="754"/>
      <c r="AB189" s="754"/>
      <c r="AC189" s="754"/>
      <c r="AD189" s="754"/>
      <c r="AE189" s="754"/>
    </row>
    <row r="190" ht="15.75" customHeight="1">
      <c r="A190" s="759">
        <v>44141.0</v>
      </c>
      <c r="B190" s="760" t="s">
        <v>2914</v>
      </c>
      <c r="C190" s="761" t="s">
        <v>2376</v>
      </c>
      <c r="D190" s="745" t="s">
        <v>5903</v>
      </c>
      <c r="E190" s="757">
        <v>1800000.0</v>
      </c>
      <c r="F190" s="745" t="s">
        <v>2913</v>
      </c>
      <c r="G190" s="755" t="s">
        <v>2379</v>
      </c>
      <c r="H190" s="755" t="s">
        <v>29</v>
      </c>
      <c r="I190" s="755" t="s">
        <v>2392</v>
      </c>
      <c r="J190" s="755">
        <v>43664.0</v>
      </c>
      <c r="K190" s="758" t="s">
        <v>4033</v>
      </c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54"/>
      <c r="AB190" s="754"/>
      <c r="AC190" s="754"/>
      <c r="AD190" s="754"/>
      <c r="AE190" s="754"/>
    </row>
    <row r="191" ht="15.75" customHeight="1">
      <c r="A191" s="759">
        <v>44144.0</v>
      </c>
      <c r="B191" s="760" t="s">
        <v>2870</v>
      </c>
      <c r="C191" s="761" t="s">
        <v>2376</v>
      </c>
      <c r="D191" s="745" t="s">
        <v>5903</v>
      </c>
      <c r="E191" s="757">
        <v>15000.0</v>
      </c>
      <c r="F191" s="745" t="s">
        <v>2869</v>
      </c>
      <c r="G191" s="755" t="s">
        <v>2379</v>
      </c>
      <c r="H191" s="755" t="s">
        <v>29</v>
      </c>
      <c r="I191" s="755" t="s">
        <v>2380</v>
      </c>
      <c r="J191" s="755">
        <v>43605.0</v>
      </c>
      <c r="K191" s="758" t="s">
        <v>3660</v>
      </c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54"/>
      <c r="AB191" s="754"/>
      <c r="AC191" s="754"/>
      <c r="AD191" s="754"/>
      <c r="AE191" s="754"/>
    </row>
    <row r="192" ht="15.75" customHeight="1">
      <c r="A192" s="759">
        <v>44144.0</v>
      </c>
      <c r="B192" s="760" t="s">
        <v>3342</v>
      </c>
      <c r="C192" s="761" t="s">
        <v>2376</v>
      </c>
      <c r="D192" s="745" t="s">
        <v>5903</v>
      </c>
      <c r="E192" s="757">
        <v>7000.0</v>
      </c>
      <c r="F192" s="745" t="s">
        <v>3341</v>
      </c>
      <c r="G192" s="755" t="s">
        <v>2379</v>
      </c>
      <c r="H192" s="755" t="s">
        <v>29</v>
      </c>
      <c r="I192" s="755" t="s">
        <v>2380</v>
      </c>
      <c r="J192" s="755">
        <v>43717.0</v>
      </c>
      <c r="K192" s="758" t="s">
        <v>4033</v>
      </c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  <c r="X192" s="754"/>
      <c r="Y192" s="754"/>
      <c r="Z192" s="754"/>
      <c r="AA192" s="754"/>
      <c r="AB192" s="754"/>
      <c r="AC192" s="754"/>
      <c r="AD192" s="754"/>
      <c r="AE192" s="754"/>
    </row>
    <row r="193" ht="15.75" customHeight="1">
      <c r="A193" s="759">
        <v>44145.0</v>
      </c>
      <c r="B193" s="763" t="s">
        <v>2770</v>
      </c>
      <c r="C193" s="761" t="s">
        <v>2376</v>
      </c>
      <c r="D193" s="745" t="s">
        <v>5903</v>
      </c>
      <c r="E193" s="757">
        <v>90562.43</v>
      </c>
      <c r="F193" s="745" t="s">
        <v>2769</v>
      </c>
      <c r="G193" s="755" t="s">
        <v>2379</v>
      </c>
      <c r="H193" s="755" t="s">
        <v>29</v>
      </c>
      <c r="I193" s="755" t="s">
        <v>2380</v>
      </c>
      <c r="J193" s="755">
        <v>43888.0</v>
      </c>
      <c r="K193" s="758" t="s">
        <v>3651</v>
      </c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  <c r="X193" s="754"/>
      <c r="Y193" s="754"/>
      <c r="Z193" s="754"/>
      <c r="AA193" s="754"/>
      <c r="AB193" s="754"/>
      <c r="AC193" s="754"/>
      <c r="AD193" s="754"/>
      <c r="AE193" s="754"/>
    </row>
    <row r="194" ht="15.75" customHeight="1">
      <c r="A194" s="759">
        <v>44145.0</v>
      </c>
      <c r="B194" s="760" t="s">
        <v>5904</v>
      </c>
      <c r="C194" s="761" t="s">
        <v>3642</v>
      </c>
      <c r="D194" s="745" t="s">
        <v>5903</v>
      </c>
      <c r="E194" s="757">
        <v>45400.0</v>
      </c>
      <c r="F194" s="745" t="s">
        <v>4889</v>
      </c>
      <c r="G194" s="745" t="s">
        <v>2379</v>
      </c>
      <c r="H194" s="745" t="s">
        <v>29</v>
      </c>
      <c r="I194" s="745" t="s">
        <v>2379</v>
      </c>
      <c r="J194" s="755">
        <v>43749.0</v>
      </c>
      <c r="K194" s="762" t="s">
        <v>4033</v>
      </c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  <c r="X194" s="754"/>
      <c r="Y194" s="754"/>
      <c r="Z194" s="754"/>
      <c r="AA194" s="754"/>
      <c r="AB194" s="754"/>
      <c r="AC194" s="754"/>
      <c r="AD194" s="754"/>
      <c r="AE194" s="754"/>
    </row>
    <row r="195" ht="15.75" customHeight="1">
      <c r="A195" s="759">
        <v>44147.0</v>
      </c>
      <c r="B195" s="760" t="s">
        <v>3416</v>
      </c>
      <c r="C195" s="761" t="s">
        <v>2376</v>
      </c>
      <c r="D195" s="745" t="s">
        <v>5903</v>
      </c>
      <c r="E195" s="757">
        <v>10000.0</v>
      </c>
      <c r="F195" s="745" t="s">
        <v>3415</v>
      </c>
      <c r="G195" s="755" t="s">
        <v>2379</v>
      </c>
      <c r="H195" s="755" t="s">
        <v>29</v>
      </c>
      <c r="I195" s="755" t="s">
        <v>2380</v>
      </c>
      <c r="J195" s="755">
        <v>43567.0</v>
      </c>
      <c r="K195" s="758" t="s">
        <v>3651</v>
      </c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  <c r="Z195" s="754"/>
      <c r="AA195" s="754"/>
      <c r="AB195" s="754"/>
      <c r="AC195" s="754"/>
      <c r="AD195" s="754"/>
      <c r="AE195" s="754"/>
    </row>
    <row r="196" ht="15.75" customHeight="1">
      <c r="A196" s="759">
        <v>44147.0</v>
      </c>
      <c r="B196" s="760" t="s">
        <v>5923</v>
      </c>
      <c r="C196" s="761" t="s">
        <v>3642</v>
      </c>
      <c r="D196" s="745" t="s">
        <v>5903</v>
      </c>
      <c r="E196" s="757">
        <v>20000.0</v>
      </c>
      <c r="F196" s="745" t="s">
        <v>4456</v>
      </c>
      <c r="G196" s="745" t="s">
        <v>2379</v>
      </c>
      <c r="H196" s="745" t="s">
        <v>29</v>
      </c>
      <c r="I196" s="745" t="s">
        <v>2379</v>
      </c>
      <c r="J196" s="755">
        <v>43717.0</v>
      </c>
      <c r="K196" s="762" t="s">
        <v>4033</v>
      </c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54"/>
      <c r="AB196" s="754"/>
      <c r="AC196" s="754"/>
      <c r="AD196" s="754"/>
      <c r="AE196" s="754"/>
    </row>
    <row r="197" ht="15.75" customHeight="1">
      <c r="A197" s="759">
        <v>44147.0</v>
      </c>
      <c r="B197" s="760" t="s">
        <v>3322</v>
      </c>
      <c r="C197" s="761" t="s">
        <v>2376</v>
      </c>
      <c r="D197" s="745" t="s">
        <v>5903</v>
      </c>
      <c r="E197" s="757">
        <v>50000.0</v>
      </c>
      <c r="F197" s="745" t="s">
        <v>3321</v>
      </c>
      <c r="G197" s="755" t="s">
        <v>2379</v>
      </c>
      <c r="H197" s="755" t="s">
        <v>29</v>
      </c>
      <c r="I197" s="755" t="s">
        <v>2380</v>
      </c>
      <c r="J197" s="755">
        <v>44041.0</v>
      </c>
      <c r="K197" s="758" t="s">
        <v>3651</v>
      </c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  <c r="X197" s="754"/>
      <c r="Y197" s="754"/>
      <c r="Z197" s="754"/>
      <c r="AA197" s="754"/>
      <c r="AB197" s="754"/>
      <c r="AC197" s="754"/>
      <c r="AD197" s="754"/>
      <c r="AE197" s="754"/>
    </row>
    <row r="198" ht="15.75" customHeight="1">
      <c r="A198" s="759">
        <v>44151.0</v>
      </c>
      <c r="B198" s="760" t="s">
        <v>3546</v>
      </c>
      <c r="C198" s="761" t="s">
        <v>3458</v>
      </c>
      <c r="D198" s="745" t="s">
        <v>5903</v>
      </c>
      <c r="E198" s="757">
        <v>6000.0</v>
      </c>
      <c r="F198" s="745" t="s">
        <v>3545</v>
      </c>
      <c r="G198" s="755" t="s">
        <v>18</v>
      </c>
      <c r="H198" s="755" t="s">
        <v>29</v>
      </c>
      <c r="I198" s="755" t="s">
        <v>2052</v>
      </c>
      <c r="J198" s="755">
        <v>43797.0</v>
      </c>
      <c r="K198" s="758" t="s">
        <v>3660</v>
      </c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  <c r="X198" s="754"/>
      <c r="Y198" s="754"/>
      <c r="Z198" s="754"/>
      <c r="AA198" s="754"/>
      <c r="AB198" s="754"/>
      <c r="AC198" s="754"/>
      <c r="AD198" s="754"/>
      <c r="AE198" s="754"/>
    </row>
    <row r="199" ht="15.75" customHeight="1">
      <c r="A199" s="759">
        <v>44152.0</v>
      </c>
      <c r="B199" s="760" t="s">
        <v>5917</v>
      </c>
      <c r="C199" s="761" t="s">
        <v>3642</v>
      </c>
      <c r="D199" s="745" t="s">
        <v>5903</v>
      </c>
      <c r="E199" s="757">
        <v>20000.0</v>
      </c>
      <c r="F199" s="745" t="s">
        <v>4700</v>
      </c>
      <c r="G199" s="745" t="s">
        <v>2379</v>
      </c>
      <c r="H199" s="745" t="s">
        <v>29</v>
      </c>
      <c r="I199" s="745" t="s">
        <v>2379</v>
      </c>
      <c r="J199" s="755">
        <v>44068.0</v>
      </c>
      <c r="K199" s="762" t="s">
        <v>3651</v>
      </c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  <c r="X199" s="754"/>
      <c r="Y199" s="754"/>
      <c r="Z199" s="754"/>
      <c r="AA199" s="754"/>
      <c r="AB199" s="754"/>
      <c r="AC199" s="754"/>
      <c r="AD199" s="754"/>
      <c r="AE199" s="754"/>
    </row>
    <row r="200" ht="15.75" customHeight="1">
      <c r="A200" s="755">
        <v>44153.0</v>
      </c>
      <c r="B200" s="756" t="s">
        <v>3251</v>
      </c>
      <c r="C200" s="745" t="s">
        <v>2376</v>
      </c>
      <c r="D200" s="745" t="s">
        <v>5902</v>
      </c>
      <c r="E200" s="757">
        <v>90562.43</v>
      </c>
      <c r="F200" s="745" t="s">
        <v>3250</v>
      </c>
      <c r="G200" s="755" t="s">
        <v>2379</v>
      </c>
      <c r="H200" s="755" t="s">
        <v>29</v>
      </c>
      <c r="I200" s="755" t="s">
        <v>2380</v>
      </c>
      <c r="J200" s="755">
        <v>43840.0</v>
      </c>
      <c r="K200" s="758" t="s">
        <v>3660</v>
      </c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  <c r="X200" s="754"/>
      <c r="Y200" s="754"/>
      <c r="Z200" s="754"/>
      <c r="AA200" s="754"/>
      <c r="AB200" s="754"/>
      <c r="AC200" s="754"/>
      <c r="AD200" s="754"/>
      <c r="AE200" s="754"/>
    </row>
    <row r="201" ht="15.75" customHeight="1">
      <c r="A201" s="759">
        <v>44153.0</v>
      </c>
      <c r="B201" s="760" t="s">
        <v>3251</v>
      </c>
      <c r="C201" s="761" t="s">
        <v>2376</v>
      </c>
      <c r="D201" s="745" t="s">
        <v>5903</v>
      </c>
      <c r="E201" s="764">
        <v>30000.0</v>
      </c>
      <c r="F201" s="745" t="s">
        <v>3250</v>
      </c>
      <c r="G201" s="755" t="s">
        <v>2379</v>
      </c>
      <c r="H201" s="755" t="s">
        <v>29</v>
      </c>
      <c r="I201" s="755" t="s">
        <v>2380</v>
      </c>
      <c r="J201" s="755">
        <v>43840.0</v>
      </c>
      <c r="K201" s="758" t="s">
        <v>3660</v>
      </c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54"/>
      <c r="AB201" s="754"/>
      <c r="AC201" s="754"/>
      <c r="AD201" s="754"/>
      <c r="AE201" s="754"/>
    </row>
    <row r="202" ht="15.75" customHeight="1">
      <c r="A202" s="759">
        <v>44159.0</v>
      </c>
      <c r="B202" s="760" t="s">
        <v>2870</v>
      </c>
      <c r="C202" s="761" t="s">
        <v>2376</v>
      </c>
      <c r="D202" s="745" t="s">
        <v>5903</v>
      </c>
      <c r="E202" s="757">
        <v>7000.0</v>
      </c>
      <c r="F202" s="745" t="s">
        <v>2869</v>
      </c>
      <c r="G202" s="755" t="s">
        <v>2379</v>
      </c>
      <c r="H202" s="755" t="s">
        <v>29</v>
      </c>
      <c r="I202" s="755" t="s">
        <v>2380</v>
      </c>
      <c r="J202" s="755">
        <v>43605.0</v>
      </c>
      <c r="K202" s="758" t="s">
        <v>3660</v>
      </c>
      <c r="L202" s="754"/>
      <c r="M202" s="754"/>
      <c r="N202" s="754"/>
      <c r="O202" s="754"/>
      <c r="P202" s="754"/>
      <c r="Q202" s="754"/>
      <c r="R202" s="754"/>
      <c r="S202" s="754"/>
      <c r="T202" s="754"/>
      <c r="U202" s="754"/>
      <c r="V202" s="754"/>
      <c r="W202" s="754"/>
      <c r="X202" s="754"/>
      <c r="Y202" s="754"/>
      <c r="Z202" s="754"/>
      <c r="AA202" s="754"/>
      <c r="AB202" s="754"/>
      <c r="AC202" s="754"/>
      <c r="AD202" s="754"/>
      <c r="AE202" s="754"/>
    </row>
    <row r="203" ht="15.75" customHeight="1">
      <c r="A203" s="759">
        <v>44160.0</v>
      </c>
      <c r="B203" s="760" t="s">
        <v>2811</v>
      </c>
      <c r="C203" s="761" t="s">
        <v>2376</v>
      </c>
      <c r="D203" s="745" t="s">
        <v>5903</v>
      </c>
      <c r="E203" s="757">
        <v>112433.37</v>
      </c>
      <c r="F203" s="745" t="s">
        <v>2810</v>
      </c>
      <c r="G203" s="755" t="s">
        <v>2379</v>
      </c>
      <c r="H203" s="755" t="s">
        <v>29</v>
      </c>
      <c r="I203" s="755" t="s">
        <v>2380</v>
      </c>
      <c r="J203" s="755">
        <v>43703.0</v>
      </c>
      <c r="K203" s="758" t="s">
        <v>4033</v>
      </c>
      <c r="L203" s="754"/>
      <c r="M203" s="754"/>
      <c r="N203" s="754"/>
      <c r="O203" s="754"/>
      <c r="P203" s="754"/>
      <c r="Q203" s="754"/>
      <c r="R203" s="754"/>
      <c r="S203" s="754"/>
      <c r="T203" s="754"/>
      <c r="U203" s="754"/>
      <c r="V203" s="754"/>
      <c r="W203" s="754"/>
      <c r="X203" s="754"/>
      <c r="Y203" s="754"/>
      <c r="Z203" s="754"/>
      <c r="AA203" s="754"/>
      <c r="AB203" s="754"/>
      <c r="AC203" s="754"/>
      <c r="AD203" s="754"/>
      <c r="AE203" s="754"/>
    </row>
    <row r="204" ht="15.75" customHeight="1">
      <c r="A204" s="759">
        <v>44161.0</v>
      </c>
      <c r="B204" s="760" t="s">
        <v>5917</v>
      </c>
      <c r="C204" s="761" t="s">
        <v>3642</v>
      </c>
      <c r="D204" s="745" t="s">
        <v>5903</v>
      </c>
      <c r="E204" s="757">
        <v>286876.16</v>
      </c>
      <c r="F204" s="745" t="s">
        <v>4700</v>
      </c>
      <c r="G204" s="745" t="s">
        <v>2379</v>
      </c>
      <c r="H204" s="745" t="s">
        <v>29</v>
      </c>
      <c r="I204" s="745" t="s">
        <v>2379</v>
      </c>
      <c r="J204" s="755">
        <v>44068.0</v>
      </c>
      <c r="K204" s="762" t="s">
        <v>3651</v>
      </c>
      <c r="L204" s="754"/>
      <c r="M204" s="754"/>
      <c r="N204" s="754"/>
      <c r="O204" s="754"/>
      <c r="P204" s="754"/>
      <c r="Q204" s="754"/>
      <c r="R204" s="754"/>
      <c r="S204" s="754"/>
      <c r="T204" s="754"/>
      <c r="U204" s="754"/>
      <c r="V204" s="754"/>
      <c r="W204" s="754"/>
      <c r="X204" s="754"/>
      <c r="Y204" s="754"/>
      <c r="Z204" s="754"/>
      <c r="AA204" s="754"/>
      <c r="AB204" s="754"/>
      <c r="AC204" s="754"/>
      <c r="AD204" s="754"/>
      <c r="AE204" s="754"/>
    </row>
    <row r="205" ht="15.75" customHeight="1">
      <c r="A205" s="759">
        <v>44165.0</v>
      </c>
      <c r="B205" s="760" t="s">
        <v>3416</v>
      </c>
      <c r="C205" s="761" t="s">
        <v>2376</v>
      </c>
      <c r="D205" s="745" t="s">
        <v>5903</v>
      </c>
      <c r="E205" s="757">
        <v>34941.81</v>
      </c>
      <c r="F205" s="745" t="s">
        <v>3415</v>
      </c>
      <c r="G205" s="755" t="s">
        <v>2379</v>
      </c>
      <c r="H205" s="755" t="s">
        <v>29</v>
      </c>
      <c r="I205" s="755" t="s">
        <v>2380</v>
      </c>
      <c r="J205" s="755">
        <v>43567.0</v>
      </c>
      <c r="K205" s="758" t="s">
        <v>3651</v>
      </c>
      <c r="L205" s="754"/>
      <c r="M205" s="754"/>
      <c r="N205" s="754"/>
      <c r="O205" s="754"/>
      <c r="P205" s="754"/>
      <c r="Q205" s="754"/>
      <c r="R205" s="754"/>
      <c r="S205" s="754"/>
      <c r="T205" s="754"/>
      <c r="U205" s="754"/>
      <c r="V205" s="754"/>
      <c r="W205" s="754"/>
      <c r="X205" s="754"/>
      <c r="Y205" s="754"/>
      <c r="Z205" s="754"/>
      <c r="AA205" s="754"/>
      <c r="AB205" s="754"/>
      <c r="AC205" s="754"/>
      <c r="AD205" s="754"/>
      <c r="AE205" s="754"/>
    </row>
    <row r="206" ht="15.75" customHeight="1">
      <c r="A206" s="759">
        <v>44166.0</v>
      </c>
      <c r="B206" s="760" t="s">
        <v>3272</v>
      </c>
      <c r="C206" s="761" t="s">
        <v>2376</v>
      </c>
      <c r="D206" s="745" t="s">
        <v>5903</v>
      </c>
      <c r="E206" s="757">
        <v>130950.51000000001</v>
      </c>
      <c r="F206" s="745" t="s">
        <v>3271</v>
      </c>
      <c r="G206" s="755" t="s">
        <v>2379</v>
      </c>
      <c r="H206" s="755" t="s">
        <v>29</v>
      </c>
      <c r="I206" s="755" t="s">
        <v>2380</v>
      </c>
      <c r="J206" s="755">
        <v>43675.0</v>
      </c>
      <c r="K206" s="758" t="s">
        <v>4033</v>
      </c>
      <c r="L206" s="754"/>
      <c r="M206" s="754"/>
      <c r="N206" s="754"/>
      <c r="O206" s="754"/>
      <c r="P206" s="754"/>
      <c r="Q206" s="754"/>
      <c r="R206" s="754"/>
      <c r="S206" s="754"/>
      <c r="T206" s="754"/>
      <c r="U206" s="754"/>
      <c r="V206" s="754"/>
      <c r="W206" s="754"/>
      <c r="X206" s="754"/>
      <c r="Y206" s="754"/>
      <c r="Z206" s="754"/>
      <c r="AA206" s="754"/>
      <c r="AB206" s="754"/>
      <c r="AC206" s="754"/>
      <c r="AD206" s="754"/>
      <c r="AE206" s="754"/>
    </row>
    <row r="207" ht="15.75" customHeight="1">
      <c r="A207" s="759">
        <v>44166.0</v>
      </c>
      <c r="B207" s="760" t="s">
        <v>3342</v>
      </c>
      <c r="C207" s="761" t="s">
        <v>2376</v>
      </c>
      <c r="D207" s="745" t="s">
        <v>5903</v>
      </c>
      <c r="E207" s="757">
        <v>10000.0</v>
      </c>
      <c r="F207" s="745" t="s">
        <v>3341</v>
      </c>
      <c r="G207" s="755" t="s">
        <v>2379</v>
      </c>
      <c r="H207" s="755" t="s">
        <v>29</v>
      </c>
      <c r="I207" s="755" t="s">
        <v>2380</v>
      </c>
      <c r="J207" s="755">
        <v>43717.0</v>
      </c>
      <c r="K207" s="758" t="s">
        <v>4033</v>
      </c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754"/>
      <c r="X207" s="754"/>
      <c r="Y207" s="754"/>
      <c r="Z207" s="754"/>
      <c r="AA207" s="754"/>
      <c r="AB207" s="754"/>
      <c r="AC207" s="754"/>
      <c r="AD207" s="754"/>
      <c r="AE207" s="754"/>
    </row>
    <row r="208" ht="15.75" customHeight="1">
      <c r="A208" s="759">
        <v>44172.0</v>
      </c>
      <c r="B208" s="763" t="s">
        <v>2770</v>
      </c>
      <c r="C208" s="761" t="s">
        <v>2376</v>
      </c>
      <c r="D208" s="745" t="s">
        <v>5903</v>
      </c>
      <c r="E208" s="757">
        <v>5500.0</v>
      </c>
      <c r="F208" s="745" t="s">
        <v>2769</v>
      </c>
      <c r="G208" s="755" t="s">
        <v>2379</v>
      </c>
      <c r="H208" s="755" t="s">
        <v>29</v>
      </c>
      <c r="I208" s="755" t="s">
        <v>2380</v>
      </c>
      <c r="J208" s="755">
        <v>43888.0</v>
      </c>
      <c r="K208" s="758" t="s">
        <v>3651</v>
      </c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754"/>
      <c r="X208" s="754"/>
      <c r="Y208" s="754"/>
      <c r="Z208" s="754"/>
      <c r="AA208" s="754"/>
      <c r="AB208" s="754"/>
      <c r="AC208" s="754"/>
      <c r="AD208" s="754"/>
      <c r="AE208" s="754"/>
    </row>
    <row r="209" ht="15.75" customHeight="1">
      <c r="A209" s="759">
        <v>44172.0</v>
      </c>
      <c r="B209" s="760" t="s">
        <v>2885</v>
      </c>
      <c r="C209" s="761" t="s">
        <v>2376</v>
      </c>
      <c r="D209" s="745" t="s">
        <v>5903</v>
      </c>
      <c r="E209" s="757">
        <v>35000.0</v>
      </c>
      <c r="F209" s="745" t="s">
        <v>2884</v>
      </c>
      <c r="G209" s="755" t="s">
        <v>2379</v>
      </c>
      <c r="H209" s="755" t="s">
        <v>29</v>
      </c>
      <c r="I209" s="755" t="s">
        <v>2392</v>
      </c>
      <c r="J209" s="755">
        <v>43559.0</v>
      </c>
      <c r="K209" s="758" t="s">
        <v>4033</v>
      </c>
      <c r="L209" s="754"/>
      <c r="M209" s="754"/>
      <c r="N209" s="754"/>
      <c r="O209" s="754"/>
      <c r="P209" s="754"/>
      <c r="Q209" s="754"/>
      <c r="R209" s="754"/>
      <c r="S209" s="754"/>
      <c r="T209" s="754"/>
      <c r="U209" s="754"/>
      <c r="V209" s="754"/>
      <c r="W209" s="754"/>
      <c r="X209" s="754"/>
      <c r="Y209" s="754"/>
      <c r="Z209" s="754"/>
      <c r="AA209" s="754"/>
      <c r="AB209" s="754"/>
      <c r="AC209" s="754"/>
      <c r="AD209" s="754"/>
      <c r="AE209" s="754"/>
    </row>
    <row r="210" ht="15.75" customHeight="1">
      <c r="A210" s="759">
        <v>44173.0</v>
      </c>
      <c r="B210" s="760" t="s">
        <v>3114</v>
      </c>
      <c r="C210" s="761" t="s">
        <v>2376</v>
      </c>
      <c r="D210" s="745" t="s">
        <v>5903</v>
      </c>
      <c r="E210" s="757">
        <v>100000.0</v>
      </c>
      <c r="F210" s="745" t="s">
        <v>3113</v>
      </c>
      <c r="G210" s="755" t="s">
        <v>2379</v>
      </c>
      <c r="H210" s="755" t="s">
        <v>29</v>
      </c>
      <c r="I210" s="755" t="s">
        <v>2380</v>
      </c>
      <c r="J210" s="755">
        <v>43922.0</v>
      </c>
      <c r="K210" s="758" t="s">
        <v>3660</v>
      </c>
      <c r="L210" s="754"/>
      <c r="M210" s="754"/>
      <c r="N210" s="754"/>
      <c r="O210" s="754"/>
      <c r="P210" s="754"/>
      <c r="Q210" s="754"/>
      <c r="R210" s="754"/>
      <c r="S210" s="754"/>
      <c r="T210" s="754"/>
      <c r="U210" s="754"/>
      <c r="V210" s="754"/>
      <c r="W210" s="754"/>
      <c r="X210" s="754"/>
      <c r="Y210" s="754"/>
      <c r="Z210" s="754"/>
      <c r="AA210" s="754"/>
      <c r="AB210" s="754"/>
      <c r="AC210" s="754"/>
      <c r="AD210" s="754"/>
      <c r="AE210" s="754"/>
    </row>
    <row r="211" ht="15.75" customHeight="1">
      <c r="A211" s="759">
        <v>44173.0</v>
      </c>
      <c r="B211" s="760" t="s">
        <v>3114</v>
      </c>
      <c r="C211" s="761" t="s">
        <v>2376</v>
      </c>
      <c r="D211" s="745" t="s">
        <v>5903</v>
      </c>
      <c r="E211" s="757">
        <v>32772.8</v>
      </c>
      <c r="F211" s="745" t="s">
        <v>3113</v>
      </c>
      <c r="G211" s="755" t="s">
        <v>2379</v>
      </c>
      <c r="H211" s="755" t="s">
        <v>29</v>
      </c>
      <c r="I211" s="755" t="s">
        <v>2380</v>
      </c>
      <c r="J211" s="755">
        <v>43922.0</v>
      </c>
      <c r="K211" s="758" t="s">
        <v>3660</v>
      </c>
      <c r="L211" s="754"/>
      <c r="M211" s="754"/>
      <c r="N211" s="754"/>
      <c r="O211" s="754"/>
      <c r="P211" s="754"/>
      <c r="Q211" s="754"/>
      <c r="R211" s="754"/>
      <c r="S211" s="754"/>
      <c r="T211" s="754"/>
      <c r="U211" s="754"/>
      <c r="V211" s="754"/>
      <c r="W211" s="754"/>
      <c r="X211" s="754"/>
      <c r="Y211" s="754"/>
      <c r="Z211" s="754"/>
      <c r="AA211" s="754"/>
      <c r="AB211" s="754"/>
      <c r="AC211" s="754"/>
      <c r="AD211" s="754"/>
      <c r="AE211" s="754"/>
    </row>
    <row r="212" ht="15.75" customHeight="1">
      <c r="A212" s="759">
        <v>44173.0</v>
      </c>
      <c r="B212" s="760" t="s">
        <v>3114</v>
      </c>
      <c r="C212" s="761" t="s">
        <v>2376</v>
      </c>
      <c r="D212" s="745" t="s">
        <v>5903</v>
      </c>
      <c r="E212" s="757">
        <v>13100.45</v>
      </c>
      <c r="F212" s="745" t="s">
        <v>3113</v>
      </c>
      <c r="G212" s="755" t="s">
        <v>2379</v>
      </c>
      <c r="H212" s="755" t="s">
        <v>29</v>
      </c>
      <c r="I212" s="755" t="s">
        <v>2380</v>
      </c>
      <c r="J212" s="755">
        <v>43922.0</v>
      </c>
      <c r="K212" s="758" t="s">
        <v>3660</v>
      </c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54"/>
      <c r="AB212" s="754"/>
      <c r="AC212" s="754"/>
      <c r="AD212" s="754"/>
      <c r="AE212" s="754"/>
    </row>
    <row r="213" ht="15.75" customHeight="1">
      <c r="A213" s="759">
        <v>44173.0</v>
      </c>
      <c r="B213" s="760" t="s">
        <v>3114</v>
      </c>
      <c r="C213" s="761" t="s">
        <v>2376</v>
      </c>
      <c r="D213" s="745" t="s">
        <v>5903</v>
      </c>
      <c r="E213" s="757">
        <v>40379.75</v>
      </c>
      <c r="F213" s="745" t="s">
        <v>3113</v>
      </c>
      <c r="G213" s="755" t="s">
        <v>2379</v>
      </c>
      <c r="H213" s="755" t="s">
        <v>29</v>
      </c>
      <c r="I213" s="755" t="s">
        <v>2380</v>
      </c>
      <c r="J213" s="755">
        <v>43922.0</v>
      </c>
      <c r="K213" s="758" t="s">
        <v>3660</v>
      </c>
      <c r="L213" s="754"/>
      <c r="M213" s="754"/>
      <c r="N213" s="754"/>
      <c r="O213" s="754"/>
      <c r="P213" s="754"/>
      <c r="Q213" s="754"/>
      <c r="R213" s="754"/>
      <c r="S213" s="754"/>
      <c r="T213" s="754"/>
      <c r="U213" s="754"/>
      <c r="V213" s="754"/>
      <c r="W213" s="754"/>
      <c r="X213" s="754"/>
      <c r="Y213" s="754"/>
      <c r="Z213" s="754"/>
      <c r="AA213" s="754"/>
      <c r="AB213" s="754"/>
      <c r="AC213" s="754"/>
      <c r="AD213" s="754"/>
      <c r="AE213" s="754"/>
    </row>
    <row r="214" ht="15.75" customHeight="1">
      <c r="A214" s="759">
        <v>44174.0</v>
      </c>
      <c r="B214" s="760" t="s">
        <v>2811</v>
      </c>
      <c r="C214" s="761" t="s">
        <v>2376</v>
      </c>
      <c r="D214" s="745" t="s">
        <v>5903</v>
      </c>
      <c r="E214" s="757">
        <v>8747.0</v>
      </c>
      <c r="F214" s="745" t="s">
        <v>2810</v>
      </c>
      <c r="G214" s="755" t="s">
        <v>2379</v>
      </c>
      <c r="H214" s="755" t="s">
        <v>29</v>
      </c>
      <c r="I214" s="755" t="s">
        <v>2380</v>
      </c>
      <c r="J214" s="755">
        <v>43703.0</v>
      </c>
      <c r="K214" s="758" t="s">
        <v>4033</v>
      </c>
      <c r="L214" s="754"/>
      <c r="M214" s="754"/>
      <c r="N214" s="754"/>
      <c r="O214" s="754"/>
      <c r="P214" s="754"/>
      <c r="Q214" s="754"/>
      <c r="R214" s="754"/>
      <c r="S214" s="754"/>
      <c r="T214" s="754"/>
      <c r="U214" s="754"/>
      <c r="V214" s="754"/>
      <c r="W214" s="754"/>
      <c r="X214" s="754"/>
      <c r="Y214" s="754"/>
      <c r="Z214" s="754"/>
      <c r="AA214" s="754"/>
      <c r="AB214" s="754"/>
      <c r="AC214" s="754"/>
      <c r="AD214" s="754"/>
      <c r="AE214" s="754"/>
    </row>
    <row r="215" ht="15.75" customHeight="1">
      <c r="A215" s="759">
        <v>44174.0</v>
      </c>
      <c r="B215" s="760" t="s">
        <v>2811</v>
      </c>
      <c r="C215" s="761" t="s">
        <v>2376</v>
      </c>
      <c r="D215" s="745" t="s">
        <v>5903</v>
      </c>
      <c r="E215" s="757">
        <v>10000.0</v>
      </c>
      <c r="F215" s="745" t="s">
        <v>2810</v>
      </c>
      <c r="G215" s="755" t="s">
        <v>2379</v>
      </c>
      <c r="H215" s="755" t="s">
        <v>29</v>
      </c>
      <c r="I215" s="755" t="s">
        <v>2380</v>
      </c>
      <c r="J215" s="755">
        <v>43703.0</v>
      </c>
      <c r="K215" s="758" t="s">
        <v>4033</v>
      </c>
      <c r="L215" s="754"/>
      <c r="M215" s="754"/>
      <c r="N215" s="754"/>
      <c r="O215" s="754"/>
      <c r="P215" s="754"/>
      <c r="Q215" s="754"/>
      <c r="R215" s="754"/>
      <c r="S215" s="754"/>
      <c r="T215" s="754"/>
      <c r="U215" s="754"/>
      <c r="V215" s="754"/>
      <c r="W215" s="754"/>
      <c r="X215" s="754"/>
      <c r="Y215" s="754"/>
      <c r="Z215" s="754"/>
      <c r="AA215" s="754"/>
      <c r="AB215" s="754"/>
      <c r="AC215" s="754"/>
      <c r="AD215" s="754"/>
      <c r="AE215" s="754"/>
    </row>
    <row r="216" ht="15.75" customHeight="1">
      <c r="A216" s="759">
        <v>44174.0</v>
      </c>
      <c r="B216" s="760" t="s">
        <v>2777</v>
      </c>
      <c r="C216" s="761" t="s">
        <v>2376</v>
      </c>
      <c r="D216" s="745" t="s">
        <v>5903</v>
      </c>
      <c r="E216" s="757">
        <v>20000.0</v>
      </c>
      <c r="F216" s="745" t="s">
        <v>2776</v>
      </c>
      <c r="G216" s="755" t="s">
        <v>2379</v>
      </c>
      <c r="H216" s="755" t="s">
        <v>29</v>
      </c>
      <c r="I216" s="755" t="s">
        <v>2392</v>
      </c>
      <c r="J216" s="755">
        <v>43531.0</v>
      </c>
      <c r="K216" s="758" t="s">
        <v>3664</v>
      </c>
      <c r="L216" s="754"/>
      <c r="M216" s="754"/>
      <c r="N216" s="754"/>
      <c r="O216" s="754"/>
      <c r="P216" s="754"/>
      <c r="Q216" s="754"/>
      <c r="R216" s="754"/>
      <c r="S216" s="754"/>
      <c r="T216" s="754"/>
      <c r="U216" s="754"/>
      <c r="V216" s="754"/>
      <c r="W216" s="754"/>
      <c r="X216" s="754"/>
      <c r="Y216" s="754"/>
      <c r="Z216" s="754"/>
      <c r="AA216" s="754"/>
      <c r="AB216" s="754"/>
      <c r="AC216" s="754"/>
      <c r="AD216" s="754"/>
      <c r="AE216" s="754"/>
    </row>
    <row r="217" ht="15.75" customHeight="1">
      <c r="A217" s="759">
        <v>44174.0</v>
      </c>
      <c r="B217" s="760" t="s">
        <v>2777</v>
      </c>
      <c r="C217" s="761" t="s">
        <v>2376</v>
      </c>
      <c r="D217" s="745" t="s">
        <v>5903</v>
      </c>
      <c r="E217" s="757">
        <v>20000.0</v>
      </c>
      <c r="F217" s="745" t="s">
        <v>2776</v>
      </c>
      <c r="G217" s="755" t="s">
        <v>2379</v>
      </c>
      <c r="H217" s="755" t="s">
        <v>29</v>
      </c>
      <c r="I217" s="755" t="s">
        <v>2392</v>
      </c>
      <c r="J217" s="755">
        <v>43531.0</v>
      </c>
      <c r="K217" s="758" t="s">
        <v>3664</v>
      </c>
      <c r="L217" s="754"/>
      <c r="M217" s="754"/>
      <c r="N217" s="754"/>
      <c r="O217" s="754"/>
      <c r="P217" s="754"/>
      <c r="Q217" s="754"/>
      <c r="R217" s="754"/>
      <c r="S217" s="754"/>
      <c r="T217" s="754"/>
      <c r="U217" s="754"/>
      <c r="V217" s="754"/>
      <c r="W217" s="754"/>
      <c r="X217" s="754"/>
      <c r="Y217" s="754"/>
      <c r="Z217" s="754"/>
      <c r="AA217" s="754"/>
      <c r="AB217" s="754"/>
      <c r="AC217" s="754"/>
      <c r="AD217" s="754"/>
      <c r="AE217" s="754"/>
    </row>
    <row r="218" ht="15.75" customHeight="1">
      <c r="A218" s="759">
        <v>44175.0</v>
      </c>
      <c r="B218" s="760" t="s">
        <v>3546</v>
      </c>
      <c r="C218" s="761" t="s">
        <v>3458</v>
      </c>
      <c r="D218" s="745" t="s">
        <v>5903</v>
      </c>
      <c r="E218" s="757">
        <v>28000.0</v>
      </c>
      <c r="F218" s="745" t="s">
        <v>3545</v>
      </c>
      <c r="G218" s="755" t="s">
        <v>18</v>
      </c>
      <c r="H218" s="755" t="s">
        <v>29</v>
      </c>
      <c r="I218" s="755" t="s">
        <v>2052</v>
      </c>
      <c r="J218" s="755">
        <v>43797.0</v>
      </c>
      <c r="K218" s="758" t="s">
        <v>3660</v>
      </c>
      <c r="L218" s="754"/>
      <c r="M218" s="754"/>
      <c r="N218" s="754"/>
      <c r="O218" s="754"/>
      <c r="P218" s="754"/>
      <c r="Q218" s="754"/>
      <c r="R218" s="754"/>
      <c r="S218" s="754"/>
      <c r="T218" s="754"/>
      <c r="U218" s="754"/>
      <c r="V218" s="754"/>
      <c r="W218" s="754"/>
      <c r="X218" s="754"/>
      <c r="Y218" s="754"/>
      <c r="Z218" s="754"/>
      <c r="AA218" s="754"/>
      <c r="AB218" s="754"/>
      <c r="AC218" s="754"/>
      <c r="AD218" s="754"/>
      <c r="AE218" s="754"/>
    </row>
    <row r="219" ht="15.75" customHeight="1">
      <c r="A219" s="759">
        <v>44175.0</v>
      </c>
      <c r="B219" s="760" t="s">
        <v>3546</v>
      </c>
      <c r="C219" s="761" t="s">
        <v>3458</v>
      </c>
      <c r="D219" s="745" t="s">
        <v>5903</v>
      </c>
      <c r="E219" s="757">
        <v>25000.0</v>
      </c>
      <c r="F219" s="745" t="s">
        <v>3545</v>
      </c>
      <c r="G219" s="755" t="s">
        <v>18</v>
      </c>
      <c r="H219" s="755" t="s">
        <v>29</v>
      </c>
      <c r="I219" s="755" t="s">
        <v>2052</v>
      </c>
      <c r="J219" s="755">
        <v>43797.0</v>
      </c>
      <c r="K219" s="758" t="s">
        <v>3660</v>
      </c>
      <c r="L219" s="754"/>
      <c r="M219" s="754"/>
      <c r="N219" s="754"/>
      <c r="O219" s="754"/>
      <c r="P219" s="754"/>
      <c r="Q219" s="754"/>
      <c r="R219" s="754"/>
      <c r="S219" s="754"/>
      <c r="T219" s="754"/>
      <c r="U219" s="754"/>
      <c r="V219" s="754"/>
      <c r="W219" s="754"/>
      <c r="X219" s="754"/>
      <c r="Y219" s="754"/>
      <c r="Z219" s="754"/>
      <c r="AA219" s="754"/>
      <c r="AB219" s="754"/>
      <c r="AC219" s="754"/>
      <c r="AD219" s="754"/>
      <c r="AE219" s="754"/>
    </row>
    <row r="220" ht="15.75" customHeight="1">
      <c r="A220" s="759">
        <v>44175.0</v>
      </c>
      <c r="B220" s="760" t="s">
        <v>3546</v>
      </c>
      <c r="C220" s="761" t="s">
        <v>3458</v>
      </c>
      <c r="D220" s="745" t="s">
        <v>5903</v>
      </c>
      <c r="E220" s="757">
        <v>43000.0</v>
      </c>
      <c r="F220" s="745" t="s">
        <v>3545</v>
      </c>
      <c r="G220" s="755" t="s">
        <v>18</v>
      </c>
      <c r="H220" s="755" t="s">
        <v>29</v>
      </c>
      <c r="I220" s="755" t="s">
        <v>2052</v>
      </c>
      <c r="J220" s="755">
        <v>43797.0</v>
      </c>
      <c r="K220" s="758" t="s">
        <v>3660</v>
      </c>
      <c r="L220" s="754"/>
      <c r="M220" s="754"/>
      <c r="N220" s="754"/>
      <c r="O220" s="754"/>
      <c r="P220" s="754"/>
      <c r="Q220" s="754"/>
      <c r="R220" s="754"/>
      <c r="S220" s="754"/>
      <c r="T220" s="754"/>
      <c r="U220" s="754"/>
      <c r="V220" s="754"/>
      <c r="W220" s="754"/>
      <c r="X220" s="754"/>
      <c r="Y220" s="754"/>
      <c r="Z220" s="754"/>
      <c r="AA220" s="754"/>
      <c r="AB220" s="754"/>
      <c r="AC220" s="754"/>
      <c r="AD220" s="754"/>
      <c r="AE220" s="754"/>
    </row>
    <row r="221" ht="15.75" customHeight="1">
      <c r="A221" s="759">
        <v>44175.0</v>
      </c>
      <c r="B221" s="760" t="s">
        <v>3546</v>
      </c>
      <c r="C221" s="761" t="s">
        <v>3458</v>
      </c>
      <c r="D221" s="745" t="s">
        <v>5903</v>
      </c>
      <c r="E221" s="757">
        <v>200000.0</v>
      </c>
      <c r="F221" s="745" t="s">
        <v>3545</v>
      </c>
      <c r="G221" s="755" t="s">
        <v>18</v>
      </c>
      <c r="H221" s="755" t="s">
        <v>29</v>
      </c>
      <c r="I221" s="755" t="s">
        <v>2052</v>
      </c>
      <c r="J221" s="755">
        <v>43797.0</v>
      </c>
      <c r="K221" s="758" t="s">
        <v>3660</v>
      </c>
      <c r="L221" s="754"/>
      <c r="M221" s="754"/>
      <c r="N221" s="754"/>
      <c r="O221" s="754"/>
      <c r="P221" s="754"/>
      <c r="Q221" s="754"/>
      <c r="R221" s="754"/>
      <c r="S221" s="754"/>
      <c r="T221" s="754"/>
      <c r="U221" s="754"/>
      <c r="V221" s="754"/>
      <c r="W221" s="754"/>
      <c r="X221" s="754"/>
      <c r="Y221" s="754"/>
      <c r="Z221" s="754"/>
      <c r="AA221" s="754"/>
      <c r="AB221" s="754"/>
      <c r="AC221" s="754"/>
      <c r="AD221" s="754"/>
      <c r="AE221" s="754"/>
    </row>
    <row r="222" ht="15.75" customHeight="1">
      <c r="A222" s="759">
        <v>44179.0</v>
      </c>
      <c r="B222" s="766" t="s">
        <v>2885</v>
      </c>
      <c r="C222" s="761" t="s">
        <v>2376</v>
      </c>
      <c r="D222" s="745" t="s">
        <v>5903</v>
      </c>
      <c r="E222" s="757">
        <v>25000.0</v>
      </c>
      <c r="F222" s="745" t="s">
        <v>2884</v>
      </c>
      <c r="G222" s="755" t="s">
        <v>2379</v>
      </c>
      <c r="H222" s="755" t="s">
        <v>29</v>
      </c>
      <c r="I222" s="755" t="s">
        <v>2392</v>
      </c>
      <c r="J222" s="755">
        <v>43559.0</v>
      </c>
      <c r="K222" s="758" t="s">
        <v>4033</v>
      </c>
      <c r="L222" s="754"/>
      <c r="M222" s="754"/>
      <c r="N222" s="754"/>
      <c r="O222" s="754"/>
      <c r="P222" s="754"/>
      <c r="Q222" s="754"/>
      <c r="R222" s="754"/>
      <c r="S222" s="754"/>
      <c r="T222" s="754"/>
      <c r="U222" s="754"/>
      <c r="V222" s="754"/>
      <c r="W222" s="754"/>
      <c r="X222" s="754"/>
      <c r="Y222" s="754"/>
      <c r="Z222" s="754"/>
      <c r="AA222" s="754"/>
      <c r="AB222" s="754"/>
      <c r="AC222" s="754"/>
      <c r="AD222" s="754"/>
      <c r="AE222" s="754"/>
    </row>
    <row r="223" ht="15.75" customHeight="1">
      <c r="A223" s="759">
        <v>44179.0</v>
      </c>
      <c r="B223" s="760" t="s">
        <v>3073</v>
      </c>
      <c r="C223" s="761" t="s">
        <v>2376</v>
      </c>
      <c r="D223" s="745" t="s">
        <v>5903</v>
      </c>
      <c r="E223" s="757">
        <v>14000.0</v>
      </c>
      <c r="F223" s="745" t="s">
        <v>3072</v>
      </c>
      <c r="G223" s="755" t="s">
        <v>2379</v>
      </c>
      <c r="H223" s="755" t="s">
        <v>29</v>
      </c>
      <c r="I223" s="755" t="s">
        <v>2380</v>
      </c>
      <c r="J223" s="755">
        <v>43564.0</v>
      </c>
      <c r="K223" s="758" t="s">
        <v>3664</v>
      </c>
      <c r="L223" s="754"/>
      <c r="M223" s="754"/>
      <c r="N223" s="754"/>
      <c r="O223" s="754"/>
      <c r="P223" s="754"/>
      <c r="Q223" s="754"/>
      <c r="R223" s="754"/>
      <c r="S223" s="754"/>
      <c r="T223" s="754"/>
      <c r="U223" s="754"/>
      <c r="V223" s="754"/>
      <c r="W223" s="754"/>
      <c r="X223" s="754"/>
      <c r="Y223" s="754"/>
      <c r="Z223" s="754"/>
      <c r="AA223" s="754"/>
      <c r="AB223" s="754"/>
      <c r="AC223" s="754"/>
      <c r="AD223" s="754"/>
      <c r="AE223" s="754"/>
    </row>
    <row r="224" ht="15.75" customHeight="1">
      <c r="A224" s="759">
        <v>44180.0</v>
      </c>
      <c r="B224" s="760" t="s">
        <v>5904</v>
      </c>
      <c r="C224" s="761" t="s">
        <v>3642</v>
      </c>
      <c r="D224" s="745" t="s">
        <v>5903</v>
      </c>
      <c r="E224" s="757">
        <v>153000.0</v>
      </c>
      <c r="F224" s="745" t="s">
        <v>4889</v>
      </c>
      <c r="G224" s="745" t="s">
        <v>2379</v>
      </c>
      <c r="H224" s="745" t="s">
        <v>29</v>
      </c>
      <c r="I224" s="745" t="s">
        <v>2379</v>
      </c>
      <c r="J224" s="755">
        <v>43749.0</v>
      </c>
      <c r="K224" s="762" t="s">
        <v>4033</v>
      </c>
      <c r="L224" s="754"/>
      <c r="M224" s="754"/>
      <c r="N224" s="754"/>
      <c r="O224" s="754"/>
      <c r="P224" s="754"/>
      <c r="Q224" s="754"/>
      <c r="R224" s="754"/>
      <c r="S224" s="754"/>
      <c r="T224" s="754"/>
      <c r="U224" s="754"/>
      <c r="V224" s="754"/>
      <c r="W224" s="754"/>
      <c r="X224" s="754"/>
      <c r="Y224" s="754"/>
      <c r="Z224" s="754"/>
      <c r="AA224" s="754"/>
      <c r="AB224" s="754"/>
      <c r="AC224" s="754"/>
      <c r="AD224" s="754"/>
      <c r="AE224" s="754"/>
    </row>
    <row r="225" ht="15.75" customHeight="1">
      <c r="A225" s="755">
        <v>44181.0</v>
      </c>
      <c r="B225" s="767" t="s">
        <v>2488</v>
      </c>
      <c r="C225" s="745" t="s">
        <v>2376</v>
      </c>
      <c r="D225" s="745" t="s">
        <v>5902</v>
      </c>
      <c r="E225" s="757">
        <v>268845.87</v>
      </c>
      <c r="F225" s="745" t="s">
        <v>2487</v>
      </c>
      <c r="G225" s="755" t="s">
        <v>2489</v>
      </c>
      <c r="H225" s="755" t="s">
        <v>29</v>
      </c>
      <c r="I225" s="755" t="s">
        <v>2489</v>
      </c>
      <c r="J225" s="755">
        <v>43563.0</v>
      </c>
      <c r="K225" s="758" t="s">
        <v>3664</v>
      </c>
      <c r="L225" s="754"/>
      <c r="M225" s="754"/>
      <c r="N225" s="754"/>
      <c r="O225" s="754"/>
      <c r="P225" s="754"/>
      <c r="Q225" s="754"/>
      <c r="R225" s="754"/>
      <c r="S225" s="754"/>
      <c r="T225" s="754"/>
      <c r="U225" s="754"/>
      <c r="V225" s="754"/>
      <c r="W225" s="754"/>
      <c r="X225" s="754"/>
      <c r="Y225" s="754"/>
      <c r="Z225" s="754"/>
      <c r="AA225" s="754"/>
      <c r="AB225" s="754"/>
      <c r="AC225" s="754"/>
      <c r="AD225" s="754"/>
      <c r="AE225" s="754"/>
    </row>
    <row r="226" ht="15.75" customHeight="1">
      <c r="A226" s="759">
        <v>44182.0</v>
      </c>
      <c r="B226" s="760" t="s">
        <v>2931</v>
      </c>
      <c r="C226" s="761" t="s">
        <v>2376</v>
      </c>
      <c r="D226" s="745" t="s">
        <v>5903</v>
      </c>
      <c r="E226" s="757">
        <v>7000.0</v>
      </c>
      <c r="F226" s="745" t="s">
        <v>2930</v>
      </c>
      <c r="G226" s="755" t="s">
        <v>2379</v>
      </c>
      <c r="H226" s="755" t="s">
        <v>29</v>
      </c>
      <c r="I226" s="755" t="s">
        <v>2380</v>
      </c>
      <c r="J226" s="755">
        <v>43711.0</v>
      </c>
      <c r="K226" s="758" t="s">
        <v>4033</v>
      </c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54"/>
      <c r="AB226" s="754"/>
      <c r="AC226" s="754"/>
      <c r="AD226" s="754"/>
      <c r="AE226" s="754"/>
    </row>
    <row r="227" ht="15.75" customHeight="1">
      <c r="A227" s="759">
        <v>44186.0</v>
      </c>
      <c r="B227" s="766" t="s">
        <v>2870</v>
      </c>
      <c r="C227" s="761" t="s">
        <v>2376</v>
      </c>
      <c r="D227" s="745" t="s">
        <v>5903</v>
      </c>
      <c r="E227" s="757">
        <v>25000.0</v>
      </c>
      <c r="F227" s="745" t="s">
        <v>2869</v>
      </c>
      <c r="G227" s="755" t="s">
        <v>2379</v>
      </c>
      <c r="H227" s="755" t="s">
        <v>29</v>
      </c>
      <c r="I227" s="755" t="s">
        <v>2380</v>
      </c>
      <c r="J227" s="755">
        <v>43605.0</v>
      </c>
      <c r="K227" s="758" t="s">
        <v>3660</v>
      </c>
      <c r="L227" s="754"/>
      <c r="M227" s="754"/>
      <c r="N227" s="754"/>
      <c r="O227" s="754"/>
      <c r="P227" s="754"/>
      <c r="Q227" s="754"/>
      <c r="R227" s="754"/>
      <c r="S227" s="754"/>
      <c r="T227" s="754"/>
      <c r="U227" s="754"/>
      <c r="V227" s="754"/>
      <c r="W227" s="754"/>
      <c r="X227" s="754"/>
      <c r="Y227" s="754"/>
      <c r="Z227" s="754"/>
      <c r="AA227" s="754"/>
      <c r="AB227" s="754"/>
      <c r="AC227" s="754"/>
      <c r="AD227" s="754"/>
      <c r="AE227" s="754"/>
    </row>
    <row r="228" ht="15.75" customHeight="1">
      <c r="A228" s="759">
        <v>44186.0</v>
      </c>
      <c r="B228" s="760" t="s">
        <v>5917</v>
      </c>
      <c r="C228" s="761" t="s">
        <v>3642</v>
      </c>
      <c r="D228" s="745" t="s">
        <v>5903</v>
      </c>
      <c r="E228" s="757">
        <v>19000.0</v>
      </c>
      <c r="F228" s="745" t="s">
        <v>4700</v>
      </c>
      <c r="G228" s="745" t="s">
        <v>2379</v>
      </c>
      <c r="H228" s="745" t="s">
        <v>29</v>
      </c>
      <c r="I228" s="745" t="s">
        <v>2379</v>
      </c>
      <c r="J228" s="755">
        <v>44068.0</v>
      </c>
      <c r="K228" s="762" t="s">
        <v>3651</v>
      </c>
      <c r="L228" s="754"/>
      <c r="M228" s="754"/>
      <c r="N228" s="754"/>
      <c r="O228" s="754"/>
      <c r="P228" s="754"/>
      <c r="Q228" s="754"/>
      <c r="R228" s="754"/>
      <c r="S228" s="754"/>
      <c r="T228" s="754"/>
      <c r="U228" s="754"/>
      <c r="V228" s="754"/>
      <c r="W228" s="754"/>
      <c r="X228" s="754"/>
      <c r="Y228" s="754"/>
      <c r="Z228" s="754"/>
      <c r="AA228" s="754"/>
      <c r="AB228" s="754"/>
      <c r="AC228" s="754"/>
      <c r="AD228" s="754"/>
      <c r="AE228" s="754"/>
    </row>
    <row r="229" ht="15.75" customHeight="1">
      <c r="A229" s="759">
        <v>44187.0</v>
      </c>
      <c r="B229" s="760" t="s">
        <v>2811</v>
      </c>
      <c r="C229" s="761" t="s">
        <v>2376</v>
      </c>
      <c r="D229" s="745" t="s">
        <v>5903</v>
      </c>
      <c r="E229" s="757">
        <v>6500.0</v>
      </c>
      <c r="F229" s="745" t="s">
        <v>2810</v>
      </c>
      <c r="G229" s="755" t="s">
        <v>2379</v>
      </c>
      <c r="H229" s="755" t="s">
        <v>29</v>
      </c>
      <c r="I229" s="755" t="s">
        <v>2380</v>
      </c>
      <c r="J229" s="755">
        <v>43703.0</v>
      </c>
      <c r="K229" s="758" t="s">
        <v>4033</v>
      </c>
      <c r="L229" s="754"/>
      <c r="M229" s="754"/>
      <c r="N229" s="754"/>
      <c r="O229" s="754"/>
      <c r="P229" s="754"/>
      <c r="Q229" s="754"/>
      <c r="R229" s="754"/>
      <c r="S229" s="754"/>
      <c r="T229" s="754"/>
      <c r="U229" s="754"/>
      <c r="V229" s="754"/>
      <c r="W229" s="754"/>
      <c r="X229" s="754"/>
      <c r="Y229" s="754"/>
      <c r="Z229" s="754"/>
      <c r="AA229" s="754"/>
      <c r="AB229" s="754"/>
      <c r="AC229" s="754"/>
      <c r="AD229" s="754"/>
      <c r="AE229" s="754"/>
    </row>
    <row r="230" ht="15.75" customHeight="1">
      <c r="A230" s="759">
        <v>44193.0</v>
      </c>
      <c r="B230" s="760" t="s">
        <v>3073</v>
      </c>
      <c r="C230" s="761" t="s">
        <v>2376</v>
      </c>
      <c r="D230" s="745" t="s">
        <v>5903</v>
      </c>
      <c r="E230" s="757">
        <v>2000.0</v>
      </c>
      <c r="F230" s="745" t="s">
        <v>3072</v>
      </c>
      <c r="G230" s="755" t="s">
        <v>2379</v>
      </c>
      <c r="H230" s="755" t="s">
        <v>29</v>
      </c>
      <c r="I230" s="755" t="s">
        <v>2380</v>
      </c>
      <c r="J230" s="755">
        <v>43564.0</v>
      </c>
      <c r="K230" s="758" t="s">
        <v>3664</v>
      </c>
      <c r="L230" s="754"/>
      <c r="M230" s="754"/>
      <c r="N230" s="754"/>
      <c r="O230" s="754"/>
      <c r="P230" s="754"/>
      <c r="Q230" s="754"/>
      <c r="R230" s="754"/>
      <c r="S230" s="754"/>
      <c r="T230" s="754"/>
      <c r="U230" s="754"/>
      <c r="V230" s="754"/>
      <c r="W230" s="754"/>
      <c r="X230" s="754"/>
      <c r="Y230" s="754"/>
      <c r="Z230" s="754"/>
      <c r="AA230" s="754"/>
      <c r="AB230" s="754"/>
      <c r="AC230" s="754"/>
      <c r="AD230" s="754"/>
      <c r="AE230" s="754"/>
    </row>
    <row r="231" ht="15.75" customHeight="1">
      <c r="A231" s="759">
        <v>44193.0</v>
      </c>
      <c r="B231" s="760" t="s">
        <v>2870</v>
      </c>
      <c r="C231" s="761" t="s">
        <v>2376</v>
      </c>
      <c r="D231" s="745" t="s">
        <v>5903</v>
      </c>
      <c r="E231" s="757">
        <v>40000.0</v>
      </c>
      <c r="F231" s="745" t="s">
        <v>2869</v>
      </c>
      <c r="G231" s="755" t="s">
        <v>2379</v>
      </c>
      <c r="H231" s="755" t="s">
        <v>29</v>
      </c>
      <c r="I231" s="755" t="s">
        <v>2380</v>
      </c>
      <c r="J231" s="755">
        <v>43605.0</v>
      </c>
      <c r="K231" s="758" t="s">
        <v>3660</v>
      </c>
      <c r="L231" s="754"/>
      <c r="M231" s="754"/>
      <c r="N231" s="754"/>
      <c r="O231" s="754"/>
      <c r="P231" s="754"/>
      <c r="Q231" s="754"/>
      <c r="R231" s="754"/>
      <c r="S231" s="754"/>
      <c r="T231" s="754"/>
      <c r="U231" s="754"/>
      <c r="V231" s="754"/>
      <c r="W231" s="754"/>
      <c r="X231" s="754"/>
      <c r="Y231" s="754"/>
      <c r="Z231" s="754"/>
      <c r="AA231" s="754"/>
      <c r="AB231" s="754"/>
      <c r="AC231" s="754"/>
      <c r="AD231" s="754"/>
      <c r="AE231" s="754"/>
    </row>
    <row r="232" ht="15.75" customHeight="1">
      <c r="A232" s="759">
        <v>44194.0</v>
      </c>
      <c r="B232" s="760" t="s">
        <v>2484</v>
      </c>
      <c r="C232" s="761" t="s">
        <v>2376</v>
      </c>
      <c r="D232" s="745" t="s">
        <v>5903</v>
      </c>
      <c r="E232" s="757">
        <v>271260.25</v>
      </c>
      <c r="F232" s="745" t="s">
        <v>2483</v>
      </c>
      <c r="G232" s="755" t="s">
        <v>2379</v>
      </c>
      <c r="H232" s="755" t="s">
        <v>29</v>
      </c>
      <c r="I232" s="755" t="s">
        <v>2380</v>
      </c>
      <c r="J232" s="755">
        <v>43867.0</v>
      </c>
      <c r="K232" s="758" t="s">
        <v>3651</v>
      </c>
      <c r="L232" s="754"/>
      <c r="M232" s="754"/>
      <c r="N232" s="754"/>
      <c r="O232" s="754"/>
      <c r="P232" s="754"/>
      <c r="Q232" s="754"/>
      <c r="R232" s="754"/>
      <c r="S232" s="754"/>
      <c r="T232" s="754"/>
      <c r="U232" s="754"/>
      <c r="V232" s="754"/>
      <c r="W232" s="754"/>
      <c r="X232" s="754"/>
      <c r="Y232" s="754"/>
      <c r="Z232" s="754"/>
      <c r="AA232" s="754"/>
      <c r="AB232" s="754"/>
      <c r="AC232" s="754"/>
      <c r="AD232" s="754"/>
      <c r="AE232" s="754"/>
    </row>
    <row r="233" ht="15.75" customHeight="1">
      <c r="A233" s="768">
        <v>44199.0</v>
      </c>
      <c r="B233" s="769" t="s">
        <v>2676</v>
      </c>
      <c r="C233" s="770" t="s">
        <v>2376</v>
      </c>
      <c r="D233" s="745" t="s">
        <v>5903</v>
      </c>
      <c r="E233" s="771">
        <v>40000.0</v>
      </c>
      <c r="F233" s="745" t="s">
        <v>691</v>
      </c>
      <c r="G233" s="755" t="s">
        <v>18</v>
      </c>
      <c r="H233" s="755" t="s">
        <v>145</v>
      </c>
      <c r="I233" s="755" t="s">
        <v>146</v>
      </c>
      <c r="J233" s="755">
        <v>44321.0</v>
      </c>
      <c r="K233" s="758" t="s">
        <v>3651</v>
      </c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54"/>
      <c r="AB233" s="754"/>
      <c r="AC233" s="754"/>
      <c r="AD233" s="754"/>
      <c r="AE233" s="754"/>
    </row>
    <row r="234" ht="15.75" customHeight="1">
      <c r="A234" s="768">
        <v>44199.0</v>
      </c>
      <c r="B234" s="769" t="s">
        <v>2919</v>
      </c>
      <c r="C234" s="770" t="s">
        <v>2376</v>
      </c>
      <c r="D234" s="745" t="s">
        <v>5903</v>
      </c>
      <c r="E234" s="771">
        <v>10000.0</v>
      </c>
      <c r="F234" s="745" t="s">
        <v>2918</v>
      </c>
      <c r="G234" s="755" t="s">
        <v>18</v>
      </c>
      <c r="H234" s="755" t="s">
        <v>145</v>
      </c>
      <c r="I234" s="755" t="s">
        <v>146</v>
      </c>
      <c r="J234" s="755">
        <v>44295.0</v>
      </c>
      <c r="K234" s="758" t="s">
        <v>3657</v>
      </c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54"/>
      <c r="AB234" s="754"/>
      <c r="AC234" s="754"/>
      <c r="AD234" s="754"/>
      <c r="AE234" s="754"/>
    </row>
    <row r="235" ht="15.75" customHeight="1">
      <c r="A235" s="768">
        <v>44199.0</v>
      </c>
      <c r="B235" s="769" t="s">
        <v>2773</v>
      </c>
      <c r="C235" s="770" t="s">
        <v>2376</v>
      </c>
      <c r="D235" s="745" t="s">
        <v>2387</v>
      </c>
      <c r="E235" s="772">
        <v>459854.95</v>
      </c>
      <c r="F235" s="745" t="s">
        <v>2772</v>
      </c>
      <c r="G235" s="755" t="s">
        <v>18</v>
      </c>
      <c r="H235" s="755" t="s">
        <v>145</v>
      </c>
      <c r="I235" s="755" t="s">
        <v>146</v>
      </c>
      <c r="J235" s="755">
        <v>44272.0</v>
      </c>
      <c r="K235" s="758" t="s">
        <v>5924</v>
      </c>
      <c r="L235" s="754"/>
      <c r="M235" s="754"/>
      <c r="N235" s="754"/>
      <c r="O235" s="754"/>
      <c r="P235" s="754"/>
      <c r="Q235" s="754"/>
      <c r="R235" s="754"/>
      <c r="S235" s="754"/>
      <c r="T235" s="754"/>
      <c r="U235" s="754"/>
      <c r="V235" s="754"/>
      <c r="W235" s="754"/>
      <c r="X235" s="754"/>
      <c r="Y235" s="754"/>
      <c r="Z235" s="754"/>
      <c r="AA235" s="754"/>
      <c r="AB235" s="754"/>
      <c r="AC235" s="754"/>
      <c r="AD235" s="754"/>
      <c r="AE235" s="754"/>
    </row>
    <row r="236" ht="15.75" customHeight="1">
      <c r="A236" s="768">
        <v>44199.0</v>
      </c>
      <c r="B236" s="773" t="s">
        <v>5925</v>
      </c>
      <c r="C236" s="770" t="s">
        <v>3642</v>
      </c>
      <c r="D236" s="745" t="s">
        <v>5903</v>
      </c>
      <c r="E236" s="771">
        <v>10000.0</v>
      </c>
      <c r="F236" s="745" t="s">
        <v>4215</v>
      </c>
      <c r="G236" s="745" t="s">
        <v>86</v>
      </c>
      <c r="H236" s="745" t="s">
        <v>29</v>
      </c>
      <c r="I236" s="745" t="s">
        <v>3711</v>
      </c>
      <c r="J236" s="755">
        <v>44263.0</v>
      </c>
      <c r="K236" s="762" t="s">
        <v>3651</v>
      </c>
      <c r="L236" s="754"/>
      <c r="M236" s="754"/>
      <c r="N236" s="754"/>
      <c r="O236" s="754"/>
      <c r="P236" s="754"/>
      <c r="Q236" s="754"/>
      <c r="R236" s="754"/>
      <c r="S236" s="754"/>
      <c r="T236" s="754"/>
      <c r="U236" s="754"/>
      <c r="V236" s="754"/>
      <c r="W236" s="754"/>
      <c r="X236" s="754"/>
      <c r="Y236" s="754"/>
      <c r="Z236" s="754"/>
      <c r="AA236" s="754"/>
      <c r="AB236" s="754"/>
      <c r="AC236" s="754"/>
      <c r="AD236" s="754"/>
      <c r="AE236" s="754"/>
    </row>
    <row r="237" ht="15.75" customHeight="1">
      <c r="A237" s="768">
        <v>44200.0</v>
      </c>
      <c r="B237" s="769" t="s">
        <v>2967</v>
      </c>
      <c r="C237" s="770" t="s">
        <v>2376</v>
      </c>
      <c r="D237" s="745" t="s">
        <v>5903</v>
      </c>
      <c r="E237" s="771">
        <v>200000.0</v>
      </c>
      <c r="F237" s="745" t="s">
        <v>2966</v>
      </c>
      <c r="G237" s="755" t="s">
        <v>18</v>
      </c>
      <c r="H237" s="755" t="s">
        <v>145</v>
      </c>
      <c r="I237" s="755" t="s">
        <v>146</v>
      </c>
      <c r="J237" s="755">
        <v>44319.0</v>
      </c>
      <c r="K237" s="758" t="s">
        <v>3651</v>
      </c>
      <c r="L237" s="754"/>
      <c r="M237" s="754"/>
      <c r="N237" s="754"/>
      <c r="O237" s="754"/>
      <c r="P237" s="754"/>
      <c r="Q237" s="754"/>
      <c r="R237" s="754"/>
      <c r="S237" s="754"/>
      <c r="T237" s="754"/>
      <c r="U237" s="754"/>
      <c r="V237" s="754"/>
      <c r="W237" s="754"/>
      <c r="X237" s="754"/>
      <c r="Y237" s="754"/>
      <c r="Z237" s="754"/>
      <c r="AA237" s="754"/>
      <c r="AB237" s="754"/>
      <c r="AC237" s="754"/>
      <c r="AD237" s="754"/>
      <c r="AE237" s="754"/>
    </row>
    <row r="238" ht="15.75" customHeight="1">
      <c r="A238" s="759">
        <v>44200.0</v>
      </c>
      <c r="B238" s="760" t="s">
        <v>2885</v>
      </c>
      <c r="C238" s="761" t="s">
        <v>2376</v>
      </c>
      <c r="D238" s="745" t="s">
        <v>5903</v>
      </c>
      <c r="E238" s="757">
        <v>1500.0</v>
      </c>
      <c r="F238" s="745" t="s">
        <v>2884</v>
      </c>
      <c r="G238" s="755" t="s">
        <v>2379</v>
      </c>
      <c r="H238" s="755" t="s">
        <v>29</v>
      </c>
      <c r="I238" s="755" t="s">
        <v>2392</v>
      </c>
      <c r="J238" s="755">
        <v>43559.0</v>
      </c>
      <c r="K238" s="758" t="s">
        <v>4033</v>
      </c>
      <c r="L238" s="754"/>
      <c r="M238" s="754"/>
      <c r="N238" s="754"/>
      <c r="O238" s="754"/>
      <c r="P238" s="754"/>
      <c r="Q238" s="754"/>
      <c r="R238" s="754"/>
      <c r="S238" s="754"/>
      <c r="T238" s="754"/>
      <c r="U238" s="754"/>
      <c r="V238" s="754"/>
      <c r="W238" s="754"/>
      <c r="X238" s="754"/>
      <c r="Y238" s="754"/>
      <c r="Z238" s="754"/>
      <c r="AA238" s="754"/>
      <c r="AB238" s="754"/>
      <c r="AC238" s="754"/>
      <c r="AD238" s="754"/>
      <c r="AE238" s="754"/>
    </row>
    <row r="239" ht="15.75" customHeight="1">
      <c r="A239" s="759">
        <v>44200.0</v>
      </c>
      <c r="B239" s="760" t="s">
        <v>3272</v>
      </c>
      <c r="C239" s="761" t="s">
        <v>2376</v>
      </c>
      <c r="D239" s="745" t="s">
        <v>5903</v>
      </c>
      <c r="E239" s="757">
        <v>10000.0</v>
      </c>
      <c r="F239" s="745" t="s">
        <v>3271</v>
      </c>
      <c r="G239" s="755" t="s">
        <v>2379</v>
      </c>
      <c r="H239" s="755" t="s">
        <v>29</v>
      </c>
      <c r="I239" s="755" t="s">
        <v>2380</v>
      </c>
      <c r="J239" s="755">
        <v>43675.0</v>
      </c>
      <c r="K239" s="758" t="s">
        <v>4033</v>
      </c>
      <c r="L239" s="774"/>
      <c r="M239" s="754"/>
      <c r="N239" s="754"/>
      <c r="O239" s="754"/>
      <c r="P239" s="754"/>
      <c r="Q239" s="754"/>
      <c r="R239" s="754"/>
      <c r="S239" s="754"/>
      <c r="T239" s="754"/>
      <c r="U239" s="754"/>
      <c r="V239" s="754"/>
      <c r="W239" s="754"/>
      <c r="X239" s="754"/>
      <c r="Y239" s="754"/>
      <c r="Z239" s="754"/>
      <c r="AA239" s="754"/>
      <c r="AB239" s="754"/>
      <c r="AC239" s="754"/>
      <c r="AD239" s="754"/>
      <c r="AE239" s="754"/>
    </row>
    <row r="240" ht="15.75" customHeight="1">
      <c r="A240" s="759">
        <v>44200.0</v>
      </c>
      <c r="B240" s="760" t="s">
        <v>2870</v>
      </c>
      <c r="C240" s="761" t="s">
        <v>2376</v>
      </c>
      <c r="D240" s="745" t="s">
        <v>5903</v>
      </c>
      <c r="E240" s="757">
        <v>15000.0</v>
      </c>
      <c r="F240" s="745" t="s">
        <v>2869</v>
      </c>
      <c r="G240" s="755" t="s">
        <v>2379</v>
      </c>
      <c r="H240" s="755" t="s">
        <v>29</v>
      </c>
      <c r="I240" s="755" t="s">
        <v>2380</v>
      </c>
      <c r="J240" s="755">
        <v>43605.0</v>
      </c>
      <c r="K240" s="758" t="s">
        <v>3660</v>
      </c>
      <c r="L240" s="754"/>
      <c r="M240" s="754"/>
      <c r="N240" s="754"/>
      <c r="O240" s="754"/>
      <c r="P240" s="754"/>
      <c r="Q240" s="754"/>
      <c r="R240" s="754"/>
      <c r="S240" s="754"/>
      <c r="T240" s="754"/>
      <c r="U240" s="754"/>
      <c r="V240" s="754"/>
      <c r="W240" s="754"/>
      <c r="X240" s="754"/>
      <c r="Y240" s="754"/>
      <c r="Z240" s="754"/>
      <c r="AA240" s="754"/>
      <c r="AB240" s="754"/>
      <c r="AC240" s="754"/>
      <c r="AD240" s="754"/>
      <c r="AE240" s="754"/>
    </row>
    <row r="241" ht="15.75" customHeight="1">
      <c r="A241" s="759">
        <v>44201.0</v>
      </c>
      <c r="B241" s="760" t="s">
        <v>2811</v>
      </c>
      <c r="C241" s="761" t="s">
        <v>2376</v>
      </c>
      <c r="D241" s="745" t="s">
        <v>5903</v>
      </c>
      <c r="E241" s="764">
        <v>100638.85</v>
      </c>
      <c r="F241" s="745" t="s">
        <v>2810</v>
      </c>
      <c r="G241" s="755" t="s">
        <v>2379</v>
      </c>
      <c r="H241" s="755" t="s">
        <v>29</v>
      </c>
      <c r="I241" s="755" t="s">
        <v>2380</v>
      </c>
      <c r="J241" s="755">
        <v>43703.0</v>
      </c>
      <c r="K241" s="758" t="s">
        <v>4033</v>
      </c>
      <c r="L241" s="754"/>
      <c r="M241" s="754"/>
      <c r="N241" s="754"/>
      <c r="O241" s="754"/>
      <c r="P241" s="754"/>
      <c r="Q241" s="754"/>
      <c r="R241" s="754"/>
      <c r="S241" s="754"/>
      <c r="T241" s="754"/>
      <c r="U241" s="754"/>
      <c r="V241" s="754"/>
      <c r="W241" s="754"/>
      <c r="X241" s="754"/>
      <c r="Y241" s="754"/>
      <c r="Z241" s="754"/>
      <c r="AA241" s="754"/>
      <c r="AB241" s="754"/>
      <c r="AC241" s="754"/>
      <c r="AD241" s="754"/>
      <c r="AE241" s="754"/>
    </row>
    <row r="242" ht="15.75" customHeight="1">
      <c r="A242" s="759">
        <v>44201.0</v>
      </c>
      <c r="B242" s="760" t="s">
        <v>5921</v>
      </c>
      <c r="C242" s="761" t="s">
        <v>3642</v>
      </c>
      <c r="D242" s="745" t="s">
        <v>5903</v>
      </c>
      <c r="E242" s="757">
        <v>5000.0</v>
      </c>
      <c r="F242" s="745" t="s">
        <v>4318</v>
      </c>
      <c r="G242" s="745" t="s">
        <v>2379</v>
      </c>
      <c r="H242" s="745" t="s">
        <v>29</v>
      </c>
      <c r="I242" s="745" t="s">
        <v>2379</v>
      </c>
      <c r="J242" s="755">
        <v>43901.0</v>
      </c>
      <c r="K242" s="762" t="s">
        <v>3647</v>
      </c>
      <c r="L242" s="754"/>
      <c r="M242" s="754"/>
      <c r="N242" s="754"/>
      <c r="O242" s="754"/>
      <c r="P242" s="754"/>
      <c r="Q242" s="754"/>
      <c r="R242" s="754"/>
      <c r="S242" s="754"/>
      <c r="T242" s="754"/>
      <c r="U242" s="754"/>
      <c r="V242" s="754"/>
      <c r="W242" s="754"/>
      <c r="X242" s="754"/>
      <c r="Y242" s="754"/>
      <c r="Z242" s="754"/>
      <c r="AA242" s="754"/>
      <c r="AB242" s="754"/>
      <c r="AC242" s="754"/>
      <c r="AD242" s="754"/>
      <c r="AE242" s="754"/>
    </row>
    <row r="243" ht="15.75" customHeight="1">
      <c r="A243" s="759">
        <v>44201.0</v>
      </c>
      <c r="B243" s="760" t="s">
        <v>5926</v>
      </c>
      <c r="C243" s="761" t="s">
        <v>3642</v>
      </c>
      <c r="D243" s="745" t="s">
        <v>5903</v>
      </c>
      <c r="E243" s="757">
        <v>13400.0</v>
      </c>
      <c r="F243" s="745" t="s">
        <v>3836</v>
      </c>
      <c r="G243" s="745" t="s">
        <v>2379</v>
      </c>
      <c r="H243" s="745" t="s">
        <v>29</v>
      </c>
      <c r="I243" s="745" t="s">
        <v>2379</v>
      </c>
      <c r="J243" s="755">
        <v>43847.0</v>
      </c>
      <c r="K243" s="762" t="s">
        <v>3651</v>
      </c>
      <c r="L243" s="775"/>
      <c r="M243" s="774"/>
      <c r="N243" s="754"/>
      <c r="O243" s="754"/>
      <c r="P243" s="754"/>
      <c r="Q243" s="754"/>
      <c r="R243" s="754"/>
      <c r="S243" s="754"/>
      <c r="T243" s="754"/>
      <c r="U243" s="754"/>
      <c r="V243" s="754"/>
      <c r="W243" s="754"/>
      <c r="X243" s="754"/>
      <c r="Y243" s="754"/>
      <c r="Z243" s="754"/>
      <c r="AA243" s="754"/>
      <c r="AB243" s="754"/>
      <c r="AC243" s="754"/>
      <c r="AD243" s="754"/>
      <c r="AE243" s="754"/>
    </row>
    <row r="244" ht="15.75" customHeight="1">
      <c r="A244" s="759">
        <v>44202.0</v>
      </c>
      <c r="B244" s="766" t="s">
        <v>3122</v>
      </c>
      <c r="C244" s="761" t="s">
        <v>2376</v>
      </c>
      <c r="D244" s="745" t="s">
        <v>2387</v>
      </c>
      <c r="E244" s="757">
        <v>5000.0</v>
      </c>
      <c r="F244" s="745" t="s">
        <v>3121</v>
      </c>
      <c r="G244" s="755" t="s">
        <v>2379</v>
      </c>
      <c r="H244" s="755" t="s">
        <v>29</v>
      </c>
      <c r="I244" s="755" t="s">
        <v>2392</v>
      </c>
      <c r="J244" s="755">
        <v>43795.0</v>
      </c>
      <c r="K244" s="758" t="s">
        <v>3660</v>
      </c>
      <c r="L244" s="754"/>
      <c r="M244" s="754"/>
      <c r="N244" s="754"/>
      <c r="O244" s="754"/>
      <c r="P244" s="754"/>
      <c r="Q244" s="754"/>
      <c r="R244" s="754"/>
      <c r="S244" s="754"/>
      <c r="T244" s="754"/>
      <c r="U244" s="754"/>
      <c r="V244" s="754"/>
      <c r="W244" s="754"/>
      <c r="X244" s="754"/>
      <c r="Y244" s="754"/>
      <c r="Z244" s="754"/>
      <c r="AA244" s="754"/>
      <c r="AB244" s="754"/>
      <c r="AC244" s="754"/>
      <c r="AD244" s="754"/>
      <c r="AE244" s="754"/>
    </row>
    <row r="245" ht="15.75" customHeight="1">
      <c r="A245" s="759">
        <v>44207.0</v>
      </c>
      <c r="B245" s="760" t="s">
        <v>3235</v>
      </c>
      <c r="C245" s="761" t="s">
        <v>2376</v>
      </c>
      <c r="D245" s="745" t="s">
        <v>5903</v>
      </c>
      <c r="E245" s="757">
        <v>14000.0</v>
      </c>
      <c r="F245" s="745" t="s">
        <v>3234</v>
      </c>
      <c r="G245" s="755" t="s">
        <v>2379</v>
      </c>
      <c r="H245" s="755" t="s">
        <v>29</v>
      </c>
      <c r="I245" s="755" t="s">
        <v>2380</v>
      </c>
      <c r="J245" s="755">
        <v>43894.0</v>
      </c>
      <c r="K245" s="758" t="s">
        <v>3660</v>
      </c>
      <c r="L245" s="774"/>
      <c r="M245" s="775"/>
      <c r="N245" s="77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54"/>
      <c r="AB245" s="754"/>
      <c r="AC245" s="754"/>
      <c r="AD245" s="754"/>
      <c r="AE245" s="754"/>
    </row>
    <row r="246" ht="15.75" customHeight="1">
      <c r="A246" s="759">
        <v>44208.0</v>
      </c>
      <c r="B246" s="766" t="s">
        <v>2811</v>
      </c>
      <c r="C246" s="761" t="s">
        <v>2376</v>
      </c>
      <c r="D246" s="745" t="s">
        <v>5903</v>
      </c>
      <c r="E246" s="757">
        <v>10000.0</v>
      </c>
      <c r="F246" s="745" t="s">
        <v>2810</v>
      </c>
      <c r="G246" s="755" t="s">
        <v>2379</v>
      </c>
      <c r="H246" s="755" t="s">
        <v>29</v>
      </c>
      <c r="I246" s="755" t="s">
        <v>2380</v>
      </c>
      <c r="J246" s="755">
        <v>43703.0</v>
      </c>
      <c r="K246" s="758" t="s">
        <v>4033</v>
      </c>
      <c r="L246" s="776"/>
      <c r="M246" s="774"/>
      <c r="N246" s="775"/>
      <c r="O246" s="77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54"/>
      <c r="AB246" s="754"/>
      <c r="AC246" s="754"/>
      <c r="AD246" s="754"/>
      <c r="AE246" s="754"/>
    </row>
    <row r="247" ht="15.75" customHeight="1">
      <c r="A247" s="759">
        <v>44209.0</v>
      </c>
      <c r="B247" s="760" t="s">
        <v>3073</v>
      </c>
      <c r="C247" s="761" t="s">
        <v>2376</v>
      </c>
      <c r="D247" s="745" t="s">
        <v>5903</v>
      </c>
      <c r="E247" s="757">
        <v>24000.0</v>
      </c>
      <c r="F247" s="745" t="s">
        <v>3072</v>
      </c>
      <c r="G247" s="755" t="s">
        <v>2379</v>
      </c>
      <c r="H247" s="755" t="s">
        <v>29</v>
      </c>
      <c r="I247" s="755" t="s">
        <v>2380</v>
      </c>
      <c r="J247" s="755">
        <v>43564.0</v>
      </c>
      <c r="K247" s="758" t="s">
        <v>3664</v>
      </c>
      <c r="L247" s="754"/>
      <c r="M247" s="754"/>
      <c r="N247" s="754"/>
      <c r="O247" s="754"/>
      <c r="P247" s="754"/>
      <c r="Q247" s="754"/>
      <c r="R247" s="754"/>
      <c r="S247" s="754"/>
      <c r="T247" s="754"/>
      <c r="U247" s="754"/>
      <c r="V247" s="754"/>
      <c r="W247" s="754"/>
      <c r="X247" s="754"/>
      <c r="Y247" s="754"/>
      <c r="Z247" s="754"/>
      <c r="AA247" s="754"/>
      <c r="AB247" s="754"/>
      <c r="AC247" s="754"/>
      <c r="AD247" s="754"/>
      <c r="AE247" s="754"/>
    </row>
    <row r="248" ht="15.75" customHeight="1">
      <c r="A248" s="759">
        <v>44211.0</v>
      </c>
      <c r="B248" s="760" t="s">
        <v>2527</v>
      </c>
      <c r="C248" s="761" t="s">
        <v>2376</v>
      </c>
      <c r="D248" s="745" t="s">
        <v>2387</v>
      </c>
      <c r="E248" s="772">
        <v>100832.44</v>
      </c>
      <c r="F248" s="745" t="s">
        <v>2526</v>
      </c>
      <c r="G248" s="755" t="s">
        <v>2379</v>
      </c>
      <c r="H248" s="755" t="s">
        <v>29</v>
      </c>
      <c r="I248" s="755" t="s">
        <v>2380</v>
      </c>
      <c r="J248" s="755">
        <v>43725.0</v>
      </c>
      <c r="K248" s="758" t="s">
        <v>4033</v>
      </c>
      <c r="L248" s="774"/>
      <c r="M248" s="776"/>
      <c r="N248" s="774"/>
      <c r="O248" s="775"/>
      <c r="P248" s="774"/>
      <c r="Q248" s="754"/>
      <c r="R248" s="754"/>
      <c r="S248" s="754"/>
      <c r="T248" s="754"/>
      <c r="U248" s="754"/>
      <c r="V248" s="754"/>
      <c r="W248" s="754"/>
      <c r="X248" s="754"/>
      <c r="Y248" s="754"/>
      <c r="Z248" s="754"/>
      <c r="AA248" s="754"/>
      <c r="AB248" s="754"/>
      <c r="AC248" s="754"/>
      <c r="AD248" s="754"/>
      <c r="AE248" s="754"/>
    </row>
    <row r="249" ht="15.75" customHeight="1">
      <c r="A249" s="759">
        <v>44215.0</v>
      </c>
      <c r="B249" s="766" t="s">
        <v>2870</v>
      </c>
      <c r="C249" s="761" t="s">
        <v>2376</v>
      </c>
      <c r="D249" s="745" t="s">
        <v>5903</v>
      </c>
      <c r="E249" s="757">
        <v>50000.0</v>
      </c>
      <c r="F249" s="745" t="s">
        <v>2869</v>
      </c>
      <c r="G249" s="755" t="s">
        <v>2379</v>
      </c>
      <c r="H249" s="755" t="s">
        <v>29</v>
      </c>
      <c r="I249" s="755" t="s">
        <v>2380</v>
      </c>
      <c r="J249" s="755">
        <v>43605.0</v>
      </c>
      <c r="K249" s="758" t="s">
        <v>3660</v>
      </c>
      <c r="L249" s="774"/>
      <c r="M249" s="774"/>
      <c r="N249" s="776"/>
      <c r="O249" s="774"/>
      <c r="P249" s="775"/>
      <c r="Q249" s="774"/>
      <c r="R249" s="754"/>
      <c r="S249" s="754"/>
      <c r="T249" s="754"/>
      <c r="U249" s="754"/>
      <c r="V249" s="754"/>
      <c r="W249" s="754"/>
      <c r="X249" s="754"/>
      <c r="Y249" s="754"/>
      <c r="Z249" s="754"/>
      <c r="AA249" s="754"/>
      <c r="AB249" s="754"/>
      <c r="AC249" s="754"/>
      <c r="AD249" s="754"/>
      <c r="AE249" s="754"/>
    </row>
    <row r="250" ht="15.75" customHeight="1">
      <c r="A250" s="759">
        <v>44217.0</v>
      </c>
      <c r="B250" s="760" t="s">
        <v>3379</v>
      </c>
      <c r="C250" s="761" t="s">
        <v>2376</v>
      </c>
      <c r="D250" s="745" t="s">
        <v>5903</v>
      </c>
      <c r="E250" s="757">
        <v>30000.0</v>
      </c>
      <c r="F250" s="745" t="s">
        <v>3378</v>
      </c>
      <c r="G250" s="755" t="s">
        <v>2379</v>
      </c>
      <c r="H250" s="755" t="s">
        <v>29</v>
      </c>
      <c r="I250" s="755" t="s">
        <v>2392</v>
      </c>
      <c r="J250" s="755">
        <v>43822.0</v>
      </c>
      <c r="K250" s="758" t="s">
        <v>3660</v>
      </c>
      <c r="L250" s="754"/>
      <c r="M250" s="754"/>
      <c r="N250" s="754"/>
      <c r="O250" s="754"/>
      <c r="P250" s="754"/>
      <c r="Q250" s="754"/>
      <c r="R250" s="754"/>
      <c r="S250" s="754"/>
      <c r="T250" s="754"/>
      <c r="U250" s="754"/>
      <c r="V250" s="754"/>
      <c r="W250" s="754"/>
      <c r="X250" s="754"/>
      <c r="Y250" s="754"/>
      <c r="Z250" s="754"/>
      <c r="AA250" s="754"/>
      <c r="AB250" s="754"/>
      <c r="AC250" s="754"/>
      <c r="AD250" s="754"/>
      <c r="AE250" s="754"/>
    </row>
    <row r="251" ht="15.75" customHeight="1">
      <c r="A251" s="759">
        <v>44218.0</v>
      </c>
      <c r="B251" s="760" t="s">
        <v>3073</v>
      </c>
      <c r="C251" s="761" t="s">
        <v>2376</v>
      </c>
      <c r="D251" s="745" t="s">
        <v>5903</v>
      </c>
      <c r="E251" s="757">
        <v>13000.0</v>
      </c>
      <c r="F251" s="745" t="s">
        <v>3072</v>
      </c>
      <c r="G251" s="755" t="s">
        <v>2379</v>
      </c>
      <c r="H251" s="755" t="s">
        <v>29</v>
      </c>
      <c r="I251" s="755" t="s">
        <v>2380</v>
      </c>
      <c r="J251" s="755">
        <v>43564.0</v>
      </c>
      <c r="K251" s="758" t="s">
        <v>3664</v>
      </c>
      <c r="L251" s="754"/>
      <c r="M251" s="754"/>
      <c r="N251" s="754"/>
      <c r="O251" s="754"/>
      <c r="P251" s="754"/>
      <c r="Q251" s="754"/>
      <c r="R251" s="754"/>
      <c r="S251" s="754"/>
      <c r="T251" s="754"/>
      <c r="U251" s="754"/>
      <c r="V251" s="754"/>
      <c r="W251" s="754"/>
      <c r="X251" s="754"/>
      <c r="Y251" s="754"/>
      <c r="Z251" s="754"/>
      <c r="AA251" s="754"/>
      <c r="AB251" s="754"/>
      <c r="AC251" s="754"/>
      <c r="AD251" s="754"/>
      <c r="AE251" s="754"/>
    </row>
    <row r="252" ht="15.75" customHeight="1">
      <c r="A252" s="759">
        <v>44221.0</v>
      </c>
      <c r="B252" s="760" t="s">
        <v>2870</v>
      </c>
      <c r="C252" s="761" t="s">
        <v>2376</v>
      </c>
      <c r="D252" s="745" t="s">
        <v>5903</v>
      </c>
      <c r="E252" s="757">
        <v>5000.0</v>
      </c>
      <c r="F252" s="745" t="s">
        <v>2869</v>
      </c>
      <c r="G252" s="755" t="s">
        <v>2379</v>
      </c>
      <c r="H252" s="755" t="s">
        <v>29</v>
      </c>
      <c r="I252" s="755" t="s">
        <v>2380</v>
      </c>
      <c r="J252" s="755">
        <v>43605.0</v>
      </c>
      <c r="K252" s="758" t="s">
        <v>3660</v>
      </c>
      <c r="L252" s="774"/>
      <c r="M252" s="774"/>
      <c r="N252" s="774"/>
      <c r="O252" s="776"/>
      <c r="P252" s="774"/>
      <c r="Q252" s="775"/>
      <c r="R252" s="774"/>
      <c r="S252" s="754"/>
      <c r="T252" s="754"/>
      <c r="U252" s="754"/>
      <c r="V252" s="754"/>
      <c r="W252" s="754"/>
      <c r="X252" s="754"/>
      <c r="Y252" s="754"/>
      <c r="Z252" s="754"/>
      <c r="AA252" s="754"/>
      <c r="AB252" s="754"/>
      <c r="AC252" s="754"/>
      <c r="AD252" s="754"/>
      <c r="AE252" s="754"/>
    </row>
    <row r="253" ht="15.75" customHeight="1">
      <c r="A253" s="759">
        <v>44223.0</v>
      </c>
      <c r="B253" s="760" t="s">
        <v>2811</v>
      </c>
      <c r="C253" s="761" t="s">
        <v>2376</v>
      </c>
      <c r="D253" s="745" t="s">
        <v>5903</v>
      </c>
      <c r="E253" s="757">
        <v>3000.0</v>
      </c>
      <c r="F253" s="745" t="s">
        <v>2810</v>
      </c>
      <c r="G253" s="755" t="s">
        <v>2379</v>
      </c>
      <c r="H253" s="755" t="s">
        <v>29</v>
      </c>
      <c r="I253" s="755" t="s">
        <v>2380</v>
      </c>
      <c r="J253" s="755">
        <v>43703.0</v>
      </c>
      <c r="K253" s="758" t="s">
        <v>4033</v>
      </c>
      <c r="L253" s="754"/>
      <c r="M253" s="754"/>
      <c r="N253" s="754"/>
      <c r="O253" s="754"/>
      <c r="P253" s="754"/>
      <c r="Q253" s="754"/>
      <c r="R253" s="754"/>
      <c r="S253" s="754"/>
      <c r="T253" s="754"/>
      <c r="U253" s="754"/>
      <c r="V253" s="754"/>
      <c r="W253" s="754"/>
      <c r="X253" s="754"/>
      <c r="Y253" s="754"/>
      <c r="Z253" s="754"/>
      <c r="AA253" s="754"/>
      <c r="AB253" s="754"/>
      <c r="AC253" s="754"/>
      <c r="AD253" s="754"/>
      <c r="AE253" s="754"/>
    </row>
    <row r="254" ht="15.75" customHeight="1">
      <c r="A254" s="759">
        <v>44228.0</v>
      </c>
      <c r="B254" s="760" t="s">
        <v>3272</v>
      </c>
      <c r="C254" s="761" t="s">
        <v>2376</v>
      </c>
      <c r="D254" s="745" t="s">
        <v>5903</v>
      </c>
      <c r="E254" s="757">
        <v>37000.0</v>
      </c>
      <c r="F254" s="745" t="s">
        <v>3271</v>
      </c>
      <c r="G254" s="755" t="s">
        <v>2379</v>
      </c>
      <c r="H254" s="755" t="s">
        <v>29</v>
      </c>
      <c r="I254" s="755" t="s">
        <v>2380</v>
      </c>
      <c r="J254" s="755">
        <v>43675.0</v>
      </c>
      <c r="K254" s="758" t="s">
        <v>4033</v>
      </c>
      <c r="L254" s="754"/>
      <c r="M254" s="754"/>
      <c r="N254" s="754"/>
      <c r="O254" s="754"/>
      <c r="P254" s="754"/>
      <c r="Q254" s="754"/>
      <c r="R254" s="754"/>
      <c r="S254" s="754"/>
      <c r="T254" s="754"/>
      <c r="U254" s="754"/>
      <c r="V254" s="754"/>
      <c r="W254" s="754"/>
      <c r="X254" s="754"/>
      <c r="Y254" s="754"/>
      <c r="Z254" s="754"/>
      <c r="AA254" s="754"/>
      <c r="AB254" s="754"/>
      <c r="AC254" s="754"/>
      <c r="AD254" s="754"/>
      <c r="AE254" s="754"/>
    </row>
    <row r="255" ht="15.75" customHeight="1">
      <c r="A255" s="755">
        <v>44229.0</v>
      </c>
      <c r="B255" s="756" t="s">
        <v>5927</v>
      </c>
      <c r="C255" s="745" t="s">
        <v>3642</v>
      </c>
      <c r="D255" s="745" t="s">
        <v>5902</v>
      </c>
      <c r="E255" s="757">
        <v>0.0</v>
      </c>
      <c r="F255" s="745" t="s">
        <v>4331</v>
      </c>
      <c r="G255" s="745" t="s">
        <v>18</v>
      </c>
      <c r="H255" s="745" t="s">
        <v>29</v>
      </c>
      <c r="I255" s="745" t="s">
        <v>3650</v>
      </c>
      <c r="J255" s="755">
        <v>44167.0</v>
      </c>
      <c r="K255" s="762" t="s">
        <v>3664</v>
      </c>
      <c r="L255" s="754"/>
      <c r="M255" s="754"/>
      <c r="N255" s="754"/>
      <c r="O255" s="754"/>
      <c r="P255" s="754"/>
      <c r="Q255" s="754"/>
      <c r="R255" s="754"/>
      <c r="S255" s="754"/>
      <c r="T255" s="754"/>
      <c r="U255" s="754"/>
      <c r="V255" s="754"/>
      <c r="W255" s="754"/>
      <c r="X255" s="754"/>
      <c r="Y255" s="754"/>
      <c r="Z255" s="754"/>
      <c r="AA255" s="754"/>
      <c r="AB255" s="754"/>
      <c r="AC255" s="754"/>
      <c r="AD255" s="754"/>
      <c r="AE255" s="754"/>
    </row>
    <row r="256" ht="15.75" customHeight="1">
      <c r="A256" s="759">
        <v>44229.0</v>
      </c>
      <c r="B256" s="760" t="s">
        <v>3096</v>
      </c>
      <c r="C256" s="761" t="s">
        <v>2376</v>
      </c>
      <c r="D256" s="745" t="s">
        <v>5903</v>
      </c>
      <c r="E256" s="757">
        <v>49992.45</v>
      </c>
      <c r="F256" s="745" t="s">
        <v>3095</v>
      </c>
      <c r="G256" s="755" t="s">
        <v>2379</v>
      </c>
      <c r="H256" s="755" t="s">
        <v>29</v>
      </c>
      <c r="I256" s="755" t="s">
        <v>2380</v>
      </c>
      <c r="J256" s="755">
        <v>43873.0</v>
      </c>
      <c r="K256" s="758" t="s">
        <v>3651</v>
      </c>
      <c r="L256" s="774"/>
      <c r="M256" s="774"/>
      <c r="N256" s="774"/>
      <c r="O256" s="776"/>
      <c r="P256" s="774"/>
      <c r="Q256" s="775"/>
      <c r="R256" s="774"/>
      <c r="S256" s="754"/>
      <c r="T256" s="754"/>
      <c r="U256" s="754"/>
      <c r="V256" s="754"/>
      <c r="W256" s="754"/>
      <c r="X256" s="754"/>
      <c r="Y256" s="754"/>
      <c r="Z256" s="754"/>
      <c r="AA256" s="754"/>
      <c r="AB256" s="754"/>
      <c r="AC256" s="754"/>
      <c r="AD256" s="754"/>
      <c r="AE256" s="754"/>
      <c r="AF256" s="754"/>
      <c r="AG256" s="754"/>
      <c r="AH256" s="754"/>
      <c r="AI256" s="754"/>
      <c r="AJ256" s="754"/>
      <c r="AK256" s="754"/>
      <c r="AL256" s="754"/>
      <c r="AM256" s="754"/>
      <c r="AN256" s="754"/>
      <c r="AO256" s="754"/>
      <c r="AP256" s="754"/>
      <c r="AQ256" s="754"/>
      <c r="AR256" s="754"/>
      <c r="AS256" s="754"/>
      <c r="AT256" s="754"/>
      <c r="AU256" s="754"/>
    </row>
    <row r="257" ht="15.75" customHeight="1">
      <c r="A257" s="759">
        <v>44230.0</v>
      </c>
      <c r="B257" s="760" t="s">
        <v>5904</v>
      </c>
      <c r="C257" s="761" t="s">
        <v>3642</v>
      </c>
      <c r="D257" s="745" t="s">
        <v>5903</v>
      </c>
      <c r="E257" s="757">
        <v>80000.0</v>
      </c>
      <c r="F257" s="745" t="s">
        <v>4889</v>
      </c>
      <c r="G257" s="745" t="s">
        <v>2379</v>
      </c>
      <c r="H257" s="745" t="s">
        <v>29</v>
      </c>
      <c r="I257" s="745" t="s">
        <v>2379</v>
      </c>
      <c r="J257" s="755">
        <v>43749.0</v>
      </c>
      <c r="K257" s="762" t="s">
        <v>4033</v>
      </c>
      <c r="L257" s="774"/>
      <c r="M257" s="774"/>
      <c r="N257" s="774"/>
      <c r="O257" s="774"/>
      <c r="P257" s="776"/>
      <c r="Q257" s="774"/>
      <c r="R257" s="775"/>
      <c r="S257" s="774"/>
      <c r="T257" s="754"/>
      <c r="U257" s="754"/>
      <c r="V257" s="754"/>
      <c r="W257" s="754"/>
      <c r="X257" s="754"/>
      <c r="Y257" s="754"/>
      <c r="Z257" s="754"/>
      <c r="AA257" s="754"/>
      <c r="AB257" s="754"/>
      <c r="AC257" s="754"/>
      <c r="AD257" s="754"/>
      <c r="AE257" s="754"/>
      <c r="AF257" s="754"/>
      <c r="AG257" s="754"/>
      <c r="AH257" s="754"/>
      <c r="AI257" s="754"/>
      <c r="AJ257" s="754"/>
      <c r="AK257" s="754"/>
      <c r="AL257" s="754"/>
      <c r="AM257" s="754"/>
      <c r="AN257" s="754"/>
      <c r="AO257" s="754"/>
      <c r="AP257" s="754"/>
      <c r="AQ257" s="754"/>
      <c r="AR257" s="754"/>
      <c r="AS257" s="754"/>
      <c r="AT257" s="754"/>
      <c r="AU257" s="754"/>
    </row>
    <row r="258" ht="15.75" customHeight="1">
      <c r="A258" s="759">
        <v>44230.0</v>
      </c>
      <c r="B258" s="760" t="s">
        <v>5919</v>
      </c>
      <c r="C258" s="761" t="s">
        <v>3642</v>
      </c>
      <c r="D258" s="745" t="s">
        <v>5903</v>
      </c>
      <c r="E258" s="757">
        <v>5000.0</v>
      </c>
      <c r="F258" s="745" t="s">
        <v>4851</v>
      </c>
      <c r="G258" s="745" t="s">
        <v>2379</v>
      </c>
      <c r="H258" s="745" t="s">
        <v>29</v>
      </c>
      <c r="I258" s="745" t="s">
        <v>2379</v>
      </c>
      <c r="J258" s="755">
        <v>44043.0</v>
      </c>
      <c r="K258" s="762" t="s">
        <v>3651</v>
      </c>
      <c r="L258" s="774"/>
      <c r="M258" s="774"/>
      <c r="N258" s="774"/>
      <c r="O258" s="774"/>
      <c r="P258" s="774"/>
      <c r="Q258" s="776"/>
      <c r="R258" s="774"/>
      <c r="S258" s="775"/>
      <c r="T258" s="774"/>
      <c r="U258" s="754"/>
      <c r="V258" s="754"/>
      <c r="W258" s="754"/>
      <c r="X258" s="754"/>
      <c r="Y258" s="754"/>
      <c r="Z258" s="754"/>
      <c r="AA258" s="754"/>
      <c r="AB258" s="754"/>
      <c r="AC258" s="754"/>
      <c r="AD258" s="754"/>
      <c r="AE258" s="754"/>
      <c r="AF258" s="754"/>
      <c r="AG258" s="754"/>
      <c r="AH258" s="754"/>
      <c r="AI258" s="754"/>
      <c r="AJ258" s="754"/>
      <c r="AK258" s="754"/>
      <c r="AL258" s="754"/>
      <c r="AM258" s="754"/>
      <c r="AN258" s="754"/>
      <c r="AO258" s="754"/>
      <c r="AP258" s="754"/>
      <c r="AQ258" s="754"/>
      <c r="AR258" s="754"/>
      <c r="AS258" s="754"/>
      <c r="AT258" s="754"/>
      <c r="AU258" s="754"/>
    </row>
    <row r="259" ht="15.75" customHeight="1">
      <c r="A259" s="759">
        <v>44230.0</v>
      </c>
      <c r="B259" s="760" t="s">
        <v>2770</v>
      </c>
      <c r="C259" s="761" t="s">
        <v>2376</v>
      </c>
      <c r="D259" s="745" t="s">
        <v>5903</v>
      </c>
      <c r="E259" s="757">
        <v>100000.0</v>
      </c>
      <c r="F259" s="745" t="s">
        <v>2769</v>
      </c>
      <c r="G259" s="755" t="s">
        <v>2379</v>
      </c>
      <c r="H259" s="755" t="s">
        <v>29</v>
      </c>
      <c r="I259" s="755" t="s">
        <v>2380</v>
      </c>
      <c r="J259" s="755">
        <v>43888.0</v>
      </c>
      <c r="K259" s="758" t="s">
        <v>3651</v>
      </c>
      <c r="L259" s="774"/>
      <c r="M259" s="774"/>
      <c r="N259" s="774"/>
      <c r="O259" s="774"/>
      <c r="P259" s="774"/>
      <c r="Q259" s="776"/>
      <c r="R259" s="774"/>
      <c r="S259" s="775"/>
      <c r="T259" s="774"/>
      <c r="U259" s="754"/>
      <c r="V259" s="754"/>
      <c r="W259" s="754"/>
      <c r="X259" s="754"/>
      <c r="Y259" s="754"/>
      <c r="Z259" s="754"/>
      <c r="AA259" s="754"/>
      <c r="AB259" s="754"/>
      <c r="AC259" s="754"/>
      <c r="AD259" s="754"/>
      <c r="AE259" s="754"/>
      <c r="AF259" s="754"/>
      <c r="AG259" s="754"/>
      <c r="AH259" s="754"/>
      <c r="AI259" s="754"/>
      <c r="AJ259" s="754"/>
      <c r="AK259" s="754"/>
      <c r="AL259" s="754"/>
      <c r="AM259" s="754"/>
      <c r="AN259" s="754"/>
      <c r="AO259" s="754"/>
      <c r="AP259" s="754"/>
      <c r="AQ259" s="754"/>
      <c r="AR259" s="754"/>
      <c r="AS259" s="754"/>
      <c r="AT259" s="754"/>
      <c r="AU259" s="754"/>
    </row>
    <row r="260" ht="15.75" customHeight="1">
      <c r="A260" s="759">
        <v>44235.0</v>
      </c>
      <c r="B260" s="760" t="s">
        <v>3546</v>
      </c>
      <c r="C260" s="761" t="s">
        <v>3458</v>
      </c>
      <c r="D260" s="745" t="s">
        <v>5903</v>
      </c>
      <c r="E260" s="757">
        <v>75000.0</v>
      </c>
      <c r="F260" s="745" t="s">
        <v>3545</v>
      </c>
      <c r="G260" s="755" t="s">
        <v>18</v>
      </c>
      <c r="H260" s="755" t="s">
        <v>29</v>
      </c>
      <c r="I260" s="755" t="s">
        <v>2052</v>
      </c>
      <c r="J260" s="755">
        <v>43797.0</v>
      </c>
      <c r="K260" s="758" t="s">
        <v>3660</v>
      </c>
      <c r="L260" s="754"/>
      <c r="M260" s="754"/>
      <c r="N260" s="754"/>
      <c r="O260" s="754"/>
      <c r="P260" s="754"/>
      <c r="Q260" s="754"/>
      <c r="R260" s="754"/>
      <c r="S260" s="754"/>
      <c r="T260" s="754"/>
      <c r="U260" s="754"/>
      <c r="V260" s="754"/>
      <c r="W260" s="754"/>
      <c r="X260" s="754"/>
      <c r="Y260" s="754"/>
      <c r="Z260" s="754"/>
      <c r="AA260" s="754"/>
      <c r="AB260" s="754"/>
      <c r="AC260" s="754"/>
      <c r="AD260" s="754"/>
      <c r="AE260" s="754"/>
      <c r="AF260" s="754"/>
      <c r="AG260" s="754"/>
      <c r="AH260" s="754"/>
      <c r="AI260" s="754"/>
      <c r="AJ260" s="754"/>
      <c r="AK260" s="754"/>
      <c r="AL260" s="754"/>
      <c r="AM260" s="754"/>
      <c r="AN260" s="754"/>
      <c r="AO260" s="754"/>
      <c r="AP260" s="754"/>
      <c r="AQ260" s="754"/>
      <c r="AR260" s="754"/>
      <c r="AS260" s="754"/>
      <c r="AT260" s="754"/>
      <c r="AU260" s="754"/>
    </row>
    <row r="261" ht="15.75" customHeight="1">
      <c r="A261" s="759">
        <v>44236.0</v>
      </c>
      <c r="B261" s="760" t="s">
        <v>5928</v>
      </c>
      <c r="C261" s="761" t="s">
        <v>3642</v>
      </c>
      <c r="D261" s="745" t="s">
        <v>5903</v>
      </c>
      <c r="E261" s="757">
        <v>40000.0</v>
      </c>
      <c r="F261" s="745" t="s">
        <v>3986</v>
      </c>
      <c r="G261" s="745" t="s">
        <v>18</v>
      </c>
      <c r="H261" s="745" t="s">
        <v>29</v>
      </c>
      <c r="I261" s="745" t="s">
        <v>3987</v>
      </c>
      <c r="J261" s="755">
        <v>44089.0</v>
      </c>
      <c r="K261" s="762" t="s">
        <v>3657</v>
      </c>
      <c r="L261" s="754"/>
      <c r="M261" s="754"/>
      <c r="N261" s="754"/>
      <c r="O261" s="754"/>
      <c r="P261" s="754"/>
      <c r="Q261" s="754"/>
      <c r="R261" s="754"/>
      <c r="S261" s="754"/>
      <c r="T261" s="754"/>
      <c r="U261" s="754"/>
      <c r="V261" s="754"/>
      <c r="W261" s="754"/>
      <c r="X261" s="754"/>
      <c r="Y261" s="754"/>
      <c r="Z261" s="754"/>
      <c r="AA261" s="754" t="s">
        <v>5902</v>
      </c>
      <c r="AB261" s="754"/>
      <c r="AC261" s="754"/>
      <c r="AD261" s="754"/>
      <c r="AE261" s="754"/>
      <c r="AF261" s="754"/>
      <c r="AG261" s="754"/>
      <c r="AH261" s="754"/>
      <c r="AI261" s="754"/>
      <c r="AJ261" s="754"/>
      <c r="AK261" s="754"/>
      <c r="AL261" s="754"/>
      <c r="AM261" s="754"/>
      <c r="AN261" s="754"/>
      <c r="AO261" s="754"/>
      <c r="AP261" s="754"/>
      <c r="AQ261" s="754"/>
      <c r="AR261" s="754"/>
      <c r="AS261" s="754"/>
      <c r="AT261" s="754"/>
      <c r="AU261" s="754"/>
    </row>
    <row r="262" ht="15.75" customHeight="1">
      <c r="A262" s="759">
        <v>44237.0</v>
      </c>
      <c r="B262" s="760" t="s">
        <v>5921</v>
      </c>
      <c r="C262" s="761" t="s">
        <v>3642</v>
      </c>
      <c r="D262" s="745" t="s">
        <v>5903</v>
      </c>
      <c r="E262" s="757">
        <v>60000.0</v>
      </c>
      <c r="F262" s="745" t="s">
        <v>4318</v>
      </c>
      <c r="G262" s="745" t="s">
        <v>2379</v>
      </c>
      <c r="H262" s="745" t="s">
        <v>29</v>
      </c>
      <c r="I262" s="745" t="s">
        <v>2379</v>
      </c>
      <c r="J262" s="755">
        <v>43901.0</v>
      </c>
      <c r="K262" s="762" t="s">
        <v>3647</v>
      </c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54" t="s">
        <v>2387</v>
      </c>
      <c r="AB262" s="754"/>
      <c r="AC262" s="754"/>
      <c r="AD262" s="754"/>
      <c r="AE262" s="754"/>
      <c r="AF262" s="754"/>
      <c r="AG262" s="754"/>
      <c r="AH262" s="754"/>
      <c r="AI262" s="754"/>
      <c r="AJ262" s="754"/>
      <c r="AK262" s="754"/>
      <c r="AL262" s="754"/>
      <c r="AM262" s="754"/>
      <c r="AN262" s="754"/>
      <c r="AO262" s="754"/>
      <c r="AP262" s="754"/>
      <c r="AQ262" s="754"/>
      <c r="AR262" s="754"/>
      <c r="AS262" s="754"/>
      <c r="AT262" s="754"/>
      <c r="AU262" s="754"/>
    </row>
    <row r="263" ht="15.75" customHeight="1">
      <c r="A263" s="759">
        <v>44239.0</v>
      </c>
      <c r="B263" s="760" t="s">
        <v>2688</v>
      </c>
      <c r="C263" s="761" t="s">
        <v>2376</v>
      </c>
      <c r="D263" s="745" t="s">
        <v>5903</v>
      </c>
      <c r="E263" s="757">
        <v>0.0</v>
      </c>
      <c r="F263" s="745" t="s">
        <v>2687</v>
      </c>
      <c r="G263" s="755" t="s">
        <v>2379</v>
      </c>
      <c r="H263" s="755" t="s">
        <v>29</v>
      </c>
      <c r="I263" s="755" t="s">
        <v>2380</v>
      </c>
      <c r="J263" s="755">
        <v>43888.0</v>
      </c>
      <c r="K263" s="758" t="s">
        <v>3660</v>
      </c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54" t="s">
        <v>5903</v>
      </c>
      <c r="AB263" s="754"/>
      <c r="AC263" s="754"/>
      <c r="AD263" s="754"/>
      <c r="AE263" s="754"/>
      <c r="AF263" s="754"/>
      <c r="AG263" s="754"/>
      <c r="AH263" s="754"/>
      <c r="AI263" s="754"/>
      <c r="AJ263" s="754"/>
      <c r="AK263" s="754"/>
      <c r="AL263" s="754"/>
      <c r="AM263" s="754"/>
      <c r="AN263" s="754"/>
      <c r="AO263" s="754"/>
      <c r="AP263" s="754"/>
      <c r="AQ263" s="754"/>
      <c r="AR263" s="754"/>
      <c r="AS263" s="754"/>
      <c r="AT263" s="754"/>
      <c r="AU263" s="754"/>
    </row>
    <row r="264" ht="15.75" customHeight="1">
      <c r="A264" s="759">
        <v>44246.0</v>
      </c>
      <c r="B264" s="760" t="s">
        <v>5929</v>
      </c>
      <c r="C264" s="761" t="s">
        <v>3642</v>
      </c>
      <c r="D264" s="745" t="s">
        <v>5903</v>
      </c>
      <c r="E264" s="757">
        <v>147535.36</v>
      </c>
      <c r="F264" s="745" t="s">
        <v>3706</v>
      </c>
      <c r="G264" s="745" t="s">
        <v>2379</v>
      </c>
      <c r="H264" s="745" t="s">
        <v>29</v>
      </c>
      <c r="I264" s="745" t="s">
        <v>2379</v>
      </c>
      <c r="J264" s="755">
        <v>44180.0</v>
      </c>
      <c r="K264" s="762" t="s">
        <v>3651</v>
      </c>
      <c r="L264" s="754"/>
      <c r="M264" s="754"/>
      <c r="N264" s="754"/>
      <c r="O264" s="754"/>
      <c r="P264" s="754"/>
      <c r="Q264" s="754"/>
      <c r="R264" s="754"/>
      <c r="S264" s="754"/>
      <c r="T264" s="754"/>
      <c r="U264" s="754"/>
      <c r="V264" s="754"/>
      <c r="W264" s="754"/>
      <c r="X264" s="754"/>
      <c r="Y264" s="754"/>
      <c r="Z264" s="754"/>
      <c r="AA264" s="754"/>
      <c r="AB264" s="754"/>
      <c r="AC264" s="754"/>
      <c r="AD264" s="754"/>
      <c r="AE264" s="754"/>
      <c r="AF264" s="754"/>
      <c r="AG264" s="754"/>
      <c r="AH264" s="754"/>
      <c r="AI264" s="754"/>
      <c r="AJ264" s="754"/>
      <c r="AK264" s="754"/>
      <c r="AL264" s="754"/>
      <c r="AM264" s="754"/>
      <c r="AN264" s="754"/>
      <c r="AO264" s="754"/>
      <c r="AP264" s="754"/>
      <c r="AQ264" s="754"/>
      <c r="AR264" s="754"/>
      <c r="AS264" s="754"/>
      <c r="AT264" s="754"/>
      <c r="AU264" s="754"/>
    </row>
    <row r="265" ht="15.75" customHeight="1">
      <c r="A265" s="759">
        <v>44246.0</v>
      </c>
      <c r="B265" s="760" t="s">
        <v>3342</v>
      </c>
      <c r="C265" s="761" t="s">
        <v>2376</v>
      </c>
      <c r="D265" s="745" t="s">
        <v>5903</v>
      </c>
      <c r="E265" s="757">
        <v>10000.0</v>
      </c>
      <c r="F265" s="745" t="s">
        <v>3341</v>
      </c>
      <c r="G265" s="755" t="s">
        <v>2379</v>
      </c>
      <c r="H265" s="755" t="s">
        <v>29</v>
      </c>
      <c r="I265" s="755" t="s">
        <v>2380</v>
      </c>
      <c r="J265" s="755">
        <v>43717.0</v>
      </c>
      <c r="K265" s="758" t="s">
        <v>4033</v>
      </c>
      <c r="L265" s="754"/>
      <c r="M265" s="754"/>
      <c r="N265" s="754"/>
      <c r="O265" s="754"/>
      <c r="P265" s="754"/>
      <c r="Q265" s="754"/>
      <c r="R265" s="754"/>
      <c r="S265" s="754"/>
      <c r="T265" s="754"/>
      <c r="U265" s="754"/>
      <c r="V265" s="754"/>
      <c r="W265" s="754"/>
      <c r="X265" s="754"/>
      <c r="Y265" s="754"/>
      <c r="Z265" s="754"/>
      <c r="AA265" s="754"/>
      <c r="AB265" s="754"/>
      <c r="AC265" s="754"/>
      <c r="AD265" s="754"/>
      <c r="AE265" s="754"/>
      <c r="AF265" s="754"/>
      <c r="AG265" s="754"/>
      <c r="AH265" s="754"/>
      <c r="AI265" s="754"/>
      <c r="AJ265" s="754"/>
      <c r="AK265" s="754"/>
      <c r="AL265" s="754"/>
      <c r="AM265" s="754"/>
      <c r="AN265" s="754"/>
      <c r="AO265" s="754"/>
      <c r="AP265" s="754"/>
      <c r="AQ265" s="754"/>
      <c r="AR265" s="754"/>
      <c r="AS265" s="754"/>
      <c r="AT265" s="754"/>
      <c r="AU265" s="754"/>
    </row>
    <row r="266" ht="15.75" customHeight="1">
      <c r="A266" s="759">
        <v>44251.0</v>
      </c>
      <c r="B266" s="760" t="s">
        <v>3213</v>
      </c>
      <c r="C266" s="761" t="s">
        <v>2376</v>
      </c>
      <c r="D266" s="745" t="s">
        <v>5903</v>
      </c>
      <c r="E266" s="757">
        <v>7000.0</v>
      </c>
      <c r="F266" s="745" t="s">
        <v>3210</v>
      </c>
      <c r="G266" s="755" t="s">
        <v>18</v>
      </c>
      <c r="H266" s="755" t="s">
        <v>29</v>
      </c>
      <c r="I266" s="755" t="s">
        <v>2633</v>
      </c>
      <c r="J266" s="755">
        <v>43417.0</v>
      </c>
      <c r="K266" s="758" t="s">
        <v>5060</v>
      </c>
      <c r="L266" s="754"/>
      <c r="M266" s="754"/>
      <c r="N266" s="754"/>
      <c r="O266" s="754"/>
      <c r="P266" s="754"/>
      <c r="Q266" s="754"/>
      <c r="R266" s="754"/>
      <c r="S266" s="754"/>
      <c r="T266" s="754"/>
      <c r="U266" s="754"/>
      <c r="V266" s="754"/>
      <c r="W266" s="754"/>
      <c r="X266" s="754"/>
      <c r="Y266" s="754"/>
      <c r="Z266" s="754"/>
      <c r="AA266" s="754"/>
      <c r="AB266" s="754"/>
      <c r="AC266" s="754"/>
      <c r="AD266" s="754"/>
      <c r="AE266" s="754"/>
      <c r="AF266" s="754"/>
      <c r="AG266" s="754"/>
      <c r="AH266" s="754"/>
      <c r="AI266" s="754"/>
      <c r="AJ266" s="754"/>
      <c r="AK266" s="754"/>
      <c r="AL266" s="754"/>
      <c r="AM266" s="754"/>
      <c r="AN266" s="754"/>
      <c r="AO266" s="754"/>
      <c r="AP266" s="754"/>
      <c r="AQ266" s="754"/>
      <c r="AR266" s="754"/>
      <c r="AS266" s="754"/>
      <c r="AT266" s="754"/>
      <c r="AU266" s="754"/>
    </row>
    <row r="267" ht="15.75" customHeight="1">
      <c r="A267" s="755">
        <v>44252.0</v>
      </c>
      <c r="B267" s="756" t="s">
        <v>5907</v>
      </c>
      <c r="C267" s="745" t="s">
        <v>3642</v>
      </c>
      <c r="D267" s="745" t="s">
        <v>5902</v>
      </c>
      <c r="E267" s="757">
        <v>0.0</v>
      </c>
      <c r="F267" s="745" t="s">
        <v>4507</v>
      </c>
      <c r="G267" s="745" t="s">
        <v>2379</v>
      </c>
      <c r="H267" s="745" t="s">
        <v>29</v>
      </c>
      <c r="I267" s="745" t="s">
        <v>2379</v>
      </c>
      <c r="J267" s="755">
        <v>44252.0</v>
      </c>
      <c r="K267" s="762" t="s">
        <v>3660</v>
      </c>
      <c r="L267" s="754"/>
      <c r="M267" s="754"/>
      <c r="N267" s="754"/>
      <c r="O267" s="754"/>
      <c r="P267" s="754"/>
      <c r="Q267" s="754"/>
      <c r="R267" s="754"/>
      <c r="S267" s="754"/>
      <c r="T267" s="754"/>
      <c r="U267" s="754"/>
      <c r="V267" s="754"/>
      <c r="W267" s="754"/>
      <c r="X267" s="754"/>
      <c r="Y267" s="754"/>
      <c r="Z267" s="754"/>
      <c r="AA267" s="754"/>
      <c r="AB267" s="754"/>
      <c r="AC267" s="754"/>
      <c r="AD267" s="754"/>
      <c r="AE267" s="754"/>
      <c r="AF267" s="754"/>
      <c r="AG267" s="754"/>
      <c r="AH267" s="754"/>
      <c r="AI267" s="754"/>
      <c r="AJ267" s="754"/>
      <c r="AK267" s="754"/>
      <c r="AL267" s="754"/>
      <c r="AM267" s="754"/>
      <c r="AN267" s="754"/>
      <c r="AO267" s="754"/>
      <c r="AP267" s="754"/>
      <c r="AQ267" s="754"/>
      <c r="AR267" s="754"/>
      <c r="AS267" s="754"/>
      <c r="AT267" s="754"/>
      <c r="AU267" s="754"/>
    </row>
    <row r="268" ht="15.75" customHeight="1">
      <c r="A268" s="759">
        <v>44252.0</v>
      </c>
      <c r="B268" s="760" t="s">
        <v>5909</v>
      </c>
      <c r="C268" s="761" t="s">
        <v>3642</v>
      </c>
      <c r="D268" s="745" t="s">
        <v>5903</v>
      </c>
      <c r="E268" s="757">
        <v>359512.5</v>
      </c>
      <c r="F268" s="745" t="s">
        <v>4952</v>
      </c>
      <c r="G268" s="745" t="s">
        <v>2379</v>
      </c>
      <c r="H268" s="745" t="s">
        <v>29</v>
      </c>
      <c r="I268" s="745" t="s">
        <v>2379</v>
      </c>
      <c r="J268" s="755">
        <v>44225.0</v>
      </c>
      <c r="K268" s="762" t="s">
        <v>3651</v>
      </c>
      <c r="L268" s="754"/>
      <c r="M268" s="754"/>
      <c r="N268" s="754"/>
      <c r="O268" s="754"/>
      <c r="P268" s="754"/>
      <c r="Q268" s="754"/>
      <c r="R268" s="754"/>
      <c r="S268" s="754"/>
      <c r="T268" s="754"/>
      <c r="U268" s="754"/>
      <c r="V268" s="754"/>
      <c r="W268" s="754"/>
      <c r="X268" s="754"/>
      <c r="Y268" s="754"/>
      <c r="Z268" s="754"/>
      <c r="AA268" s="754"/>
      <c r="AB268" s="754"/>
      <c r="AC268" s="754"/>
      <c r="AD268" s="754"/>
      <c r="AE268" s="754"/>
      <c r="AF268" s="754"/>
      <c r="AG268" s="754"/>
      <c r="AH268" s="754"/>
      <c r="AI268" s="754"/>
      <c r="AJ268" s="754"/>
      <c r="AK268" s="754"/>
      <c r="AL268" s="754"/>
      <c r="AM268" s="754"/>
      <c r="AN268" s="754"/>
      <c r="AO268" s="754"/>
      <c r="AP268" s="754"/>
      <c r="AQ268" s="754"/>
      <c r="AR268" s="754"/>
      <c r="AS268" s="754"/>
      <c r="AT268" s="754"/>
      <c r="AU268" s="754"/>
    </row>
    <row r="269" ht="15.75" customHeight="1">
      <c r="A269" s="759">
        <v>44252.0</v>
      </c>
      <c r="B269" s="760" t="s">
        <v>5904</v>
      </c>
      <c r="C269" s="761" t="s">
        <v>3642</v>
      </c>
      <c r="D269" s="745" t="s">
        <v>5903</v>
      </c>
      <c r="E269" s="757">
        <v>0.0</v>
      </c>
      <c r="F269" s="745" t="s">
        <v>4889</v>
      </c>
      <c r="G269" s="745" t="s">
        <v>2379</v>
      </c>
      <c r="H269" s="745" t="s">
        <v>29</v>
      </c>
      <c r="I269" s="745" t="s">
        <v>2379</v>
      </c>
      <c r="J269" s="755">
        <v>43749.0</v>
      </c>
      <c r="K269" s="762" t="s">
        <v>4033</v>
      </c>
      <c r="L269" s="754"/>
      <c r="M269" s="754"/>
      <c r="N269" s="754"/>
      <c r="O269" s="754"/>
      <c r="P269" s="754"/>
      <c r="Q269" s="754"/>
      <c r="R269" s="754"/>
      <c r="S269" s="754"/>
      <c r="T269" s="754"/>
      <c r="U269" s="754"/>
      <c r="V269" s="754"/>
      <c r="W269" s="754"/>
      <c r="X269" s="754"/>
      <c r="Y269" s="754"/>
      <c r="Z269" s="754"/>
      <c r="AA269" s="754"/>
      <c r="AB269" s="754"/>
      <c r="AC269" s="754"/>
      <c r="AD269" s="754"/>
      <c r="AE269" s="754"/>
      <c r="AF269" s="754"/>
      <c r="AG269" s="754"/>
      <c r="AH269" s="754"/>
      <c r="AI269" s="754"/>
      <c r="AJ269" s="754"/>
      <c r="AK269" s="754"/>
      <c r="AL269" s="754"/>
      <c r="AM269" s="754"/>
      <c r="AN269" s="754"/>
      <c r="AO269" s="754"/>
      <c r="AP269" s="754"/>
      <c r="AQ269" s="754"/>
      <c r="AR269" s="754"/>
      <c r="AS269" s="754"/>
      <c r="AT269" s="754"/>
      <c r="AU269" s="754"/>
    </row>
    <row r="270" ht="15.75" customHeight="1">
      <c r="A270" s="759">
        <v>44252.0</v>
      </c>
      <c r="B270" s="760" t="s">
        <v>5919</v>
      </c>
      <c r="C270" s="761" t="s">
        <v>3642</v>
      </c>
      <c r="D270" s="745" t="s">
        <v>5903</v>
      </c>
      <c r="E270" s="757">
        <v>30000.0</v>
      </c>
      <c r="F270" s="745" t="s">
        <v>4851</v>
      </c>
      <c r="G270" s="745" t="s">
        <v>2379</v>
      </c>
      <c r="H270" s="745" t="s">
        <v>29</v>
      </c>
      <c r="I270" s="745" t="s">
        <v>2379</v>
      </c>
      <c r="J270" s="755">
        <v>44043.0</v>
      </c>
      <c r="K270" s="762" t="s">
        <v>3651</v>
      </c>
      <c r="L270" s="754"/>
      <c r="M270" s="754"/>
      <c r="N270" s="754"/>
      <c r="O270" s="754"/>
      <c r="P270" s="754"/>
      <c r="Q270" s="754"/>
      <c r="R270" s="754"/>
      <c r="S270" s="754"/>
      <c r="T270" s="754"/>
      <c r="U270" s="754"/>
      <c r="V270" s="754"/>
      <c r="W270" s="754"/>
      <c r="X270" s="754"/>
      <c r="Y270" s="754"/>
      <c r="Z270" s="754"/>
      <c r="AA270" s="754"/>
      <c r="AB270" s="754"/>
      <c r="AC270" s="754"/>
      <c r="AD270" s="754"/>
      <c r="AE270" s="754"/>
      <c r="AF270" s="754"/>
      <c r="AG270" s="754"/>
      <c r="AH270" s="754"/>
      <c r="AI270" s="754"/>
      <c r="AJ270" s="754"/>
      <c r="AK270" s="754"/>
      <c r="AL270" s="754"/>
      <c r="AM270" s="754"/>
      <c r="AN270" s="754"/>
      <c r="AO270" s="754"/>
      <c r="AP270" s="754"/>
      <c r="AQ270" s="754"/>
      <c r="AR270" s="754"/>
      <c r="AS270" s="754"/>
      <c r="AT270" s="754"/>
      <c r="AU270" s="754"/>
    </row>
    <row r="271" ht="15.75" customHeight="1">
      <c r="A271" s="755">
        <v>44253.0</v>
      </c>
      <c r="B271" s="756" t="s">
        <v>5930</v>
      </c>
      <c r="C271" s="745" t="s">
        <v>3642</v>
      </c>
      <c r="D271" s="745" t="s">
        <v>5902</v>
      </c>
      <c r="E271" s="757">
        <v>0.0</v>
      </c>
      <c r="F271" s="745" t="s">
        <v>3982</v>
      </c>
      <c r="G271" s="745" t="s">
        <v>86</v>
      </c>
      <c r="H271" s="745" t="s">
        <v>29</v>
      </c>
      <c r="I271" s="745" t="s">
        <v>3983</v>
      </c>
      <c r="J271" s="755">
        <v>44183.0</v>
      </c>
      <c r="K271" s="762" t="s">
        <v>3651</v>
      </c>
      <c r="L271" s="754"/>
      <c r="M271" s="754"/>
      <c r="N271" s="754"/>
      <c r="O271" s="754"/>
      <c r="P271" s="754"/>
      <c r="Q271" s="754"/>
      <c r="R271" s="754"/>
      <c r="S271" s="754"/>
      <c r="T271" s="754"/>
      <c r="U271" s="754"/>
      <c r="V271" s="754"/>
      <c r="W271" s="754"/>
      <c r="X271" s="754"/>
      <c r="Y271" s="754"/>
      <c r="Z271" s="754"/>
      <c r="AA271" s="754"/>
      <c r="AB271" s="754"/>
      <c r="AC271" s="754"/>
      <c r="AD271" s="754"/>
      <c r="AE271" s="754"/>
      <c r="AF271" s="754"/>
      <c r="AG271" s="754"/>
      <c r="AH271" s="754"/>
      <c r="AI271" s="754"/>
      <c r="AJ271" s="754"/>
      <c r="AK271" s="754"/>
      <c r="AL271" s="754"/>
      <c r="AM271" s="754"/>
      <c r="AN271" s="754"/>
      <c r="AO271" s="754"/>
      <c r="AP271" s="754"/>
      <c r="AQ271" s="754"/>
      <c r="AR271" s="754"/>
      <c r="AS271" s="754"/>
      <c r="AT271" s="754"/>
      <c r="AU271" s="754"/>
    </row>
    <row r="272" ht="15.75" customHeight="1">
      <c r="A272" s="759">
        <v>44253.0</v>
      </c>
      <c r="B272" s="760" t="s">
        <v>5931</v>
      </c>
      <c r="C272" s="761" t="s">
        <v>3642</v>
      </c>
      <c r="D272" s="745" t="s">
        <v>5903</v>
      </c>
      <c r="E272" s="757">
        <v>600000.0</v>
      </c>
      <c r="F272" s="745" t="s">
        <v>4495</v>
      </c>
      <c r="G272" s="745" t="s">
        <v>86</v>
      </c>
      <c r="H272" s="745" t="s">
        <v>29</v>
      </c>
      <c r="I272" s="745" t="s">
        <v>3913</v>
      </c>
      <c r="J272" s="755">
        <v>44067.0</v>
      </c>
      <c r="K272" s="762" t="s">
        <v>3664</v>
      </c>
      <c r="L272" s="754"/>
      <c r="M272" s="754"/>
      <c r="N272" s="754"/>
      <c r="O272" s="754"/>
      <c r="P272" s="754"/>
      <c r="Q272" s="754"/>
      <c r="R272" s="754"/>
      <c r="S272" s="754"/>
      <c r="T272" s="754"/>
      <c r="U272" s="754"/>
      <c r="V272" s="754"/>
      <c r="W272" s="754"/>
      <c r="X272" s="754"/>
      <c r="Y272" s="754"/>
      <c r="Z272" s="754"/>
      <c r="AA272" s="754"/>
      <c r="AB272" s="754"/>
      <c r="AC272" s="754"/>
      <c r="AD272" s="754"/>
      <c r="AE272" s="754"/>
      <c r="AF272" s="754"/>
      <c r="AG272" s="754"/>
      <c r="AH272" s="754"/>
      <c r="AI272" s="754"/>
      <c r="AJ272" s="754"/>
      <c r="AK272" s="754"/>
      <c r="AL272" s="754"/>
      <c r="AM272" s="754"/>
      <c r="AN272" s="754"/>
      <c r="AO272" s="754"/>
      <c r="AP272" s="754"/>
      <c r="AQ272" s="754"/>
      <c r="AR272" s="754"/>
      <c r="AS272" s="754"/>
      <c r="AT272" s="754"/>
      <c r="AU272" s="754"/>
    </row>
    <row r="273" ht="15.75" customHeight="1">
      <c r="A273" s="759">
        <v>44253.0</v>
      </c>
      <c r="B273" s="760" t="s">
        <v>5930</v>
      </c>
      <c r="C273" s="761" t="s">
        <v>3642</v>
      </c>
      <c r="D273" s="745" t="s">
        <v>5903</v>
      </c>
      <c r="E273" s="757">
        <v>33961.75</v>
      </c>
      <c r="F273" s="745" t="s">
        <v>3982</v>
      </c>
      <c r="G273" s="745" t="s">
        <v>86</v>
      </c>
      <c r="H273" s="745" t="s">
        <v>29</v>
      </c>
      <c r="I273" s="745" t="s">
        <v>3983</v>
      </c>
      <c r="J273" s="755">
        <v>44183.0</v>
      </c>
      <c r="K273" s="762" t="s">
        <v>3651</v>
      </c>
      <c r="L273" s="754"/>
      <c r="M273" s="754"/>
      <c r="N273" s="754"/>
      <c r="O273" s="754"/>
      <c r="P273" s="754"/>
      <c r="Q273" s="754"/>
      <c r="R273" s="754"/>
      <c r="S273" s="754"/>
      <c r="T273" s="754"/>
      <c r="U273" s="754"/>
      <c r="V273" s="754"/>
      <c r="W273" s="754"/>
      <c r="X273" s="754"/>
      <c r="Y273" s="754"/>
      <c r="Z273" s="754"/>
      <c r="AA273" s="754"/>
      <c r="AB273" s="754"/>
      <c r="AC273" s="754"/>
      <c r="AD273" s="754"/>
      <c r="AE273" s="754"/>
      <c r="AF273" s="754"/>
      <c r="AG273" s="754"/>
      <c r="AH273" s="754"/>
      <c r="AI273" s="754"/>
      <c r="AJ273" s="754"/>
      <c r="AK273" s="754"/>
      <c r="AL273" s="754"/>
      <c r="AM273" s="754"/>
      <c r="AN273" s="754"/>
      <c r="AO273" s="754"/>
      <c r="AP273" s="754"/>
      <c r="AQ273" s="754"/>
      <c r="AR273" s="754"/>
      <c r="AS273" s="754"/>
      <c r="AT273" s="754"/>
      <c r="AU273" s="754"/>
    </row>
    <row r="274" ht="15.75" customHeight="1">
      <c r="A274" s="759">
        <v>44258.0</v>
      </c>
      <c r="B274" s="760" t="s">
        <v>2885</v>
      </c>
      <c r="C274" s="761" t="s">
        <v>2376</v>
      </c>
      <c r="D274" s="745" t="s">
        <v>5903</v>
      </c>
      <c r="E274" s="757">
        <v>47591.43</v>
      </c>
      <c r="F274" s="745" t="s">
        <v>2884</v>
      </c>
      <c r="G274" s="755" t="s">
        <v>2379</v>
      </c>
      <c r="H274" s="755" t="s">
        <v>29</v>
      </c>
      <c r="I274" s="755" t="s">
        <v>2392</v>
      </c>
      <c r="J274" s="755">
        <v>43559.0</v>
      </c>
      <c r="K274" s="758" t="s">
        <v>4033</v>
      </c>
      <c r="L274" s="754"/>
      <c r="M274" s="754"/>
      <c r="N274" s="754"/>
      <c r="O274" s="754"/>
      <c r="P274" s="754"/>
      <c r="Q274" s="754"/>
      <c r="R274" s="754"/>
      <c r="S274" s="754"/>
      <c r="T274" s="754"/>
      <c r="U274" s="754"/>
      <c r="V274" s="754"/>
      <c r="W274" s="754"/>
      <c r="X274" s="754"/>
      <c r="Y274" s="754"/>
      <c r="Z274" s="754"/>
      <c r="AA274" s="754"/>
      <c r="AB274" s="754"/>
      <c r="AC274" s="754"/>
      <c r="AD274" s="754"/>
      <c r="AE274" s="754"/>
      <c r="AF274" s="754"/>
      <c r="AG274" s="754"/>
      <c r="AH274" s="754"/>
      <c r="AI274" s="754"/>
      <c r="AJ274" s="754"/>
      <c r="AK274" s="754"/>
      <c r="AL274" s="754"/>
      <c r="AM274" s="754"/>
      <c r="AN274" s="754"/>
      <c r="AO274" s="754"/>
      <c r="AP274" s="754"/>
      <c r="AQ274" s="754"/>
      <c r="AR274" s="754"/>
      <c r="AS274" s="754"/>
      <c r="AT274" s="754"/>
      <c r="AU274" s="754"/>
    </row>
    <row r="275" ht="15.75" customHeight="1">
      <c r="A275" s="759">
        <v>44258.0</v>
      </c>
      <c r="B275" s="760" t="s">
        <v>2632</v>
      </c>
      <c r="C275" s="761" t="s">
        <v>2376</v>
      </c>
      <c r="D275" s="745" t="s">
        <v>2387</v>
      </c>
      <c r="E275" s="757">
        <v>5000.0</v>
      </c>
      <c r="F275" s="745" t="s">
        <v>2631</v>
      </c>
      <c r="G275" s="755" t="s">
        <v>18</v>
      </c>
      <c r="H275" s="755" t="s">
        <v>29</v>
      </c>
      <c r="I275" s="755" t="s">
        <v>2633</v>
      </c>
      <c r="J275" s="755">
        <v>43416.0</v>
      </c>
      <c r="K275" s="758" t="s">
        <v>3664</v>
      </c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54"/>
      <c r="AB275" s="754"/>
      <c r="AC275" s="754"/>
      <c r="AD275" s="754"/>
      <c r="AE275" s="754"/>
      <c r="AF275" s="754"/>
      <c r="AG275" s="754"/>
      <c r="AH275" s="754"/>
      <c r="AI275" s="754"/>
      <c r="AJ275" s="754"/>
      <c r="AK275" s="754"/>
      <c r="AL275" s="754"/>
      <c r="AM275" s="754"/>
      <c r="AN275" s="754"/>
      <c r="AO275" s="754"/>
      <c r="AP275" s="754"/>
      <c r="AQ275" s="754"/>
      <c r="AR275" s="754"/>
      <c r="AS275" s="754"/>
      <c r="AT275" s="754"/>
      <c r="AU275" s="754"/>
    </row>
    <row r="276" ht="15.75" customHeight="1">
      <c r="A276" s="759">
        <v>44258.0</v>
      </c>
      <c r="B276" s="760" t="s">
        <v>3546</v>
      </c>
      <c r="C276" s="761" t="s">
        <v>3458</v>
      </c>
      <c r="D276" s="745" t="s">
        <v>2387</v>
      </c>
      <c r="E276" s="757">
        <v>721960.02</v>
      </c>
      <c r="F276" s="745" t="s">
        <v>3545</v>
      </c>
      <c r="G276" s="755" t="s">
        <v>18</v>
      </c>
      <c r="H276" s="755" t="s">
        <v>29</v>
      </c>
      <c r="I276" s="755" t="s">
        <v>2052</v>
      </c>
      <c r="J276" s="755">
        <v>43797.0</v>
      </c>
      <c r="K276" s="758" t="s">
        <v>3660</v>
      </c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54"/>
      <c r="AB276" s="754"/>
      <c r="AC276" s="754"/>
      <c r="AD276" s="754"/>
      <c r="AE276" s="754"/>
      <c r="AF276" s="754"/>
      <c r="AG276" s="754"/>
      <c r="AH276" s="754"/>
      <c r="AI276" s="754"/>
      <c r="AJ276" s="754"/>
      <c r="AK276" s="754"/>
      <c r="AL276" s="754"/>
      <c r="AM276" s="754"/>
      <c r="AN276" s="754"/>
      <c r="AO276" s="754"/>
      <c r="AP276" s="754"/>
      <c r="AQ276" s="754"/>
      <c r="AR276" s="754"/>
      <c r="AS276" s="754"/>
      <c r="AT276" s="754"/>
      <c r="AU276" s="754"/>
    </row>
    <row r="277" ht="15.75" customHeight="1">
      <c r="A277" s="759">
        <v>44260.0</v>
      </c>
      <c r="B277" s="760" t="s">
        <v>2770</v>
      </c>
      <c r="C277" s="761" t="s">
        <v>2376</v>
      </c>
      <c r="D277" s="745" t="s">
        <v>5903</v>
      </c>
      <c r="E277" s="757">
        <v>50844.88</v>
      </c>
      <c r="F277" s="745" t="s">
        <v>2769</v>
      </c>
      <c r="G277" s="755" t="s">
        <v>2379</v>
      </c>
      <c r="H277" s="755" t="s">
        <v>29</v>
      </c>
      <c r="I277" s="755" t="s">
        <v>2380</v>
      </c>
      <c r="J277" s="755">
        <v>43888.0</v>
      </c>
      <c r="K277" s="758" t="s">
        <v>3651</v>
      </c>
      <c r="L277" s="754"/>
      <c r="M277" s="754"/>
      <c r="N277" s="754"/>
      <c r="O277" s="754"/>
      <c r="P277" s="754"/>
      <c r="Q277" s="754"/>
      <c r="R277" s="754"/>
      <c r="S277" s="754"/>
      <c r="T277" s="754"/>
      <c r="U277" s="754"/>
      <c r="V277" s="754"/>
      <c r="W277" s="754"/>
      <c r="X277" s="754"/>
      <c r="Y277" s="754"/>
      <c r="Z277" s="754"/>
      <c r="AA277" s="754"/>
      <c r="AB277" s="754"/>
      <c r="AC277" s="754"/>
      <c r="AD277" s="754"/>
      <c r="AE277" s="754"/>
      <c r="AF277" s="754"/>
      <c r="AG277" s="754"/>
      <c r="AH277" s="754"/>
      <c r="AI277" s="754"/>
      <c r="AJ277" s="754"/>
      <c r="AK277" s="754"/>
      <c r="AL277" s="754"/>
      <c r="AM277" s="754"/>
      <c r="AN277" s="754"/>
      <c r="AO277" s="754"/>
      <c r="AP277" s="754"/>
      <c r="AQ277" s="754"/>
      <c r="AR277" s="754"/>
      <c r="AS277" s="754"/>
      <c r="AT277" s="754"/>
      <c r="AU277" s="754"/>
    </row>
    <row r="278" ht="15.75" customHeight="1">
      <c r="A278" s="759">
        <v>44263.0</v>
      </c>
      <c r="B278" s="760" t="s">
        <v>2902</v>
      </c>
      <c r="C278" s="761" t="s">
        <v>2376</v>
      </c>
      <c r="D278" s="745" t="s">
        <v>5903</v>
      </c>
      <c r="E278" s="757">
        <v>20000.0</v>
      </c>
      <c r="F278" s="745" t="s">
        <v>2901</v>
      </c>
      <c r="G278" s="755" t="s">
        <v>18</v>
      </c>
      <c r="H278" s="755" t="s">
        <v>29</v>
      </c>
      <c r="I278" s="755" t="s">
        <v>2633</v>
      </c>
      <c r="J278" s="755">
        <v>43515.0</v>
      </c>
      <c r="K278" s="758" t="s">
        <v>3664</v>
      </c>
      <c r="L278" s="754"/>
      <c r="M278" s="754"/>
      <c r="N278" s="754"/>
      <c r="O278" s="754"/>
      <c r="P278" s="754"/>
      <c r="Q278" s="754"/>
      <c r="R278" s="754"/>
      <c r="S278" s="754"/>
      <c r="T278" s="754"/>
      <c r="U278" s="754"/>
      <c r="V278" s="754"/>
      <c r="W278" s="754"/>
      <c r="X278" s="754"/>
      <c r="Y278" s="754"/>
      <c r="Z278" s="754"/>
      <c r="AA278" s="754"/>
      <c r="AB278" s="754"/>
      <c r="AC278" s="754"/>
      <c r="AD278" s="754"/>
      <c r="AE278" s="754"/>
      <c r="AF278" s="754"/>
      <c r="AG278" s="754"/>
      <c r="AH278" s="754"/>
      <c r="AI278" s="754"/>
      <c r="AJ278" s="754"/>
      <c r="AK278" s="754"/>
      <c r="AL278" s="754"/>
      <c r="AM278" s="754"/>
      <c r="AN278" s="754"/>
      <c r="AO278" s="754"/>
      <c r="AP278" s="754"/>
      <c r="AQ278" s="754"/>
      <c r="AR278" s="754"/>
      <c r="AS278" s="754"/>
      <c r="AT278" s="754"/>
      <c r="AU278" s="754"/>
    </row>
    <row r="279" ht="15.75" customHeight="1">
      <c r="A279" s="755">
        <v>44264.0</v>
      </c>
      <c r="B279" s="756" t="s">
        <v>2770</v>
      </c>
      <c r="C279" s="745" t="s">
        <v>2376</v>
      </c>
      <c r="D279" s="745" t="s">
        <v>5902</v>
      </c>
      <c r="E279" s="757">
        <v>111979.59</v>
      </c>
      <c r="F279" s="745" t="s">
        <v>2769</v>
      </c>
      <c r="G279" s="755" t="s">
        <v>2379</v>
      </c>
      <c r="H279" s="755" t="s">
        <v>29</v>
      </c>
      <c r="I279" s="755" t="s">
        <v>2380</v>
      </c>
      <c r="J279" s="755">
        <v>43888.0</v>
      </c>
      <c r="K279" s="758" t="s">
        <v>3651</v>
      </c>
      <c r="L279" s="754"/>
      <c r="M279" s="754"/>
      <c r="N279" s="754"/>
      <c r="O279" s="754"/>
      <c r="P279" s="754"/>
      <c r="Q279" s="754"/>
      <c r="R279" s="754"/>
      <c r="S279" s="754"/>
      <c r="T279" s="754"/>
      <c r="U279" s="754"/>
      <c r="V279" s="754"/>
      <c r="W279" s="754"/>
      <c r="X279" s="754"/>
      <c r="Y279" s="754"/>
      <c r="Z279" s="754"/>
      <c r="AA279" s="754"/>
      <c r="AB279" s="754"/>
      <c r="AC279" s="754"/>
      <c r="AD279" s="754"/>
      <c r="AE279" s="754"/>
      <c r="AF279" s="754"/>
      <c r="AG279" s="754"/>
      <c r="AH279" s="754"/>
      <c r="AI279" s="754"/>
      <c r="AJ279" s="754"/>
      <c r="AK279" s="754"/>
      <c r="AL279" s="754"/>
      <c r="AM279" s="754"/>
      <c r="AN279" s="754"/>
      <c r="AO279" s="754"/>
      <c r="AP279" s="754"/>
      <c r="AQ279" s="754"/>
      <c r="AR279" s="754"/>
      <c r="AS279" s="754"/>
      <c r="AT279" s="754"/>
      <c r="AU279" s="754"/>
    </row>
    <row r="280" ht="15.75" customHeight="1">
      <c r="A280" s="759">
        <v>44264.0</v>
      </c>
      <c r="B280" s="760" t="s">
        <v>5926</v>
      </c>
      <c r="C280" s="761" t="s">
        <v>3642</v>
      </c>
      <c r="D280" s="745" t="s">
        <v>2387</v>
      </c>
      <c r="E280" s="757">
        <v>100000.0</v>
      </c>
      <c r="F280" s="745" t="s">
        <v>3836</v>
      </c>
      <c r="G280" s="745" t="s">
        <v>2379</v>
      </c>
      <c r="H280" s="745" t="s">
        <v>29</v>
      </c>
      <c r="I280" s="745" t="s">
        <v>2379</v>
      </c>
      <c r="J280" s="755">
        <v>43847.0</v>
      </c>
      <c r="K280" s="762" t="s">
        <v>3651</v>
      </c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54"/>
      <c r="AB280" s="754"/>
      <c r="AC280" s="754"/>
      <c r="AD280" s="754"/>
      <c r="AE280" s="754"/>
      <c r="AF280" s="754"/>
      <c r="AG280" s="754"/>
      <c r="AH280" s="754"/>
      <c r="AI280" s="754"/>
      <c r="AJ280" s="754"/>
      <c r="AK280" s="754"/>
      <c r="AL280" s="754"/>
      <c r="AM280" s="754"/>
      <c r="AN280" s="754"/>
      <c r="AO280" s="754"/>
      <c r="AP280" s="754"/>
      <c r="AQ280" s="754"/>
      <c r="AR280" s="754"/>
      <c r="AS280" s="754"/>
      <c r="AT280" s="754"/>
      <c r="AU280" s="754"/>
    </row>
    <row r="281" ht="15.75" customHeight="1">
      <c r="A281" s="759">
        <v>44264.0</v>
      </c>
      <c r="B281" s="760" t="s">
        <v>5919</v>
      </c>
      <c r="C281" s="761" t="s">
        <v>3642</v>
      </c>
      <c r="D281" s="745" t="s">
        <v>2387</v>
      </c>
      <c r="E281" s="757">
        <v>900000.0</v>
      </c>
      <c r="F281" s="745" t="s">
        <v>4851</v>
      </c>
      <c r="G281" s="745" t="s">
        <v>2379</v>
      </c>
      <c r="H281" s="745" t="s">
        <v>29</v>
      </c>
      <c r="I281" s="745" t="s">
        <v>2379</v>
      </c>
      <c r="J281" s="755">
        <v>44043.0</v>
      </c>
      <c r="K281" s="762" t="s">
        <v>3651</v>
      </c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54"/>
      <c r="AB281" s="754"/>
      <c r="AC281" s="754"/>
      <c r="AD281" s="754"/>
      <c r="AE281" s="754"/>
      <c r="AF281" s="754"/>
      <c r="AG281" s="754"/>
      <c r="AH281" s="754"/>
      <c r="AI281" s="754"/>
      <c r="AJ281" s="754"/>
      <c r="AK281" s="754"/>
      <c r="AL281" s="754"/>
      <c r="AM281" s="754"/>
      <c r="AN281" s="754"/>
      <c r="AO281" s="754"/>
      <c r="AP281" s="754"/>
      <c r="AQ281" s="754"/>
      <c r="AR281" s="754"/>
      <c r="AS281" s="754"/>
      <c r="AT281" s="754"/>
      <c r="AU281" s="754"/>
    </row>
    <row r="282" ht="15.75" customHeight="1">
      <c r="A282" s="759">
        <v>44264.0</v>
      </c>
      <c r="B282" s="760" t="s">
        <v>5932</v>
      </c>
      <c r="C282" s="761" t="s">
        <v>3642</v>
      </c>
      <c r="D282" s="745" t="s">
        <v>2387</v>
      </c>
      <c r="E282" s="757">
        <v>13000.0</v>
      </c>
      <c r="F282" s="745" t="s">
        <v>4485</v>
      </c>
      <c r="G282" s="745" t="s">
        <v>2379</v>
      </c>
      <c r="H282" s="745" t="s">
        <v>29</v>
      </c>
      <c r="I282" s="745" t="s">
        <v>2379</v>
      </c>
      <c r="J282" s="755">
        <v>44070.0</v>
      </c>
      <c r="K282" s="762" t="s">
        <v>3647</v>
      </c>
      <c r="L282" s="754"/>
      <c r="M282" s="754"/>
      <c r="N282" s="754"/>
      <c r="O282" s="754"/>
      <c r="P282" s="754"/>
      <c r="Q282" s="754"/>
      <c r="R282" s="754"/>
      <c r="S282" s="754"/>
      <c r="T282" s="754"/>
      <c r="U282" s="754"/>
      <c r="V282" s="754"/>
      <c r="W282" s="754"/>
      <c r="X282" s="754"/>
      <c r="Y282" s="754"/>
      <c r="Z282" s="754"/>
      <c r="AA282" s="754"/>
      <c r="AB282" s="754"/>
      <c r="AC282" s="754"/>
      <c r="AD282" s="754"/>
      <c r="AE282" s="754"/>
      <c r="AF282" s="754"/>
      <c r="AG282" s="754"/>
      <c r="AH282" s="754"/>
      <c r="AI282" s="754"/>
      <c r="AJ282" s="754"/>
      <c r="AK282" s="754"/>
      <c r="AL282" s="754"/>
      <c r="AM282" s="754"/>
      <c r="AN282" s="754"/>
      <c r="AO282" s="754"/>
      <c r="AP282" s="754"/>
      <c r="AQ282" s="754"/>
      <c r="AR282" s="754"/>
      <c r="AS282" s="754"/>
      <c r="AT282" s="754"/>
      <c r="AU282" s="754"/>
    </row>
    <row r="283" ht="15.75" customHeight="1">
      <c r="A283" s="755">
        <v>44270.0</v>
      </c>
      <c r="B283" s="756" t="s">
        <v>5933</v>
      </c>
      <c r="C283" s="745" t="s">
        <v>3642</v>
      </c>
      <c r="D283" s="745" t="s">
        <v>5902</v>
      </c>
      <c r="E283" s="757">
        <v>0.0</v>
      </c>
      <c r="F283" s="745" t="s">
        <v>4313</v>
      </c>
      <c r="G283" s="745" t="s">
        <v>86</v>
      </c>
      <c r="H283" s="745" t="s">
        <v>29</v>
      </c>
      <c r="I283" s="745" t="s">
        <v>5934</v>
      </c>
      <c r="J283" s="755">
        <v>44160.0</v>
      </c>
      <c r="K283" s="762" t="s">
        <v>3647</v>
      </c>
      <c r="L283" s="754"/>
      <c r="M283" s="754"/>
      <c r="N283" s="754"/>
      <c r="O283" s="754"/>
      <c r="P283" s="754"/>
      <c r="Q283" s="754"/>
      <c r="R283" s="754"/>
      <c r="S283" s="754"/>
      <c r="T283" s="754"/>
      <c r="U283" s="754"/>
      <c r="V283" s="754"/>
      <c r="W283" s="754"/>
      <c r="X283" s="754"/>
      <c r="Y283" s="754"/>
      <c r="Z283" s="754"/>
      <c r="AA283" s="754"/>
      <c r="AB283" s="754"/>
      <c r="AC283" s="754"/>
      <c r="AD283" s="754"/>
      <c r="AE283" s="754"/>
      <c r="AF283" s="754"/>
      <c r="AG283" s="754"/>
      <c r="AH283" s="754"/>
      <c r="AI283" s="754"/>
      <c r="AJ283" s="754"/>
      <c r="AK283" s="754"/>
      <c r="AL283" s="754"/>
      <c r="AM283" s="754"/>
      <c r="AN283" s="754"/>
      <c r="AO283" s="754"/>
      <c r="AP283" s="754"/>
      <c r="AQ283" s="754"/>
      <c r="AR283" s="754"/>
      <c r="AS283" s="754"/>
      <c r="AT283" s="754"/>
      <c r="AU283" s="754"/>
    </row>
    <row r="284" ht="15.75" customHeight="1">
      <c r="A284" s="755">
        <v>44270.0</v>
      </c>
      <c r="B284" s="756" t="s">
        <v>5935</v>
      </c>
      <c r="C284" s="745" t="s">
        <v>3642</v>
      </c>
      <c r="D284" s="745" t="s">
        <v>5902</v>
      </c>
      <c r="E284" s="757">
        <v>0.0</v>
      </c>
      <c r="F284" s="745" t="s">
        <v>4920</v>
      </c>
      <c r="G284" s="745" t="s">
        <v>2379</v>
      </c>
      <c r="H284" s="745" t="s">
        <v>29</v>
      </c>
      <c r="I284" s="745" t="s">
        <v>2379</v>
      </c>
      <c r="J284" s="755">
        <v>44244.0</v>
      </c>
      <c r="K284" s="762" t="s">
        <v>3651</v>
      </c>
      <c r="L284" s="754"/>
      <c r="M284" s="754"/>
      <c r="N284" s="754"/>
      <c r="O284" s="754"/>
      <c r="P284" s="754"/>
      <c r="Q284" s="754"/>
      <c r="R284" s="754"/>
      <c r="S284" s="754"/>
      <c r="T284" s="754"/>
      <c r="U284" s="754"/>
      <c r="V284" s="754"/>
      <c r="W284" s="754"/>
      <c r="X284" s="754"/>
      <c r="Y284" s="754"/>
      <c r="Z284" s="754"/>
      <c r="AA284" s="754"/>
      <c r="AB284" s="754"/>
      <c r="AC284" s="754"/>
      <c r="AD284" s="754"/>
      <c r="AE284" s="754"/>
      <c r="AF284" s="754"/>
      <c r="AG284" s="754"/>
      <c r="AH284" s="754"/>
      <c r="AI284" s="754"/>
      <c r="AJ284" s="754"/>
      <c r="AK284" s="754"/>
      <c r="AL284" s="754"/>
      <c r="AM284" s="754"/>
      <c r="AN284" s="754"/>
      <c r="AO284" s="754"/>
      <c r="AP284" s="754"/>
      <c r="AQ284" s="754"/>
      <c r="AR284" s="754"/>
      <c r="AS284" s="754"/>
      <c r="AT284" s="754"/>
      <c r="AU284" s="754"/>
    </row>
    <row r="285" ht="15.75" customHeight="1">
      <c r="A285" s="759">
        <v>44270.0</v>
      </c>
      <c r="B285" s="760" t="s">
        <v>2885</v>
      </c>
      <c r="C285" s="761" t="s">
        <v>2376</v>
      </c>
      <c r="D285" s="745" t="s">
        <v>5903</v>
      </c>
      <c r="E285" s="757">
        <v>100000.0</v>
      </c>
      <c r="F285" s="745" t="s">
        <v>2884</v>
      </c>
      <c r="G285" s="755" t="s">
        <v>2379</v>
      </c>
      <c r="H285" s="755" t="s">
        <v>29</v>
      </c>
      <c r="I285" s="755" t="s">
        <v>2392</v>
      </c>
      <c r="J285" s="755">
        <v>43559.0</v>
      </c>
      <c r="K285" s="758" t="s">
        <v>4033</v>
      </c>
      <c r="L285" s="754"/>
      <c r="M285" s="754"/>
      <c r="N285" s="754"/>
      <c r="O285" s="754"/>
      <c r="P285" s="754"/>
      <c r="Q285" s="754"/>
      <c r="R285" s="754"/>
      <c r="S285" s="754"/>
      <c r="T285" s="754"/>
      <c r="U285" s="754"/>
      <c r="V285" s="754"/>
      <c r="W285" s="754"/>
      <c r="X285" s="754"/>
      <c r="Y285" s="754"/>
      <c r="Z285" s="754"/>
      <c r="AA285" s="754"/>
      <c r="AB285" s="754"/>
      <c r="AC285" s="754"/>
      <c r="AD285" s="754"/>
      <c r="AE285" s="754"/>
      <c r="AF285" s="754"/>
      <c r="AG285" s="754"/>
      <c r="AH285" s="754"/>
      <c r="AI285" s="754"/>
      <c r="AJ285" s="754"/>
      <c r="AK285" s="754"/>
      <c r="AL285" s="754"/>
      <c r="AM285" s="754"/>
      <c r="AN285" s="754"/>
      <c r="AO285" s="754"/>
      <c r="AP285" s="754"/>
      <c r="AQ285" s="754"/>
      <c r="AR285" s="754"/>
      <c r="AS285" s="754"/>
      <c r="AT285" s="754"/>
      <c r="AU285" s="754"/>
    </row>
    <row r="286" ht="15.75" customHeight="1">
      <c r="A286" s="759">
        <v>44274.0</v>
      </c>
      <c r="B286" s="760" t="s">
        <v>5909</v>
      </c>
      <c r="C286" s="761" t="s">
        <v>3642</v>
      </c>
      <c r="D286" s="745" t="s">
        <v>2387</v>
      </c>
      <c r="E286" s="757">
        <v>12500.0</v>
      </c>
      <c r="F286" s="745" t="s">
        <v>4952</v>
      </c>
      <c r="G286" s="745" t="s">
        <v>2379</v>
      </c>
      <c r="H286" s="745" t="s">
        <v>29</v>
      </c>
      <c r="I286" s="745" t="s">
        <v>2379</v>
      </c>
      <c r="J286" s="755">
        <v>44225.0</v>
      </c>
      <c r="K286" s="762" t="s">
        <v>3651</v>
      </c>
      <c r="L286" s="754"/>
      <c r="M286" s="754"/>
      <c r="N286" s="754"/>
      <c r="O286" s="754"/>
      <c r="P286" s="754"/>
      <c r="Q286" s="754"/>
      <c r="R286" s="754"/>
      <c r="S286" s="754"/>
      <c r="T286" s="754"/>
      <c r="U286" s="754"/>
      <c r="V286" s="754"/>
      <c r="W286" s="754"/>
      <c r="X286" s="754"/>
      <c r="Y286" s="754"/>
      <c r="Z286" s="754"/>
      <c r="AA286" s="754"/>
      <c r="AB286" s="754"/>
      <c r="AC286" s="754"/>
      <c r="AD286" s="754"/>
      <c r="AE286" s="754"/>
      <c r="AF286" s="754"/>
      <c r="AG286" s="754"/>
      <c r="AH286" s="754"/>
      <c r="AI286" s="754"/>
      <c r="AJ286" s="754"/>
      <c r="AK286" s="754"/>
      <c r="AL286" s="754"/>
      <c r="AM286" s="754"/>
      <c r="AN286" s="754"/>
      <c r="AO286" s="754"/>
      <c r="AP286" s="754"/>
      <c r="AQ286" s="754"/>
      <c r="AR286" s="754"/>
      <c r="AS286" s="754"/>
      <c r="AT286" s="754"/>
      <c r="AU286" s="754"/>
    </row>
    <row r="287" ht="15.75" customHeight="1">
      <c r="A287" s="759">
        <v>44277.0</v>
      </c>
      <c r="B287" s="760" t="s">
        <v>5936</v>
      </c>
      <c r="C287" s="761" t="s">
        <v>3642</v>
      </c>
      <c r="D287" s="745" t="s">
        <v>2387</v>
      </c>
      <c r="E287" s="757">
        <v>10000.0</v>
      </c>
      <c r="F287" s="745" t="s">
        <v>5087</v>
      </c>
      <c r="G287" s="745" t="s">
        <v>2379</v>
      </c>
      <c r="H287" s="745" t="s">
        <v>29</v>
      </c>
      <c r="I287" s="745" t="s">
        <v>2379</v>
      </c>
      <c r="J287" s="755">
        <v>44075.0</v>
      </c>
      <c r="K287" s="777" t="s">
        <v>3651</v>
      </c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54"/>
      <c r="AB287" s="754"/>
      <c r="AC287" s="754"/>
      <c r="AD287" s="754"/>
      <c r="AE287" s="754"/>
      <c r="AF287" s="754"/>
      <c r="AG287" s="754"/>
      <c r="AH287" s="754"/>
      <c r="AI287" s="754"/>
      <c r="AJ287" s="754"/>
      <c r="AK287" s="754"/>
      <c r="AL287" s="754"/>
      <c r="AM287" s="754"/>
      <c r="AN287" s="754"/>
      <c r="AO287" s="754"/>
      <c r="AP287" s="754"/>
      <c r="AQ287" s="754"/>
      <c r="AR287" s="754"/>
      <c r="AS287" s="754"/>
      <c r="AT287" s="754"/>
      <c r="AU287" s="754"/>
    </row>
    <row r="288" ht="15.75" customHeight="1">
      <c r="A288" s="759">
        <v>44277.0</v>
      </c>
      <c r="B288" s="760" t="s">
        <v>2623</v>
      </c>
      <c r="C288" s="761" t="s">
        <v>2376</v>
      </c>
      <c r="D288" s="745" t="s">
        <v>5903</v>
      </c>
      <c r="E288" s="757">
        <v>96557.66</v>
      </c>
      <c r="F288" s="745" t="s">
        <v>2622</v>
      </c>
      <c r="G288" s="755" t="s">
        <v>2379</v>
      </c>
      <c r="H288" s="755" t="s">
        <v>29</v>
      </c>
      <c r="I288" s="755" t="s">
        <v>2380</v>
      </c>
      <c r="J288" s="755">
        <v>43822.0</v>
      </c>
      <c r="K288" s="755" t="s">
        <v>3660</v>
      </c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54"/>
      <c r="AB288" s="754"/>
      <c r="AC288" s="754"/>
      <c r="AD288" s="754"/>
      <c r="AE288" s="754"/>
      <c r="AF288" s="754"/>
      <c r="AG288" s="754"/>
      <c r="AH288" s="754"/>
      <c r="AI288" s="754"/>
      <c r="AJ288" s="754"/>
      <c r="AK288" s="754"/>
      <c r="AL288" s="754"/>
      <c r="AM288" s="754"/>
      <c r="AN288" s="754"/>
      <c r="AO288" s="754"/>
      <c r="AP288" s="754"/>
      <c r="AQ288" s="754"/>
      <c r="AR288" s="754"/>
      <c r="AS288" s="754"/>
      <c r="AT288" s="754"/>
      <c r="AU288" s="754"/>
    </row>
    <row r="289" ht="15.75" customHeight="1">
      <c r="A289" s="759">
        <v>44278.0</v>
      </c>
      <c r="B289" s="760" t="s">
        <v>3166</v>
      </c>
      <c r="C289" s="761" t="s">
        <v>2376</v>
      </c>
      <c r="D289" s="745" t="s">
        <v>5903</v>
      </c>
      <c r="E289" s="757">
        <v>120000.0</v>
      </c>
      <c r="F289" s="745" t="s">
        <v>3165</v>
      </c>
      <c r="G289" s="755" t="s">
        <v>2379</v>
      </c>
      <c r="H289" s="755" t="s">
        <v>29</v>
      </c>
      <c r="I289" s="755" t="s">
        <v>2392</v>
      </c>
      <c r="J289" s="755">
        <v>43531.0</v>
      </c>
      <c r="K289" s="758" t="s">
        <v>4033</v>
      </c>
      <c r="L289" s="754"/>
      <c r="M289" s="754"/>
      <c r="N289" s="754"/>
      <c r="O289" s="754"/>
      <c r="P289" s="754"/>
      <c r="Q289" s="754"/>
      <c r="R289" s="754"/>
      <c r="S289" s="754"/>
      <c r="T289" s="754"/>
      <c r="U289" s="754"/>
      <c r="V289" s="754"/>
      <c r="W289" s="754"/>
      <c r="X289" s="754"/>
      <c r="Y289" s="754"/>
      <c r="Z289" s="754"/>
      <c r="AA289" s="754"/>
      <c r="AB289" s="754"/>
      <c r="AC289" s="754"/>
      <c r="AD289" s="754"/>
      <c r="AE289" s="754"/>
      <c r="AF289" s="754"/>
      <c r="AG289" s="754"/>
      <c r="AH289" s="754"/>
      <c r="AI289" s="754"/>
      <c r="AJ289" s="754"/>
      <c r="AK289" s="754"/>
      <c r="AL289" s="754"/>
      <c r="AM289" s="754"/>
      <c r="AN289" s="754"/>
      <c r="AO289" s="754"/>
      <c r="AP289" s="754"/>
      <c r="AQ289" s="754"/>
      <c r="AR289" s="754"/>
      <c r="AS289" s="754"/>
      <c r="AT289" s="754"/>
      <c r="AU289" s="754"/>
    </row>
    <row r="290" ht="15.75" customHeight="1">
      <c r="A290" s="759">
        <v>44279.0</v>
      </c>
      <c r="B290" s="760" t="s">
        <v>3279</v>
      </c>
      <c r="C290" s="761" t="s">
        <v>2376</v>
      </c>
      <c r="D290" s="745" t="s">
        <v>5903</v>
      </c>
      <c r="E290" s="757">
        <v>5000.0</v>
      </c>
      <c r="F290" s="745" t="s">
        <v>5937</v>
      </c>
      <c r="G290" s="755" t="s">
        <v>18</v>
      </c>
      <c r="H290" s="755" t="s">
        <v>145</v>
      </c>
      <c r="I290" s="755" t="s">
        <v>146</v>
      </c>
      <c r="J290" s="755">
        <v>44278.0</v>
      </c>
      <c r="K290" s="758" t="s">
        <v>3651</v>
      </c>
      <c r="L290" s="754"/>
      <c r="M290" s="754"/>
      <c r="N290" s="754"/>
      <c r="O290" s="754"/>
      <c r="P290" s="754"/>
      <c r="Q290" s="754"/>
      <c r="R290" s="754"/>
      <c r="S290" s="754"/>
      <c r="T290" s="754"/>
      <c r="U290" s="754"/>
      <c r="V290" s="754"/>
      <c r="W290" s="754"/>
      <c r="X290" s="754"/>
      <c r="Y290" s="754"/>
      <c r="Z290" s="754"/>
      <c r="AA290" s="754"/>
      <c r="AB290" s="754"/>
      <c r="AC290" s="754"/>
      <c r="AD290" s="754"/>
      <c r="AE290" s="754"/>
      <c r="AF290" s="754"/>
      <c r="AG290" s="754"/>
      <c r="AH290" s="754"/>
      <c r="AI290" s="754"/>
      <c r="AJ290" s="754"/>
      <c r="AK290" s="754"/>
      <c r="AL290" s="754"/>
      <c r="AM290" s="754"/>
      <c r="AN290" s="754"/>
      <c r="AO290" s="754"/>
      <c r="AP290" s="754"/>
      <c r="AQ290" s="754"/>
      <c r="AR290" s="754"/>
      <c r="AS290" s="754"/>
      <c r="AT290" s="754"/>
      <c r="AU290" s="754"/>
    </row>
    <row r="291" ht="15.75" customHeight="1">
      <c r="A291" s="759">
        <v>44279.0</v>
      </c>
      <c r="B291" s="760" t="s">
        <v>5938</v>
      </c>
      <c r="C291" s="761" t="s">
        <v>3642</v>
      </c>
      <c r="D291" s="745" t="s">
        <v>5903</v>
      </c>
      <c r="E291" s="757">
        <v>7000.0</v>
      </c>
      <c r="F291" s="745" t="s">
        <v>5078</v>
      </c>
      <c r="G291" s="745" t="s">
        <v>86</v>
      </c>
      <c r="H291" s="745" t="s">
        <v>29</v>
      </c>
      <c r="I291" s="745" t="s">
        <v>5079</v>
      </c>
      <c r="J291" s="755">
        <v>44105.0</v>
      </c>
      <c r="K291" s="762" t="s">
        <v>3664</v>
      </c>
      <c r="L291" s="754"/>
      <c r="M291" s="754"/>
      <c r="N291" s="754"/>
      <c r="O291" s="754"/>
      <c r="P291" s="754"/>
      <c r="Q291" s="754"/>
      <c r="R291" s="754"/>
      <c r="S291" s="754"/>
      <c r="T291" s="754"/>
      <c r="U291" s="754"/>
      <c r="V291" s="754"/>
      <c r="W291" s="754"/>
      <c r="X291" s="754"/>
      <c r="Y291" s="754"/>
      <c r="Z291" s="754"/>
      <c r="AA291" s="754"/>
      <c r="AB291" s="754"/>
      <c r="AC291" s="754"/>
      <c r="AD291" s="754"/>
      <c r="AE291" s="754"/>
      <c r="AF291" s="754"/>
      <c r="AG291" s="754"/>
      <c r="AH291" s="754"/>
      <c r="AI291" s="754"/>
      <c r="AJ291" s="754"/>
      <c r="AK291" s="754"/>
      <c r="AL291" s="754"/>
      <c r="AM291" s="754"/>
      <c r="AN291" s="754"/>
      <c r="AO291" s="754"/>
      <c r="AP291" s="754"/>
      <c r="AQ291" s="754"/>
      <c r="AR291" s="754"/>
      <c r="AS291" s="754"/>
      <c r="AT291" s="754"/>
      <c r="AU291" s="754"/>
    </row>
    <row r="292" ht="15.75" customHeight="1">
      <c r="A292" s="759">
        <v>44280.0</v>
      </c>
      <c r="B292" s="760" t="s">
        <v>2571</v>
      </c>
      <c r="C292" s="761" t="s">
        <v>2376</v>
      </c>
      <c r="D292" s="745" t="s">
        <v>5903</v>
      </c>
      <c r="E292" s="757">
        <v>153417.37</v>
      </c>
      <c r="F292" s="745" t="s">
        <v>2570</v>
      </c>
      <c r="G292" s="755" t="s">
        <v>18</v>
      </c>
      <c r="H292" s="755" t="s">
        <v>145</v>
      </c>
      <c r="I292" s="755" t="s">
        <v>2464</v>
      </c>
      <c r="J292" s="755">
        <v>44273.0</v>
      </c>
      <c r="K292" s="758" t="s">
        <v>3651</v>
      </c>
      <c r="L292" s="754"/>
      <c r="M292" s="754"/>
      <c r="N292" s="754"/>
      <c r="O292" s="754"/>
      <c r="P292" s="754"/>
      <c r="Q292" s="754"/>
      <c r="R292" s="754"/>
      <c r="S292" s="754"/>
      <c r="T292" s="754"/>
      <c r="U292" s="754"/>
      <c r="V292" s="754"/>
      <c r="W292" s="754"/>
      <c r="X292" s="754"/>
      <c r="Y292" s="754"/>
      <c r="Z292" s="754"/>
      <c r="AA292" s="754"/>
      <c r="AB292" s="754"/>
      <c r="AC292" s="754"/>
      <c r="AD292" s="754"/>
      <c r="AE292" s="754"/>
      <c r="AF292" s="754"/>
      <c r="AG292" s="754"/>
      <c r="AH292" s="754"/>
      <c r="AI292" s="754"/>
      <c r="AJ292" s="754"/>
      <c r="AK292" s="754"/>
      <c r="AL292" s="754"/>
      <c r="AM292" s="754"/>
      <c r="AN292" s="754"/>
      <c r="AO292" s="754"/>
      <c r="AP292" s="754"/>
      <c r="AQ292" s="754"/>
      <c r="AR292" s="754"/>
      <c r="AS292" s="754"/>
      <c r="AT292" s="754"/>
      <c r="AU292" s="754"/>
    </row>
    <row r="293" ht="15.75" customHeight="1">
      <c r="A293" s="759">
        <v>44280.0</v>
      </c>
      <c r="B293" s="760" t="s">
        <v>2870</v>
      </c>
      <c r="C293" s="761" t="s">
        <v>2376</v>
      </c>
      <c r="D293" s="745" t="s">
        <v>5903</v>
      </c>
      <c r="E293" s="757">
        <v>15000.0</v>
      </c>
      <c r="F293" s="745" t="s">
        <v>2869</v>
      </c>
      <c r="G293" s="755" t="s">
        <v>2379</v>
      </c>
      <c r="H293" s="755" t="s">
        <v>29</v>
      </c>
      <c r="I293" s="755" t="s">
        <v>2380</v>
      </c>
      <c r="J293" s="755">
        <v>43605.0</v>
      </c>
      <c r="K293" s="758" t="s">
        <v>3660</v>
      </c>
      <c r="L293" s="754"/>
      <c r="M293" s="754"/>
      <c r="N293" s="754"/>
      <c r="O293" s="754"/>
      <c r="P293" s="754"/>
      <c r="Q293" s="754"/>
      <c r="R293" s="754"/>
      <c r="S293" s="754"/>
      <c r="T293" s="754"/>
      <c r="U293" s="754"/>
      <c r="V293" s="754"/>
      <c r="W293" s="754"/>
      <c r="X293" s="754"/>
      <c r="Y293" s="754"/>
      <c r="Z293" s="754"/>
      <c r="AA293" s="754"/>
      <c r="AB293" s="754"/>
      <c r="AC293" s="754"/>
      <c r="AD293" s="754"/>
      <c r="AE293" s="754"/>
      <c r="AF293" s="754"/>
      <c r="AG293" s="754"/>
      <c r="AH293" s="754"/>
      <c r="AI293" s="754"/>
      <c r="AJ293" s="754"/>
      <c r="AK293" s="754"/>
      <c r="AL293" s="754"/>
      <c r="AM293" s="754"/>
      <c r="AN293" s="754"/>
      <c r="AO293" s="754"/>
      <c r="AP293" s="754"/>
      <c r="AQ293" s="754"/>
      <c r="AR293" s="754"/>
      <c r="AS293" s="754"/>
      <c r="AT293" s="754"/>
      <c r="AU293" s="754"/>
    </row>
    <row r="294" ht="15.75" customHeight="1">
      <c r="A294" s="759">
        <v>44280.0</v>
      </c>
      <c r="B294" s="760" t="s">
        <v>2811</v>
      </c>
      <c r="C294" s="761" t="s">
        <v>2376</v>
      </c>
      <c r="D294" s="745" t="s">
        <v>5903</v>
      </c>
      <c r="E294" s="757">
        <v>20000.0</v>
      </c>
      <c r="F294" s="745" t="s">
        <v>2810</v>
      </c>
      <c r="G294" s="755" t="s">
        <v>2379</v>
      </c>
      <c r="H294" s="755" t="s">
        <v>29</v>
      </c>
      <c r="I294" s="755" t="s">
        <v>2380</v>
      </c>
      <c r="J294" s="755">
        <v>43703.0</v>
      </c>
      <c r="K294" s="758" t="s">
        <v>4033</v>
      </c>
      <c r="L294" s="754"/>
      <c r="M294" s="754"/>
      <c r="N294" s="754"/>
      <c r="O294" s="754"/>
      <c r="P294" s="754"/>
      <c r="Q294" s="754"/>
      <c r="R294" s="754"/>
      <c r="S294" s="754"/>
      <c r="T294" s="754"/>
      <c r="U294" s="754"/>
      <c r="V294" s="754"/>
      <c r="W294" s="754"/>
      <c r="X294" s="754"/>
      <c r="Y294" s="754"/>
      <c r="Z294" s="754"/>
      <c r="AA294" s="754"/>
      <c r="AB294" s="754"/>
      <c r="AC294" s="754"/>
      <c r="AD294" s="754"/>
      <c r="AE294" s="754"/>
      <c r="AF294" s="754"/>
      <c r="AG294" s="754"/>
      <c r="AH294" s="754"/>
      <c r="AI294" s="754"/>
      <c r="AJ294" s="754"/>
      <c r="AK294" s="754"/>
      <c r="AL294" s="754"/>
      <c r="AM294" s="754"/>
      <c r="AN294" s="754"/>
      <c r="AO294" s="754"/>
      <c r="AP294" s="754"/>
      <c r="AQ294" s="754"/>
      <c r="AR294" s="754"/>
      <c r="AS294" s="754"/>
      <c r="AT294" s="754"/>
      <c r="AU294" s="754"/>
    </row>
    <row r="295" ht="15.75" customHeight="1">
      <c r="A295" s="755">
        <v>44281.0</v>
      </c>
      <c r="B295" s="756" t="s">
        <v>5939</v>
      </c>
      <c r="C295" s="745" t="s">
        <v>3642</v>
      </c>
      <c r="D295" s="745" t="s">
        <v>5902</v>
      </c>
      <c r="E295" s="757">
        <v>0.0</v>
      </c>
      <c r="F295" s="745" t="s">
        <v>4170</v>
      </c>
      <c r="G295" s="745" t="s">
        <v>86</v>
      </c>
      <c r="H295" s="745" t="s">
        <v>29</v>
      </c>
      <c r="I295" s="745" t="s">
        <v>3486</v>
      </c>
      <c r="J295" s="755">
        <v>44126.0</v>
      </c>
      <c r="K295" s="762" t="s">
        <v>3651</v>
      </c>
      <c r="L295" s="754"/>
      <c r="M295" s="754"/>
      <c r="N295" s="754"/>
      <c r="O295" s="754"/>
      <c r="P295" s="754"/>
      <c r="Q295" s="754"/>
      <c r="R295" s="754"/>
      <c r="S295" s="754"/>
      <c r="T295" s="754"/>
      <c r="U295" s="754"/>
      <c r="V295" s="754"/>
      <c r="W295" s="754"/>
      <c r="X295" s="754"/>
      <c r="Y295" s="754"/>
      <c r="Z295" s="754"/>
      <c r="AA295" s="754"/>
      <c r="AB295" s="754"/>
      <c r="AC295" s="754"/>
      <c r="AD295" s="754"/>
      <c r="AE295" s="754"/>
      <c r="AF295" s="754"/>
      <c r="AG295" s="754"/>
      <c r="AH295" s="754"/>
      <c r="AI295" s="754"/>
      <c r="AJ295" s="754"/>
      <c r="AK295" s="754"/>
      <c r="AL295" s="754"/>
      <c r="AM295" s="754"/>
      <c r="AN295" s="754"/>
      <c r="AO295" s="754"/>
      <c r="AP295" s="754"/>
      <c r="AQ295" s="754"/>
      <c r="AR295" s="754"/>
      <c r="AS295" s="754"/>
      <c r="AT295" s="754"/>
      <c r="AU295" s="754"/>
    </row>
    <row r="296" ht="15.75" customHeight="1">
      <c r="A296" s="755">
        <v>44281.0</v>
      </c>
      <c r="B296" s="756" t="s">
        <v>3118</v>
      </c>
      <c r="C296" s="745" t="s">
        <v>2376</v>
      </c>
      <c r="D296" s="745" t="s">
        <v>5902</v>
      </c>
      <c r="E296" s="757"/>
      <c r="F296" s="745" t="s">
        <v>3117</v>
      </c>
      <c r="G296" s="755" t="s">
        <v>18</v>
      </c>
      <c r="H296" s="755" t="s">
        <v>145</v>
      </c>
      <c r="I296" s="755" t="s">
        <v>2464</v>
      </c>
      <c r="J296" s="755">
        <v>44280.0</v>
      </c>
      <c r="K296" s="758" t="s">
        <v>3660</v>
      </c>
      <c r="L296" s="754"/>
      <c r="M296" s="754"/>
      <c r="N296" s="754"/>
      <c r="O296" s="754"/>
      <c r="P296" s="754"/>
      <c r="Q296" s="754"/>
      <c r="R296" s="754"/>
      <c r="S296" s="754"/>
      <c r="T296" s="754"/>
      <c r="U296" s="754"/>
      <c r="V296" s="754"/>
      <c r="W296" s="754"/>
      <c r="X296" s="754"/>
      <c r="Y296" s="754"/>
      <c r="Z296" s="754"/>
      <c r="AA296" s="754"/>
      <c r="AB296" s="754"/>
      <c r="AC296" s="754"/>
      <c r="AD296" s="754"/>
      <c r="AE296" s="754"/>
      <c r="AF296" s="754"/>
      <c r="AG296" s="754"/>
      <c r="AH296" s="754"/>
      <c r="AI296" s="754"/>
      <c r="AJ296" s="754"/>
      <c r="AK296" s="754"/>
      <c r="AL296" s="754"/>
      <c r="AM296" s="754"/>
      <c r="AN296" s="754"/>
      <c r="AO296" s="754"/>
      <c r="AP296" s="754"/>
      <c r="AQ296" s="754"/>
      <c r="AR296" s="754"/>
      <c r="AS296" s="754"/>
      <c r="AT296" s="754"/>
      <c r="AU296" s="754"/>
    </row>
    <row r="297" ht="15.75" customHeight="1">
      <c r="A297" s="759">
        <v>44285.0</v>
      </c>
      <c r="B297" s="760" t="s">
        <v>3260</v>
      </c>
      <c r="C297" s="761" t="s">
        <v>2376</v>
      </c>
      <c r="D297" s="745" t="s">
        <v>2387</v>
      </c>
      <c r="E297" s="757">
        <v>200000.0</v>
      </c>
      <c r="F297" s="745" t="s">
        <v>3259</v>
      </c>
      <c r="G297" s="755" t="s">
        <v>2379</v>
      </c>
      <c r="H297" s="755" t="s">
        <v>29</v>
      </c>
      <c r="I297" s="755" t="s">
        <v>2392</v>
      </c>
      <c r="J297" s="755">
        <v>43861.0</v>
      </c>
      <c r="K297" s="758" t="s">
        <v>3660</v>
      </c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54"/>
      <c r="AB297" s="754"/>
      <c r="AC297" s="754"/>
      <c r="AD297" s="754"/>
      <c r="AE297" s="754"/>
      <c r="AF297" s="754"/>
      <c r="AG297" s="754"/>
      <c r="AH297" s="754"/>
      <c r="AI297" s="754"/>
      <c r="AJ297" s="754"/>
      <c r="AK297" s="754"/>
      <c r="AL297" s="754"/>
      <c r="AM297" s="754"/>
      <c r="AN297" s="754"/>
      <c r="AO297" s="754"/>
      <c r="AP297" s="754"/>
      <c r="AQ297" s="754"/>
      <c r="AR297" s="754"/>
      <c r="AS297" s="754"/>
      <c r="AT297" s="754"/>
      <c r="AU297" s="754"/>
    </row>
    <row r="298" ht="15.75" customHeight="1">
      <c r="A298" s="759">
        <v>44286.0</v>
      </c>
      <c r="B298" s="760" t="s">
        <v>5940</v>
      </c>
      <c r="C298" s="761" t="s">
        <v>3642</v>
      </c>
      <c r="D298" s="745" t="s">
        <v>5903</v>
      </c>
      <c r="E298" s="757">
        <v>328583.39</v>
      </c>
      <c r="F298" s="745" t="s">
        <v>5231</v>
      </c>
      <c r="G298" s="745" t="s">
        <v>86</v>
      </c>
      <c r="H298" s="745" t="s">
        <v>29</v>
      </c>
      <c r="I298" s="745" t="s">
        <v>3913</v>
      </c>
      <c r="J298" s="778">
        <v>44134.0</v>
      </c>
      <c r="K298" s="762" t="s">
        <v>3647</v>
      </c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54"/>
      <c r="AB298" s="754"/>
      <c r="AC298" s="754"/>
      <c r="AD298" s="754"/>
      <c r="AE298" s="754"/>
      <c r="AF298" s="754"/>
      <c r="AG298" s="754"/>
      <c r="AH298" s="754"/>
      <c r="AI298" s="754"/>
      <c r="AJ298" s="754"/>
      <c r="AK298" s="754"/>
      <c r="AL298" s="754"/>
      <c r="AM298" s="754"/>
      <c r="AN298" s="754"/>
      <c r="AO298" s="754"/>
      <c r="AP298" s="754"/>
      <c r="AQ298" s="754"/>
      <c r="AR298" s="754"/>
      <c r="AS298" s="754"/>
      <c r="AT298" s="754"/>
      <c r="AU298" s="754"/>
    </row>
    <row r="299" ht="15.75" customHeight="1">
      <c r="A299" s="755">
        <v>44287.0</v>
      </c>
      <c r="B299" s="756" t="s">
        <v>3166</v>
      </c>
      <c r="C299" s="745" t="s">
        <v>2376</v>
      </c>
      <c r="D299" s="745" t="s">
        <v>5902</v>
      </c>
      <c r="E299" s="757">
        <v>222801.29</v>
      </c>
      <c r="F299" s="745" t="s">
        <v>3165</v>
      </c>
      <c r="G299" s="755" t="s">
        <v>2379</v>
      </c>
      <c r="H299" s="755" t="s">
        <v>29</v>
      </c>
      <c r="I299" s="755" t="s">
        <v>2392</v>
      </c>
      <c r="J299" s="755">
        <v>43531.0</v>
      </c>
      <c r="K299" s="758" t="s">
        <v>4033</v>
      </c>
      <c r="L299" s="754"/>
      <c r="M299" s="754"/>
      <c r="N299" s="754"/>
      <c r="O299" s="754"/>
      <c r="P299" s="754"/>
      <c r="Q299" s="754"/>
      <c r="R299" s="754"/>
      <c r="S299" s="754"/>
      <c r="T299" s="754"/>
      <c r="U299" s="754"/>
      <c r="V299" s="754"/>
      <c r="W299" s="754"/>
      <c r="X299" s="754"/>
      <c r="Y299" s="754"/>
      <c r="Z299" s="754"/>
      <c r="AA299" s="754"/>
      <c r="AB299" s="754"/>
      <c r="AC299" s="754"/>
      <c r="AD299" s="754"/>
      <c r="AE299" s="754"/>
      <c r="AF299" s="754"/>
      <c r="AG299" s="754"/>
      <c r="AH299" s="754"/>
      <c r="AI299" s="754"/>
      <c r="AJ299" s="754"/>
      <c r="AK299" s="754"/>
      <c r="AL299" s="754"/>
      <c r="AM299" s="754"/>
      <c r="AN299" s="754"/>
      <c r="AO299" s="754"/>
      <c r="AP299" s="754"/>
      <c r="AQ299" s="754"/>
      <c r="AR299" s="754"/>
      <c r="AS299" s="754"/>
      <c r="AT299" s="754"/>
      <c r="AU299" s="754"/>
    </row>
    <row r="300" ht="15.75" customHeight="1">
      <c r="A300" s="755">
        <v>44287.0</v>
      </c>
      <c r="B300" s="756" t="s">
        <v>3168</v>
      </c>
      <c r="C300" s="745" t="s">
        <v>2376</v>
      </c>
      <c r="D300" s="745" t="s">
        <v>5902</v>
      </c>
      <c r="E300" s="757"/>
      <c r="F300" s="745" t="s">
        <v>3165</v>
      </c>
      <c r="G300" s="755" t="s">
        <v>2379</v>
      </c>
      <c r="H300" s="755" t="s">
        <v>29</v>
      </c>
      <c r="I300" s="755" t="s">
        <v>2392</v>
      </c>
      <c r="J300" s="755">
        <v>43566.0</v>
      </c>
      <c r="K300" s="758" t="s">
        <v>3660</v>
      </c>
      <c r="L300" s="754"/>
      <c r="M300" s="754"/>
      <c r="N300" s="754"/>
      <c r="O300" s="754"/>
      <c r="P300" s="754"/>
      <c r="Q300" s="754"/>
      <c r="R300" s="754"/>
      <c r="S300" s="754"/>
      <c r="T300" s="754"/>
      <c r="U300" s="754"/>
      <c r="V300" s="754"/>
      <c r="W300" s="754"/>
      <c r="X300" s="754"/>
      <c r="Y300" s="754"/>
      <c r="Z300" s="754"/>
      <c r="AA300" s="754"/>
      <c r="AB300" s="754"/>
      <c r="AC300" s="754"/>
      <c r="AD300" s="754"/>
      <c r="AE300" s="754"/>
      <c r="AF300" s="754"/>
      <c r="AG300" s="754"/>
      <c r="AH300" s="754"/>
      <c r="AI300" s="754"/>
      <c r="AJ300" s="754"/>
      <c r="AK300" s="754"/>
      <c r="AL300" s="754"/>
      <c r="AM300" s="754"/>
      <c r="AN300" s="754"/>
      <c r="AO300" s="754"/>
      <c r="AP300" s="754"/>
      <c r="AQ300" s="754"/>
      <c r="AR300" s="754"/>
      <c r="AS300" s="754"/>
      <c r="AT300" s="754"/>
      <c r="AU300" s="754"/>
    </row>
    <row r="301" ht="15.75" customHeight="1">
      <c r="A301" s="759">
        <v>44287.0</v>
      </c>
      <c r="B301" s="760" t="s">
        <v>5941</v>
      </c>
      <c r="C301" s="761" t="s">
        <v>3642</v>
      </c>
      <c r="D301" s="745" t="s">
        <v>5903</v>
      </c>
      <c r="E301" s="757">
        <v>95592.52</v>
      </c>
      <c r="F301" s="745" t="s">
        <v>4928</v>
      </c>
      <c r="G301" s="745" t="s">
        <v>86</v>
      </c>
      <c r="H301" s="745" t="s">
        <v>29</v>
      </c>
      <c r="I301" s="745" t="s">
        <v>5934</v>
      </c>
      <c r="J301" s="778">
        <v>44180.0</v>
      </c>
      <c r="K301" s="762" t="s">
        <v>3651</v>
      </c>
      <c r="L301" s="754"/>
      <c r="M301" s="754"/>
      <c r="N301" s="754"/>
      <c r="O301" s="754"/>
      <c r="P301" s="754"/>
      <c r="Q301" s="754"/>
      <c r="R301" s="754"/>
      <c r="S301" s="754"/>
      <c r="T301" s="754"/>
      <c r="U301" s="754"/>
      <c r="V301" s="754"/>
      <c r="W301" s="754"/>
      <c r="X301" s="754"/>
      <c r="Y301" s="754"/>
      <c r="Z301" s="754"/>
      <c r="AA301" s="754"/>
      <c r="AB301" s="754"/>
      <c r="AC301" s="754"/>
      <c r="AD301" s="754"/>
      <c r="AE301" s="754"/>
      <c r="AF301" s="754"/>
      <c r="AG301" s="754"/>
      <c r="AH301" s="754"/>
      <c r="AI301" s="754"/>
      <c r="AJ301" s="754"/>
      <c r="AK301" s="754"/>
      <c r="AL301" s="754"/>
      <c r="AM301" s="754"/>
      <c r="AN301" s="754"/>
      <c r="AO301" s="754"/>
      <c r="AP301" s="754"/>
      <c r="AQ301" s="754"/>
      <c r="AR301" s="754"/>
      <c r="AS301" s="754"/>
      <c r="AT301" s="754"/>
      <c r="AU301" s="754"/>
    </row>
    <row r="302" ht="15.75" customHeight="1">
      <c r="A302" s="755">
        <v>44291.0</v>
      </c>
      <c r="B302" s="756" t="s">
        <v>5942</v>
      </c>
      <c r="C302" s="745" t="s">
        <v>3642</v>
      </c>
      <c r="D302" s="745" t="s">
        <v>5902</v>
      </c>
      <c r="E302" s="757">
        <v>0.0</v>
      </c>
      <c r="F302" s="745" t="s">
        <v>5165</v>
      </c>
      <c r="G302" s="745" t="s">
        <v>86</v>
      </c>
      <c r="H302" s="745" t="s">
        <v>29</v>
      </c>
      <c r="I302" s="745" t="s">
        <v>3702</v>
      </c>
      <c r="J302" s="755">
        <v>44215.0</v>
      </c>
      <c r="K302" s="762" t="s">
        <v>3647</v>
      </c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54"/>
      <c r="AB302" s="754"/>
      <c r="AC302" s="754"/>
      <c r="AD302" s="754"/>
      <c r="AE302" s="754"/>
      <c r="AF302" s="754"/>
      <c r="AG302" s="754"/>
      <c r="AH302" s="754"/>
      <c r="AI302" s="754"/>
      <c r="AJ302" s="754"/>
      <c r="AK302" s="754"/>
      <c r="AL302" s="754"/>
      <c r="AM302" s="754"/>
      <c r="AN302" s="754"/>
      <c r="AO302" s="754"/>
      <c r="AP302" s="754"/>
      <c r="AQ302" s="754"/>
      <c r="AR302" s="754"/>
      <c r="AS302" s="754"/>
      <c r="AT302" s="754"/>
      <c r="AU302" s="754"/>
    </row>
    <row r="303" ht="15.75" customHeight="1">
      <c r="A303" s="759">
        <v>44291.0</v>
      </c>
      <c r="B303" s="760" t="s">
        <v>2885</v>
      </c>
      <c r="C303" s="761" t="s">
        <v>2376</v>
      </c>
      <c r="D303" s="745" t="s">
        <v>5903</v>
      </c>
      <c r="E303" s="757">
        <v>3500.0</v>
      </c>
      <c r="F303" s="745" t="s">
        <v>2884</v>
      </c>
      <c r="G303" s="755" t="s">
        <v>2379</v>
      </c>
      <c r="H303" s="755" t="s">
        <v>29</v>
      </c>
      <c r="I303" s="755" t="s">
        <v>2392</v>
      </c>
      <c r="J303" s="755">
        <v>43559.0</v>
      </c>
      <c r="K303" s="758" t="s">
        <v>4033</v>
      </c>
      <c r="L303" s="754"/>
      <c r="M303" s="754"/>
      <c r="N303" s="754"/>
      <c r="O303" s="754"/>
      <c r="P303" s="754"/>
      <c r="Q303" s="754"/>
      <c r="R303" s="754"/>
      <c r="S303" s="754"/>
      <c r="T303" s="754"/>
      <c r="U303" s="754"/>
      <c r="V303" s="754"/>
      <c r="W303" s="754"/>
      <c r="X303" s="754"/>
      <c r="Y303" s="754"/>
      <c r="Z303" s="754"/>
      <c r="AA303" s="754"/>
      <c r="AB303" s="754"/>
      <c r="AC303" s="754"/>
      <c r="AD303" s="754"/>
      <c r="AE303" s="754"/>
      <c r="AF303" s="754"/>
      <c r="AG303" s="754"/>
      <c r="AH303" s="754"/>
      <c r="AI303" s="754"/>
      <c r="AJ303" s="754"/>
      <c r="AK303" s="754"/>
      <c r="AL303" s="754"/>
      <c r="AM303" s="754"/>
      <c r="AN303" s="754"/>
      <c r="AO303" s="754"/>
      <c r="AP303" s="754"/>
      <c r="AQ303" s="754"/>
      <c r="AR303" s="754"/>
      <c r="AS303" s="754"/>
      <c r="AT303" s="754"/>
      <c r="AU303" s="754"/>
    </row>
    <row r="304" ht="15.75" customHeight="1">
      <c r="A304" s="759">
        <v>44291.0</v>
      </c>
      <c r="B304" s="760" t="s">
        <v>5942</v>
      </c>
      <c r="C304" s="761" t="s">
        <v>3642</v>
      </c>
      <c r="D304" s="745" t="s">
        <v>2387</v>
      </c>
      <c r="E304" s="757">
        <v>6000.0</v>
      </c>
      <c r="F304" s="745" t="s">
        <v>5165</v>
      </c>
      <c r="G304" s="745" t="s">
        <v>86</v>
      </c>
      <c r="H304" s="745" t="s">
        <v>29</v>
      </c>
      <c r="I304" s="745" t="s">
        <v>3702</v>
      </c>
      <c r="J304" s="755">
        <v>44215.0</v>
      </c>
      <c r="K304" s="762" t="s">
        <v>3647</v>
      </c>
      <c r="L304" s="754"/>
      <c r="M304" s="754"/>
      <c r="N304" s="754"/>
      <c r="O304" s="754"/>
      <c r="P304" s="754"/>
      <c r="Q304" s="754"/>
      <c r="R304" s="754"/>
      <c r="S304" s="754"/>
      <c r="T304" s="754"/>
      <c r="U304" s="754"/>
      <c r="V304" s="754"/>
      <c r="W304" s="754"/>
      <c r="X304" s="754"/>
      <c r="Y304" s="754"/>
      <c r="Z304" s="754"/>
      <c r="AA304" s="754"/>
      <c r="AB304" s="754"/>
      <c r="AC304" s="754"/>
      <c r="AD304" s="754"/>
      <c r="AE304" s="754"/>
      <c r="AF304" s="754"/>
      <c r="AG304" s="754"/>
      <c r="AH304" s="754"/>
      <c r="AI304" s="754"/>
      <c r="AJ304" s="754"/>
      <c r="AK304" s="754"/>
      <c r="AL304" s="754"/>
      <c r="AM304" s="754"/>
      <c r="AN304" s="754"/>
      <c r="AO304" s="754"/>
      <c r="AP304" s="754"/>
      <c r="AQ304" s="754"/>
      <c r="AR304" s="754"/>
      <c r="AS304" s="754"/>
      <c r="AT304" s="754"/>
      <c r="AU304" s="754"/>
    </row>
    <row r="305" ht="15.75" customHeight="1">
      <c r="A305" s="759">
        <v>44292.0</v>
      </c>
      <c r="B305" s="760" t="s">
        <v>2811</v>
      </c>
      <c r="C305" s="761" t="s">
        <v>2376</v>
      </c>
      <c r="D305" s="745" t="s">
        <v>5903</v>
      </c>
      <c r="E305" s="757">
        <v>50000.0</v>
      </c>
      <c r="F305" s="745" t="s">
        <v>2810</v>
      </c>
      <c r="G305" s="755" t="s">
        <v>2379</v>
      </c>
      <c r="H305" s="755" t="s">
        <v>29</v>
      </c>
      <c r="I305" s="755" t="s">
        <v>2380</v>
      </c>
      <c r="J305" s="755">
        <v>43703.0</v>
      </c>
      <c r="K305" s="758" t="s">
        <v>4033</v>
      </c>
      <c r="L305" s="754"/>
      <c r="M305" s="754"/>
      <c r="N305" s="754"/>
      <c r="O305" s="754"/>
      <c r="P305" s="754"/>
      <c r="Q305" s="754"/>
      <c r="R305" s="754"/>
      <c r="S305" s="754"/>
      <c r="T305" s="754"/>
      <c r="U305" s="754"/>
      <c r="V305" s="754"/>
      <c r="W305" s="754"/>
      <c r="X305" s="754"/>
      <c r="Y305" s="754"/>
      <c r="Z305" s="754"/>
      <c r="AA305" s="754"/>
      <c r="AB305" s="754"/>
      <c r="AC305" s="754"/>
      <c r="AD305" s="754"/>
      <c r="AE305" s="754"/>
      <c r="AF305" s="754"/>
      <c r="AG305" s="754"/>
      <c r="AH305" s="754"/>
      <c r="AI305" s="754"/>
      <c r="AJ305" s="754"/>
      <c r="AK305" s="754"/>
      <c r="AL305" s="754"/>
      <c r="AM305" s="754"/>
      <c r="AN305" s="754"/>
      <c r="AO305" s="754"/>
      <c r="AP305" s="754"/>
      <c r="AQ305" s="754"/>
      <c r="AR305" s="754"/>
      <c r="AS305" s="754"/>
      <c r="AT305" s="754"/>
      <c r="AU305" s="754"/>
    </row>
    <row r="306" ht="15.75" customHeight="1">
      <c r="A306" s="759">
        <v>44293.0</v>
      </c>
      <c r="B306" s="760" t="s">
        <v>5943</v>
      </c>
      <c r="C306" s="761" t="s">
        <v>3642</v>
      </c>
      <c r="D306" s="745" t="s">
        <v>5903</v>
      </c>
      <c r="E306" s="757">
        <v>200000.0</v>
      </c>
      <c r="F306" s="745" t="s">
        <v>5174</v>
      </c>
      <c r="G306" s="745" t="s">
        <v>86</v>
      </c>
      <c r="H306" s="745" t="s">
        <v>29</v>
      </c>
      <c r="I306" s="734" t="s">
        <v>3901</v>
      </c>
      <c r="J306" s="755">
        <v>44203.0</v>
      </c>
      <c r="K306" s="762" t="s">
        <v>3651</v>
      </c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54"/>
      <c r="AB306" s="754"/>
      <c r="AC306" s="754"/>
      <c r="AD306" s="754"/>
      <c r="AE306" s="754"/>
      <c r="AF306" s="754"/>
      <c r="AG306" s="754"/>
      <c r="AH306" s="754"/>
      <c r="AI306" s="754"/>
      <c r="AJ306" s="754"/>
      <c r="AK306" s="754"/>
      <c r="AL306" s="754"/>
      <c r="AM306" s="754"/>
      <c r="AN306" s="754"/>
      <c r="AO306" s="754"/>
      <c r="AP306" s="754"/>
      <c r="AQ306" s="754"/>
      <c r="AR306" s="754"/>
      <c r="AS306" s="754"/>
      <c r="AT306" s="754"/>
      <c r="AU306" s="754"/>
    </row>
    <row r="307" ht="15.75" customHeight="1">
      <c r="A307" s="759">
        <v>44293.0</v>
      </c>
      <c r="B307" s="760" t="s">
        <v>5944</v>
      </c>
      <c r="C307" s="761" t="s">
        <v>3642</v>
      </c>
      <c r="D307" s="745" t="s">
        <v>5903</v>
      </c>
      <c r="E307" s="757">
        <v>7000.0</v>
      </c>
      <c r="F307" s="745" t="s">
        <v>1095</v>
      </c>
      <c r="G307" s="745" t="s">
        <v>18</v>
      </c>
      <c r="H307" s="745" t="s">
        <v>29</v>
      </c>
      <c r="I307" s="745" t="s">
        <v>137</v>
      </c>
      <c r="J307" s="755">
        <v>44218.0</v>
      </c>
      <c r="K307" s="762" t="s">
        <v>3651</v>
      </c>
      <c r="L307" s="754"/>
      <c r="M307" s="754"/>
      <c r="N307" s="754"/>
      <c r="O307" s="754"/>
      <c r="P307" s="754"/>
      <c r="Q307" s="754"/>
      <c r="R307" s="754"/>
      <c r="S307" s="754"/>
      <c r="T307" s="754"/>
      <c r="U307" s="754"/>
      <c r="V307" s="754"/>
      <c r="W307" s="754"/>
      <c r="X307" s="754"/>
      <c r="Y307" s="754"/>
      <c r="Z307" s="754"/>
      <c r="AA307" s="754"/>
      <c r="AB307" s="754"/>
      <c r="AC307" s="754"/>
      <c r="AD307" s="754"/>
      <c r="AE307" s="754"/>
      <c r="AF307" s="754"/>
      <c r="AG307" s="754"/>
      <c r="AH307" s="754"/>
      <c r="AI307" s="754"/>
      <c r="AJ307" s="754"/>
      <c r="AK307" s="754"/>
      <c r="AL307" s="754"/>
      <c r="AM307" s="754"/>
      <c r="AN307" s="754"/>
      <c r="AO307" s="754"/>
      <c r="AP307" s="754"/>
      <c r="AQ307" s="754"/>
      <c r="AR307" s="754"/>
      <c r="AS307" s="754"/>
      <c r="AT307" s="754"/>
      <c r="AU307" s="754"/>
    </row>
    <row r="308" ht="15.75" customHeight="1">
      <c r="A308" s="755">
        <v>44295.0</v>
      </c>
      <c r="B308" s="756" t="s">
        <v>5945</v>
      </c>
      <c r="C308" s="745" t="s">
        <v>3642</v>
      </c>
      <c r="D308" s="745" t="s">
        <v>5902</v>
      </c>
      <c r="E308" s="757">
        <v>0.0</v>
      </c>
      <c r="F308" s="745" t="s">
        <v>3888</v>
      </c>
      <c r="G308" s="745" t="s">
        <v>86</v>
      </c>
      <c r="H308" s="745" t="s">
        <v>29</v>
      </c>
      <c r="I308" s="745" t="s">
        <v>3486</v>
      </c>
      <c r="J308" s="755">
        <v>44165.0</v>
      </c>
      <c r="K308" s="762" t="s">
        <v>3651</v>
      </c>
      <c r="L308" s="754"/>
      <c r="M308" s="754"/>
      <c r="N308" s="754"/>
      <c r="O308" s="754"/>
      <c r="P308" s="754"/>
      <c r="Q308" s="754"/>
      <c r="R308" s="754"/>
      <c r="S308" s="754"/>
      <c r="T308" s="754"/>
      <c r="U308" s="754"/>
      <c r="V308" s="754"/>
      <c r="W308" s="754"/>
      <c r="X308" s="754"/>
      <c r="Y308" s="754"/>
      <c r="Z308" s="754"/>
      <c r="AA308" s="754"/>
      <c r="AB308" s="754"/>
      <c r="AC308" s="754"/>
      <c r="AD308" s="754"/>
      <c r="AE308" s="754"/>
      <c r="AF308" s="754"/>
      <c r="AG308" s="754"/>
      <c r="AH308" s="754"/>
      <c r="AI308" s="754"/>
      <c r="AJ308" s="754"/>
      <c r="AK308" s="754"/>
      <c r="AL308" s="754"/>
      <c r="AM308" s="754"/>
      <c r="AN308" s="754"/>
      <c r="AO308" s="754"/>
      <c r="AP308" s="754"/>
      <c r="AQ308" s="754"/>
      <c r="AR308" s="754"/>
      <c r="AS308" s="754"/>
      <c r="AT308" s="754"/>
      <c r="AU308" s="754"/>
    </row>
    <row r="309" ht="15.75" customHeight="1">
      <c r="A309" s="759">
        <v>44299.0</v>
      </c>
      <c r="B309" s="760" t="s">
        <v>5946</v>
      </c>
      <c r="C309" s="761" t="s">
        <v>3642</v>
      </c>
      <c r="D309" s="745" t="s">
        <v>2387</v>
      </c>
      <c r="E309" s="757">
        <v>299695.62</v>
      </c>
      <c r="F309" s="745" t="s">
        <v>4199</v>
      </c>
      <c r="G309" s="745" t="s">
        <v>86</v>
      </c>
      <c r="H309" s="745" t="s">
        <v>29</v>
      </c>
      <c r="I309" s="745" t="s">
        <v>3913</v>
      </c>
      <c r="J309" s="755">
        <v>44195.0</v>
      </c>
      <c r="K309" s="762" t="s">
        <v>3660</v>
      </c>
      <c r="L309" s="754"/>
      <c r="M309" s="754"/>
      <c r="N309" s="754"/>
      <c r="O309" s="754"/>
      <c r="P309" s="754"/>
      <c r="Q309" s="754"/>
      <c r="R309" s="754"/>
      <c r="S309" s="754"/>
      <c r="T309" s="754"/>
      <c r="U309" s="754"/>
      <c r="V309" s="754"/>
      <c r="W309" s="754"/>
      <c r="X309" s="754"/>
      <c r="Y309" s="754"/>
      <c r="Z309" s="754"/>
      <c r="AA309" s="754"/>
      <c r="AB309" s="754"/>
      <c r="AC309" s="754"/>
      <c r="AD309" s="754"/>
      <c r="AE309" s="754"/>
      <c r="AF309" s="754"/>
      <c r="AG309" s="754"/>
      <c r="AH309" s="754"/>
      <c r="AI309" s="754"/>
      <c r="AJ309" s="754"/>
      <c r="AK309" s="754"/>
      <c r="AL309" s="754"/>
      <c r="AM309" s="754"/>
      <c r="AN309" s="754"/>
      <c r="AO309" s="754"/>
      <c r="AP309" s="754"/>
      <c r="AQ309" s="754"/>
      <c r="AR309" s="754"/>
      <c r="AS309" s="754"/>
      <c r="AT309" s="754"/>
      <c r="AU309" s="754"/>
    </row>
    <row r="310" ht="15.75" customHeight="1">
      <c r="A310" s="759">
        <v>44299.0</v>
      </c>
      <c r="B310" s="760" t="s">
        <v>5904</v>
      </c>
      <c r="C310" s="761" t="s">
        <v>3642</v>
      </c>
      <c r="D310" s="745" t="s">
        <v>2387</v>
      </c>
      <c r="E310" s="757">
        <v>203869.45</v>
      </c>
      <c r="F310" s="745" t="s">
        <v>4889</v>
      </c>
      <c r="G310" s="745" t="s">
        <v>2379</v>
      </c>
      <c r="H310" s="745" t="s">
        <v>29</v>
      </c>
      <c r="I310" s="745" t="s">
        <v>2379</v>
      </c>
      <c r="J310" s="755">
        <v>43749.0</v>
      </c>
      <c r="K310" s="762" t="s">
        <v>4033</v>
      </c>
      <c r="L310" s="754"/>
      <c r="M310" s="754"/>
      <c r="N310" s="754"/>
      <c r="O310" s="754"/>
      <c r="P310" s="754"/>
      <c r="Q310" s="754"/>
      <c r="R310" s="754"/>
      <c r="S310" s="754"/>
      <c r="T310" s="754"/>
      <c r="U310" s="754"/>
      <c r="V310" s="754"/>
      <c r="W310" s="754"/>
      <c r="X310" s="754"/>
      <c r="Y310" s="754"/>
      <c r="Z310" s="754"/>
      <c r="AA310" s="754"/>
      <c r="AB310" s="754"/>
      <c r="AC310" s="754"/>
      <c r="AD310" s="754"/>
      <c r="AE310" s="754"/>
      <c r="AF310" s="754"/>
      <c r="AG310" s="754"/>
      <c r="AH310" s="754"/>
      <c r="AI310" s="754"/>
      <c r="AJ310" s="754"/>
      <c r="AK310" s="754"/>
      <c r="AL310" s="754"/>
      <c r="AM310" s="754"/>
      <c r="AN310" s="754"/>
      <c r="AO310" s="754"/>
      <c r="AP310" s="754"/>
      <c r="AQ310" s="754"/>
      <c r="AR310" s="754"/>
      <c r="AS310" s="754"/>
      <c r="AT310" s="754"/>
      <c r="AU310" s="754"/>
    </row>
    <row r="311" ht="15.75" customHeight="1">
      <c r="A311" s="759">
        <v>44302.0</v>
      </c>
      <c r="B311" s="760" t="s">
        <v>2811</v>
      </c>
      <c r="C311" s="761" t="s">
        <v>2376</v>
      </c>
      <c r="D311" s="745" t="s">
        <v>5903</v>
      </c>
      <c r="E311" s="757">
        <v>1000.0</v>
      </c>
      <c r="F311" s="745" t="s">
        <v>2810</v>
      </c>
      <c r="G311" s="755" t="s">
        <v>2379</v>
      </c>
      <c r="H311" s="755" t="s">
        <v>29</v>
      </c>
      <c r="I311" s="755" t="s">
        <v>2380</v>
      </c>
      <c r="J311" s="755">
        <v>43703.0</v>
      </c>
      <c r="K311" s="758" t="s">
        <v>4033</v>
      </c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54"/>
      <c r="AB311" s="754"/>
      <c r="AC311" s="754"/>
      <c r="AD311" s="754"/>
      <c r="AE311" s="754"/>
      <c r="AF311" s="754"/>
      <c r="AG311" s="754"/>
      <c r="AH311" s="754"/>
      <c r="AI311" s="754"/>
      <c r="AJ311" s="754"/>
      <c r="AK311" s="754"/>
      <c r="AL311" s="754"/>
      <c r="AM311" s="754"/>
      <c r="AN311" s="754"/>
      <c r="AO311" s="754"/>
      <c r="AP311" s="754"/>
      <c r="AQ311" s="754"/>
      <c r="AR311" s="754"/>
      <c r="AS311" s="754"/>
      <c r="AT311" s="754"/>
      <c r="AU311" s="754"/>
    </row>
    <row r="312" ht="15.75" customHeight="1">
      <c r="A312" s="759">
        <v>44302.0</v>
      </c>
      <c r="B312" s="760" t="s">
        <v>3342</v>
      </c>
      <c r="C312" s="761" t="s">
        <v>2376</v>
      </c>
      <c r="D312" s="745" t="s">
        <v>5903</v>
      </c>
      <c r="E312" s="757">
        <v>10000.0</v>
      </c>
      <c r="F312" s="745" t="s">
        <v>3341</v>
      </c>
      <c r="G312" s="755" t="s">
        <v>2379</v>
      </c>
      <c r="H312" s="755" t="s">
        <v>29</v>
      </c>
      <c r="I312" s="755" t="s">
        <v>2380</v>
      </c>
      <c r="J312" s="755">
        <v>43717.0</v>
      </c>
      <c r="K312" s="758" t="s">
        <v>4033</v>
      </c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54"/>
      <c r="AB312" s="754"/>
      <c r="AC312" s="754"/>
      <c r="AD312" s="754"/>
      <c r="AE312" s="754"/>
      <c r="AF312" s="754"/>
      <c r="AG312" s="754"/>
      <c r="AH312" s="754"/>
      <c r="AI312" s="754"/>
      <c r="AJ312" s="754"/>
      <c r="AK312" s="754"/>
      <c r="AL312" s="754"/>
      <c r="AM312" s="754"/>
      <c r="AN312" s="754"/>
      <c r="AO312" s="754"/>
      <c r="AP312" s="754"/>
      <c r="AQ312" s="754"/>
      <c r="AR312" s="754"/>
      <c r="AS312" s="754"/>
      <c r="AT312" s="754"/>
      <c r="AU312" s="754"/>
    </row>
    <row r="313" ht="15.75" customHeight="1">
      <c r="A313" s="755">
        <v>44305.0</v>
      </c>
      <c r="B313" s="756" t="s">
        <v>5904</v>
      </c>
      <c r="C313" s="745" t="s">
        <v>3642</v>
      </c>
      <c r="D313" s="745" t="s">
        <v>5902</v>
      </c>
      <c r="E313" s="757">
        <v>0.0</v>
      </c>
      <c r="F313" s="745" t="s">
        <v>4889</v>
      </c>
      <c r="G313" s="745" t="s">
        <v>2379</v>
      </c>
      <c r="H313" s="745" t="s">
        <v>29</v>
      </c>
      <c r="I313" s="745" t="s">
        <v>2379</v>
      </c>
      <c r="J313" s="755">
        <v>43749.0</v>
      </c>
      <c r="K313" s="762" t="s">
        <v>4033</v>
      </c>
      <c r="L313" s="754"/>
      <c r="M313" s="754"/>
      <c r="N313" s="754"/>
      <c r="O313" s="754"/>
      <c r="P313" s="754"/>
      <c r="Q313" s="754"/>
      <c r="R313" s="754"/>
      <c r="S313" s="754"/>
      <c r="T313" s="754"/>
      <c r="U313" s="754"/>
      <c r="V313" s="754"/>
      <c r="W313" s="754"/>
      <c r="X313" s="754"/>
      <c r="Y313" s="754"/>
      <c r="Z313" s="754"/>
      <c r="AA313" s="754"/>
      <c r="AB313" s="754"/>
      <c r="AC313" s="754"/>
      <c r="AD313" s="754"/>
      <c r="AE313" s="754"/>
      <c r="AF313" s="754"/>
      <c r="AG313" s="754"/>
      <c r="AH313" s="754"/>
      <c r="AI313" s="754"/>
      <c r="AJ313" s="754"/>
      <c r="AK313" s="754"/>
      <c r="AL313" s="754"/>
      <c r="AM313" s="754"/>
      <c r="AN313" s="754"/>
      <c r="AO313" s="754"/>
      <c r="AP313" s="754"/>
      <c r="AQ313" s="754"/>
      <c r="AR313" s="754"/>
      <c r="AS313" s="754"/>
      <c r="AT313" s="754"/>
      <c r="AU313" s="754"/>
    </row>
    <row r="314" ht="15.75" customHeight="1">
      <c r="A314" s="755">
        <v>44305.0</v>
      </c>
      <c r="B314" s="756" t="s">
        <v>5909</v>
      </c>
      <c r="C314" s="745" t="s">
        <v>3642</v>
      </c>
      <c r="D314" s="745" t="s">
        <v>5902</v>
      </c>
      <c r="E314" s="757">
        <v>0.0</v>
      </c>
      <c r="F314" s="745" t="s">
        <v>4952</v>
      </c>
      <c r="G314" s="745" t="s">
        <v>2379</v>
      </c>
      <c r="H314" s="745" t="s">
        <v>29</v>
      </c>
      <c r="I314" s="745" t="s">
        <v>2379</v>
      </c>
      <c r="J314" s="755">
        <v>44225.0</v>
      </c>
      <c r="K314" s="762" t="s">
        <v>3651</v>
      </c>
      <c r="L314" s="754"/>
      <c r="M314" s="754"/>
      <c r="N314" s="754"/>
      <c r="O314" s="754"/>
      <c r="P314" s="754"/>
      <c r="Q314" s="754"/>
      <c r="R314" s="754"/>
      <c r="S314" s="754"/>
      <c r="T314" s="754"/>
      <c r="U314" s="754"/>
      <c r="V314" s="754"/>
      <c r="W314" s="754"/>
      <c r="X314" s="754"/>
      <c r="Y314" s="754"/>
      <c r="Z314" s="754"/>
      <c r="AA314" s="754"/>
      <c r="AB314" s="754"/>
      <c r="AC314" s="754"/>
      <c r="AD314" s="754"/>
      <c r="AE314" s="754"/>
      <c r="AF314" s="754"/>
      <c r="AG314" s="754"/>
      <c r="AH314" s="754"/>
      <c r="AI314" s="754"/>
      <c r="AJ314" s="754"/>
      <c r="AK314" s="754"/>
      <c r="AL314" s="754"/>
      <c r="AM314" s="754"/>
      <c r="AN314" s="754"/>
      <c r="AO314" s="754"/>
      <c r="AP314" s="754"/>
      <c r="AQ314" s="754"/>
      <c r="AR314" s="754"/>
      <c r="AS314" s="754"/>
      <c r="AT314" s="754"/>
      <c r="AU314" s="754"/>
    </row>
    <row r="315" ht="15.75" customHeight="1">
      <c r="A315" s="759">
        <v>44305.0</v>
      </c>
      <c r="B315" s="760" t="s">
        <v>3379</v>
      </c>
      <c r="C315" s="761" t="s">
        <v>2376</v>
      </c>
      <c r="D315" s="745" t="s">
        <v>5903</v>
      </c>
      <c r="E315" s="757">
        <v>29853.44</v>
      </c>
      <c r="F315" s="745" t="s">
        <v>3378</v>
      </c>
      <c r="G315" s="755" t="s">
        <v>2379</v>
      </c>
      <c r="H315" s="755" t="s">
        <v>29</v>
      </c>
      <c r="I315" s="755" t="s">
        <v>2392</v>
      </c>
      <c r="J315" s="755">
        <v>43822.0</v>
      </c>
      <c r="K315" s="758" t="s">
        <v>3660</v>
      </c>
      <c r="L315" s="754"/>
      <c r="M315" s="754"/>
      <c r="N315" s="754"/>
      <c r="O315" s="754"/>
      <c r="P315" s="754"/>
      <c r="Q315" s="754"/>
      <c r="R315" s="754"/>
      <c r="S315" s="754"/>
      <c r="T315" s="754"/>
      <c r="U315" s="754"/>
      <c r="V315" s="754"/>
      <c r="W315" s="754"/>
      <c r="X315" s="754"/>
      <c r="Y315" s="754"/>
      <c r="Z315" s="754"/>
      <c r="AA315" s="754"/>
      <c r="AB315" s="754"/>
      <c r="AC315" s="754"/>
      <c r="AD315" s="754"/>
      <c r="AE315" s="754"/>
      <c r="AF315" s="754"/>
      <c r="AG315" s="754"/>
      <c r="AH315" s="754"/>
      <c r="AI315" s="754"/>
      <c r="AJ315" s="754"/>
      <c r="AK315" s="754"/>
      <c r="AL315" s="754"/>
      <c r="AM315" s="754"/>
      <c r="AN315" s="754"/>
      <c r="AO315" s="754"/>
      <c r="AP315" s="754"/>
      <c r="AQ315" s="754"/>
      <c r="AR315" s="754"/>
      <c r="AS315" s="754"/>
      <c r="AT315" s="754"/>
      <c r="AU315" s="754"/>
    </row>
    <row r="316" ht="15.75" customHeight="1">
      <c r="A316" s="759">
        <v>44305.0</v>
      </c>
      <c r="B316" s="760" t="s">
        <v>3408</v>
      </c>
      <c r="C316" s="761" t="s">
        <v>2376</v>
      </c>
      <c r="D316" s="745" t="s">
        <v>5903</v>
      </c>
      <c r="E316" s="757">
        <v>3500.0</v>
      </c>
      <c r="F316" s="745" t="s">
        <v>3407</v>
      </c>
      <c r="G316" s="755" t="s">
        <v>18</v>
      </c>
      <c r="H316" s="755" t="s">
        <v>145</v>
      </c>
      <c r="I316" s="755" t="s">
        <v>171</v>
      </c>
      <c r="J316" s="755">
        <v>44273.0</v>
      </c>
      <c r="K316" s="758" t="s">
        <v>3651</v>
      </c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54"/>
      <c r="AB316" s="754"/>
      <c r="AC316" s="754"/>
      <c r="AD316" s="754"/>
      <c r="AE316" s="754"/>
      <c r="AF316" s="754"/>
      <c r="AG316" s="754"/>
      <c r="AH316" s="754"/>
      <c r="AI316" s="754"/>
      <c r="AJ316" s="754"/>
      <c r="AK316" s="754"/>
      <c r="AL316" s="754"/>
      <c r="AM316" s="754"/>
      <c r="AN316" s="754"/>
      <c r="AO316" s="754"/>
      <c r="AP316" s="754"/>
      <c r="AQ316" s="754"/>
      <c r="AR316" s="754"/>
      <c r="AS316" s="754"/>
      <c r="AT316" s="754"/>
      <c r="AU316" s="754"/>
    </row>
    <row r="317" ht="15.75" customHeight="1">
      <c r="A317" s="759">
        <v>44308.0</v>
      </c>
      <c r="B317" s="760" t="s">
        <v>2885</v>
      </c>
      <c r="C317" s="761" t="s">
        <v>2376</v>
      </c>
      <c r="D317" s="745" t="s">
        <v>5903</v>
      </c>
      <c r="E317" s="757">
        <v>193917.59</v>
      </c>
      <c r="F317" s="745" t="s">
        <v>2884</v>
      </c>
      <c r="G317" s="755" t="s">
        <v>2379</v>
      </c>
      <c r="H317" s="755" t="s">
        <v>29</v>
      </c>
      <c r="I317" s="755" t="s">
        <v>2392</v>
      </c>
      <c r="J317" s="755">
        <v>43559.0</v>
      </c>
      <c r="K317" s="758" t="s">
        <v>4033</v>
      </c>
      <c r="L317" s="754"/>
      <c r="M317" s="754"/>
      <c r="N317" s="754"/>
      <c r="O317" s="754"/>
      <c r="P317" s="754"/>
      <c r="Q317" s="754"/>
      <c r="R317" s="754"/>
      <c r="S317" s="754"/>
      <c r="T317" s="754"/>
      <c r="U317" s="754"/>
      <c r="V317" s="754"/>
      <c r="W317" s="754"/>
      <c r="X317" s="754"/>
      <c r="Y317" s="754"/>
      <c r="Z317" s="754"/>
      <c r="AA317" s="754"/>
      <c r="AB317" s="754"/>
      <c r="AC317" s="754"/>
      <c r="AD317" s="754"/>
      <c r="AE317" s="754"/>
      <c r="AF317" s="754"/>
      <c r="AG317" s="754"/>
      <c r="AH317" s="754"/>
      <c r="AI317" s="754"/>
      <c r="AJ317" s="754"/>
      <c r="AK317" s="754"/>
      <c r="AL317" s="754"/>
      <c r="AM317" s="754"/>
      <c r="AN317" s="754"/>
      <c r="AO317" s="754"/>
      <c r="AP317" s="754"/>
      <c r="AQ317" s="754"/>
      <c r="AR317" s="754"/>
      <c r="AS317" s="754"/>
      <c r="AT317" s="754"/>
      <c r="AU317" s="754"/>
    </row>
    <row r="318" ht="15.75" customHeight="1">
      <c r="A318" s="759">
        <v>44308.0</v>
      </c>
      <c r="B318" s="760" t="s">
        <v>2391</v>
      </c>
      <c r="C318" s="761" t="s">
        <v>2376</v>
      </c>
      <c r="D318" s="745" t="s">
        <v>5903</v>
      </c>
      <c r="E318" s="757">
        <v>10000.0</v>
      </c>
      <c r="F318" s="745" t="s">
        <v>2390</v>
      </c>
      <c r="G318" s="755" t="s">
        <v>2379</v>
      </c>
      <c r="H318" s="755" t="s">
        <v>29</v>
      </c>
      <c r="I318" s="755" t="s">
        <v>2392</v>
      </c>
      <c r="J318" s="755">
        <v>43874.0</v>
      </c>
      <c r="K318" s="758" t="s">
        <v>3651</v>
      </c>
      <c r="L318" s="754"/>
      <c r="M318" s="754"/>
      <c r="N318" s="754"/>
      <c r="O318" s="754"/>
      <c r="P318" s="754"/>
      <c r="Q318" s="754"/>
      <c r="R318" s="754"/>
      <c r="S318" s="754"/>
      <c r="T318" s="754"/>
      <c r="U318" s="754"/>
      <c r="V318" s="754"/>
      <c r="W318" s="754"/>
      <c r="X318" s="754"/>
      <c r="Y318" s="754"/>
      <c r="Z318" s="754"/>
      <c r="AA318" s="754"/>
      <c r="AB318" s="754"/>
      <c r="AC318" s="754"/>
      <c r="AD318" s="754"/>
      <c r="AE318" s="754"/>
      <c r="AF318" s="754"/>
      <c r="AG318" s="754"/>
      <c r="AH318" s="754"/>
      <c r="AI318" s="754"/>
      <c r="AJ318" s="754"/>
      <c r="AK318" s="754"/>
      <c r="AL318" s="754"/>
      <c r="AM318" s="754"/>
      <c r="AN318" s="754"/>
      <c r="AO318" s="754"/>
      <c r="AP318" s="754"/>
      <c r="AQ318" s="754"/>
      <c r="AR318" s="754"/>
      <c r="AS318" s="754"/>
      <c r="AT318" s="754"/>
      <c r="AU318" s="754"/>
    </row>
    <row r="319" ht="15.75" customHeight="1">
      <c r="A319" s="755">
        <v>44309.0</v>
      </c>
      <c r="B319" s="756" t="s">
        <v>2477</v>
      </c>
      <c r="C319" s="745" t="s">
        <v>2376</v>
      </c>
      <c r="D319" s="745" t="s">
        <v>5902</v>
      </c>
      <c r="E319" s="757">
        <v>72.06</v>
      </c>
      <c r="F319" s="745" t="s">
        <v>2476</v>
      </c>
      <c r="G319" s="755" t="s">
        <v>2379</v>
      </c>
      <c r="H319" s="755" t="s">
        <v>29</v>
      </c>
      <c r="I319" s="755" t="s">
        <v>2392</v>
      </c>
      <c r="J319" s="755">
        <v>43685.0</v>
      </c>
      <c r="K319" s="758" t="s">
        <v>4033</v>
      </c>
      <c r="L319" s="754"/>
      <c r="M319" s="754"/>
      <c r="N319" s="754"/>
      <c r="O319" s="754"/>
      <c r="P319" s="754"/>
      <c r="Q319" s="754"/>
      <c r="R319" s="754"/>
      <c r="S319" s="754"/>
      <c r="T319" s="754"/>
      <c r="U319" s="754"/>
      <c r="V319" s="754"/>
      <c r="W319" s="754"/>
      <c r="X319" s="754"/>
      <c r="Y319" s="754"/>
      <c r="Z319" s="754"/>
      <c r="AA319" s="754"/>
      <c r="AB319" s="754"/>
      <c r="AC319" s="754"/>
      <c r="AD319" s="754"/>
      <c r="AE319" s="754"/>
      <c r="AF319" s="754"/>
      <c r="AG319" s="754"/>
      <c r="AH319" s="754"/>
      <c r="AI319" s="754"/>
      <c r="AJ319" s="754"/>
      <c r="AK319" s="754"/>
      <c r="AL319" s="754"/>
      <c r="AM319" s="754"/>
      <c r="AN319" s="754"/>
      <c r="AO319" s="754"/>
      <c r="AP319" s="754"/>
      <c r="AQ319" s="754"/>
      <c r="AR319" s="754"/>
      <c r="AS319" s="754"/>
      <c r="AT319" s="754"/>
      <c r="AU319" s="754"/>
    </row>
    <row r="320" ht="15.75" customHeight="1">
      <c r="A320" s="755">
        <v>44309.0</v>
      </c>
      <c r="B320" s="756" t="s">
        <v>2492</v>
      </c>
      <c r="C320" s="745" t="s">
        <v>2376</v>
      </c>
      <c r="D320" s="745" t="s">
        <v>5902</v>
      </c>
      <c r="E320" s="757">
        <v>295.22</v>
      </c>
      <c r="F320" s="745" t="s">
        <v>2491</v>
      </c>
      <c r="G320" s="755" t="s">
        <v>18</v>
      </c>
      <c r="H320" s="755" t="s">
        <v>29</v>
      </c>
      <c r="I320" s="755" t="s">
        <v>333</v>
      </c>
      <c r="J320" s="755">
        <v>43382.0</v>
      </c>
      <c r="K320" s="758" t="s">
        <v>3664</v>
      </c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54"/>
      <c r="AB320" s="754"/>
      <c r="AC320" s="754"/>
      <c r="AD320" s="754"/>
      <c r="AE320" s="754"/>
      <c r="AF320" s="754"/>
      <c r="AG320" s="754"/>
      <c r="AH320" s="754"/>
      <c r="AI320" s="754"/>
      <c r="AJ320" s="754"/>
      <c r="AK320" s="754"/>
      <c r="AL320" s="754"/>
      <c r="AM320" s="754"/>
      <c r="AN320" s="754"/>
      <c r="AO320" s="754"/>
      <c r="AP320" s="754"/>
      <c r="AQ320" s="754"/>
      <c r="AR320" s="754"/>
      <c r="AS320" s="754"/>
      <c r="AT320" s="754"/>
      <c r="AU320" s="754"/>
    </row>
    <row r="321" ht="15.75" customHeight="1">
      <c r="A321" s="755">
        <v>44309.0</v>
      </c>
      <c r="B321" s="756" t="s">
        <v>2544</v>
      </c>
      <c r="C321" s="745" t="s">
        <v>2376</v>
      </c>
      <c r="D321" s="745" t="s">
        <v>5902</v>
      </c>
      <c r="E321" s="757">
        <v>47.86</v>
      </c>
      <c r="F321" s="745" t="s">
        <v>2543</v>
      </c>
      <c r="G321" s="755" t="s">
        <v>2379</v>
      </c>
      <c r="H321" s="755" t="s">
        <v>29</v>
      </c>
      <c r="I321" s="755" t="s">
        <v>2380</v>
      </c>
      <c r="J321" s="755">
        <v>43665.0</v>
      </c>
      <c r="K321" s="758" t="s">
        <v>4033</v>
      </c>
      <c r="L321" s="754"/>
      <c r="M321" s="754"/>
      <c r="N321" s="754"/>
      <c r="O321" s="754"/>
      <c r="P321" s="754"/>
      <c r="Q321" s="754"/>
      <c r="R321" s="754"/>
      <c r="S321" s="754"/>
      <c r="T321" s="754"/>
      <c r="U321" s="754"/>
      <c r="V321" s="754"/>
      <c r="W321" s="754"/>
      <c r="X321" s="754"/>
      <c r="Y321" s="754"/>
      <c r="Z321" s="754"/>
      <c r="AA321" s="754"/>
      <c r="AB321" s="754"/>
      <c r="AC321" s="754"/>
      <c r="AD321" s="754"/>
      <c r="AE321" s="754"/>
      <c r="AF321" s="754"/>
      <c r="AG321" s="754"/>
      <c r="AH321" s="754"/>
      <c r="AI321" s="754"/>
      <c r="AJ321" s="754"/>
      <c r="AK321" s="754"/>
      <c r="AL321" s="754"/>
      <c r="AM321" s="754"/>
      <c r="AN321" s="754"/>
      <c r="AO321" s="754"/>
      <c r="AP321" s="754"/>
      <c r="AQ321" s="754"/>
      <c r="AR321" s="754"/>
      <c r="AS321" s="754"/>
      <c r="AT321" s="754"/>
      <c r="AU321" s="754"/>
    </row>
    <row r="322" ht="15.75" customHeight="1">
      <c r="A322" s="755">
        <v>44309.0</v>
      </c>
      <c r="B322" s="756" t="s">
        <v>2902</v>
      </c>
      <c r="C322" s="745" t="s">
        <v>2376</v>
      </c>
      <c r="D322" s="745" t="s">
        <v>5902</v>
      </c>
      <c r="E322" s="757"/>
      <c r="F322" s="745" t="s">
        <v>2901</v>
      </c>
      <c r="G322" s="755" t="s">
        <v>18</v>
      </c>
      <c r="H322" s="755" t="s">
        <v>29</v>
      </c>
      <c r="I322" s="755" t="s">
        <v>2633</v>
      </c>
      <c r="J322" s="755">
        <v>43515.0</v>
      </c>
      <c r="K322" s="758" t="s">
        <v>3664</v>
      </c>
      <c r="L322" s="754"/>
      <c r="M322" s="754"/>
      <c r="N322" s="754"/>
      <c r="O322" s="754"/>
      <c r="P322" s="754"/>
      <c r="Q322" s="754"/>
      <c r="R322" s="754"/>
      <c r="S322" s="754"/>
      <c r="T322" s="754"/>
      <c r="U322" s="754"/>
      <c r="V322" s="754"/>
      <c r="W322" s="754"/>
      <c r="X322" s="754"/>
      <c r="Y322" s="754"/>
      <c r="Z322" s="754"/>
      <c r="AA322" s="754"/>
      <c r="AB322" s="754"/>
      <c r="AC322" s="754"/>
      <c r="AD322" s="754"/>
      <c r="AE322" s="754"/>
      <c r="AF322" s="754"/>
      <c r="AG322" s="754"/>
      <c r="AH322" s="754"/>
      <c r="AI322" s="754"/>
      <c r="AJ322" s="754"/>
      <c r="AK322" s="754"/>
      <c r="AL322" s="754"/>
      <c r="AM322" s="754"/>
      <c r="AN322" s="754"/>
      <c r="AO322" s="754"/>
      <c r="AP322" s="754"/>
      <c r="AQ322" s="754"/>
      <c r="AR322" s="754"/>
      <c r="AS322" s="754"/>
      <c r="AT322" s="754"/>
      <c r="AU322" s="754"/>
    </row>
    <row r="323" ht="15.75" customHeight="1">
      <c r="A323" s="755">
        <v>44309.0</v>
      </c>
      <c r="B323" s="756" t="s">
        <v>2914</v>
      </c>
      <c r="C323" s="745" t="s">
        <v>2376</v>
      </c>
      <c r="D323" s="745" t="s">
        <v>5902</v>
      </c>
      <c r="E323" s="757">
        <v>4170.42</v>
      </c>
      <c r="F323" s="745" t="s">
        <v>2913</v>
      </c>
      <c r="G323" s="755" t="s">
        <v>2379</v>
      </c>
      <c r="H323" s="755" t="s">
        <v>29</v>
      </c>
      <c r="I323" s="755" t="s">
        <v>2392</v>
      </c>
      <c r="J323" s="755">
        <v>43664.0</v>
      </c>
      <c r="K323" s="758" t="s">
        <v>4033</v>
      </c>
      <c r="L323" s="754"/>
      <c r="M323" s="754"/>
      <c r="N323" s="754"/>
      <c r="O323" s="754"/>
      <c r="P323" s="754"/>
      <c r="Q323" s="754"/>
      <c r="R323" s="754"/>
      <c r="S323" s="754"/>
      <c r="T323" s="754"/>
      <c r="U323" s="754"/>
      <c r="V323" s="754"/>
      <c r="W323" s="754"/>
      <c r="X323" s="754"/>
      <c r="Y323" s="754"/>
      <c r="Z323" s="754"/>
      <c r="AA323" s="754"/>
      <c r="AB323" s="754"/>
      <c r="AC323" s="754"/>
      <c r="AD323" s="754"/>
      <c r="AE323" s="754"/>
      <c r="AF323" s="754"/>
      <c r="AG323" s="754"/>
      <c r="AH323" s="754"/>
      <c r="AI323" s="754"/>
      <c r="AJ323" s="754"/>
      <c r="AK323" s="754"/>
      <c r="AL323" s="754"/>
      <c r="AM323" s="754"/>
      <c r="AN323" s="754"/>
      <c r="AO323" s="754"/>
      <c r="AP323" s="754"/>
      <c r="AQ323" s="754"/>
      <c r="AR323" s="754"/>
      <c r="AS323" s="754"/>
      <c r="AT323" s="754"/>
      <c r="AU323" s="754"/>
    </row>
    <row r="324" ht="15.75" customHeight="1">
      <c r="A324" s="755">
        <v>44312.0</v>
      </c>
      <c r="B324" s="756" t="s">
        <v>2620</v>
      </c>
      <c r="C324" s="745" t="s">
        <v>2376</v>
      </c>
      <c r="D324" s="745" t="s">
        <v>5902</v>
      </c>
      <c r="E324" s="757">
        <v>6.32</v>
      </c>
      <c r="F324" s="745" t="s">
        <v>2619</v>
      </c>
      <c r="G324" s="755" t="s">
        <v>2379</v>
      </c>
      <c r="H324" s="755" t="s">
        <v>29</v>
      </c>
      <c r="I324" s="755" t="s">
        <v>2380</v>
      </c>
      <c r="J324" s="755" t="s">
        <v>2429</v>
      </c>
      <c r="K324" s="758" t="s">
        <v>3651</v>
      </c>
      <c r="L324" s="754"/>
      <c r="M324" s="754"/>
      <c r="N324" s="754"/>
      <c r="O324" s="754"/>
      <c r="P324" s="754"/>
      <c r="Q324" s="754"/>
      <c r="R324" s="754"/>
      <c r="S324" s="754"/>
      <c r="T324" s="754"/>
      <c r="U324" s="754"/>
      <c r="V324" s="754"/>
      <c r="W324" s="754"/>
      <c r="X324" s="754"/>
      <c r="Y324" s="754"/>
      <c r="Z324" s="754"/>
      <c r="AA324" s="754"/>
      <c r="AB324" s="754"/>
      <c r="AC324" s="754"/>
      <c r="AD324" s="754"/>
      <c r="AE324" s="754"/>
      <c r="AF324" s="754"/>
      <c r="AG324" s="754"/>
      <c r="AH324" s="754"/>
      <c r="AI324" s="754"/>
      <c r="AJ324" s="754"/>
      <c r="AK324" s="754"/>
      <c r="AL324" s="754"/>
      <c r="AM324" s="754"/>
      <c r="AN324" s="754"/>
      <c r="AO324" s="754"/>
      <c r="AP324" s="754"/>
      <c r="AQ324" s="754"/>
      <c r="AR324" s="754"/>
      <c r="AS324" s="754"/>
      <c r="AT324" s="754"/>
      <c r="AU324" s="754"/>
    </row>
    <row r="325" ht="15.75" customHeight="1">
      <c r="A325" s="755">
        <v>44312.0</v>
      </c>
      <c r="B325" s="756" t="s">
        <v>3272</v>
      </c>
      <c r="C325" s="745" t="s">
        <v>2376</v>
      </c>
      <c r="D325" s="745" t="s">
        <v>5902</v>
      </c>
      <c r="E325" s="757">
        <v>242.83</v>
      </c>
      <c r="F325" s="745" t="s">
        <v>3271</v>
      </c>
      <c r="G325" s="755" t="s">
        <v>2379</v>
      </c>
      <c r="H325" s="755" t="s">
        <v>29</v>
      </c>
      <c r="I325" s="755" t="s">
        <v>2380</v>
      </c>
      <c r="J325" s="755">
        <v>43675.0</v>
      </c>
      <c r="K325" s="758" t="s">
        <v>4033</v>
      </c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54"/>
      <c r="AB325" s="754"/>
      <c r="AC325" s="754"/>
      <c r="AD325" s="754"/>
      <c r="AE325" s="754"/>
      <c r="AF325" s="754"/>
      <c r="AG325" s="754"/>
      <c r="AH325" s="754"/>
      <c r="AI325" s="754"/>
      <c r="AJ325" s="754"/>
      <c r="AK325" s="754"/>
      <c r="AL325" s="754"/>
      <c r="AM325" s="754"/>
      <c r="AN325" s="754"/>
      <c r="AO325" s="754"/>
      <c r="AP325" s="754"/>
      <c r="AQ325" s="754"/>
      <c r="AR325" s="754"/>
      <c r="AS325" s="754"/>
      <c r="AT325" s="754"/>
      <c r="AU325" s="754"/>
    </row>
    <row r="326" ht="15.75" customHeight="1">
      <c r="A326" s="759">
        <v>44312.0</v>
      </c>
      <c r="B326" s="760" t="s">
        <v>3110</v>
      </c>
      <c r="C326" s="761" t="s">
        <v>2376</v>
      </c>
      <c r="D326" s="745" t="s">
        <v>2387</v>
      </c>
      <c r="E326" s="757">
        <v>57000.0</v>
      </c>
      <c r="F326" s="745" t="s">
        <v>3109</v>
      </c>
      <c r="G326" s="755" t="s">
        <v>2379</v>
      </c>
      <c r="H326" s="755" t="s">
        <v>29</v>
      </c>
      <c r="I326" s="755" t="s">
        <v>2392</v>
      </c>
      <c r="J326" s="755">
        <v>43622.0</v>
      </c>
      <c r="K326" s="758" t="s">
        <v>3660</v>
      </c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54"/>
      <c r="AB326" s="754"/>
      <c r="AC326" s="754"/>
      <c r="AD326" s="754"/>
      <c r="AE326" s="754"/>
      <c r="AF326" s="754"/>
      <c r="AG326" s="754"/>
      <c r="AH326" s="754"/>
      <c r="AI326" s="754"/>
      <c r="AJ326" s="754"/>
      <c r="AK326" s="754"/>
      <c r="AL326" s="754"/>
      <c r="AM326" s="754"/>
      <c r="AN326" s="754"/>
      <c r="AO326" s="754"/>
      <c r="AP326" s="754"/>
      <c r="AQ326" s="754"/>
      <c r="AR326" s="754"/>
      <c r="AS326" s="754"/>
      <c r="AT326" s="754"/>
      <c r="AU326" s="754"/>
    </row>
    <row r="327" ht="15.75" customHeight="1">
      <c r="A327" s="755">
        <v>44314.0</v>
      </c>
      <c r="B327" s="756" t="s">
        <v>2391</v>
      </c>
      <c r="C327" s="745" t="s">
        <v>2376</v>
      </c>
      <c r="D327" s="745" t="s">
        <v>5902</v>
      </c>
      <c r="E327" s="757">
        <v>299695.62</v>
      </c>
      <c r="F327" s="745" t="s">
        <v>2390</v>
      </c>
      <c r="G327" s="755" t="s">
        <v>2379</v>
      </c>
      <c r="H327" s="755" t="s">
        <v>29</v>
      </c>
      <c r="I327" s="755" t="s">
        <v>2392</v>
      </c>
      <c r="J327" s="755">
        <v>43874.0</v>
      </c>
      <c r="K327" s="758" t="s">
        <v>3651</v>
      </c>
      <c r="L327" s="754"/>
      <c r="M327" s="754"/>
      <c r="N327" s="754"/>
      <c r="O327" s="754"/>
      <c r="P327" s="754"/>
      <c r="Q327" s="754"/>
      <c r="R327" s="754"/>
      <c r="S327" s="754"/>
      <c r="T327" s="754"/>
      <c r="U327" s="754"/>
      <c r="V327" s="754"/>
      <c r="W327" s="754"/>
      <c r="X327" s="754"/>
      <c r="Y327" s="754"/>
      <c r="Z327" s="754"/>
      <c r="AA327" s="754"/>
      <c r="AB327" s="754"/>
      <c r="AC327" s="754"/>
      <c r="AD327" s="754"/>
      <c r="AE327" s="754"/>
      <c r="AF327" s="754"/>
      <c r="AG327" s="754"/>
      <c r="AH327" s="754"/>
      <c r="AI327" s="754"/>
      <c r="AJ327" s="754"/>
      <c r="AK327" s="754"/>
      <c r="AL327" s="754"/>
      <c r="AM327" s="754"/>
      <c r="AN327" s="754"/>
      <c r="AO327" s="754"/>
      <c r="AP327" s="754"/>
      <c r="AQ327" s="754"/>
      <c r="AR327" s="754"/>
      <c r="AS327" s="754"/>
      <c r="AT327" s="754"/>
      <c r="AU327" s="754"/>
    </row>
    <row r="328" ht="15.75" customHeight="1">
      <c r="A328" s="755">
        <v>44314.0</v>
      </c>
      <c r="B328" s="756" t="s">
        <v>2502</v>
      </c>
      <c r="C328" s="745" t="s">
        <v>2376</v>
      </c>
      <c r="D328" s="745" t="s">
        <v>5902</v>
      </c>
      <c r="E328" s="757">
        <v>29853.44</v>
      </c>
      <c r="F328" s="745" t="s">
        <v>2501</v>
      </c>
      <c r="G328" s="755" t="s">
        <v>2379</v>
      </c>
      <c r="H328" s="755" t="s">
        <v>29</v>
      </c>
      <c r="I328" s="755" t="s">
        <v>2380</v>
      </c>
      <c r="J328" s="755">
        <v>43620.0</v>
      </c>
      <c r="K328" s="758" t="s">
        <v>3660</v>
      </c>
      <c r="L328" s="754"/>
      <c r="M328" s="754"/>
      <c r="N328" s="754"/>
      <c r="O328" s="754"/>
      <c r="P328" s="754"/>
      <c r="Q328" s="754"/>
      <c r="R328" s="754"/>
      <c r="S328" s="754"/>
      <c r="T328" s="754"/>
      <c r="U328" s="754"/>
      <c r="V328" s="754"/>
      <c r="W328" s="754"/>
      <c r="X328" s="754"/>
      <c r="Y328" s="754"/>
      <c r="Z328" s="754"/>
      <c r="AA328" s="754"/>
      <c r="AB328" s="754"/>
      <c r="AC328" s="754"/>
      <c r="AD328" s="754"/>
      <c r="AE328" s="754"/>
      <c r="AF328" s="754"/>
      <c r="AG328" s="754"/>
      <c r="AH328" s="754"/>
      <c r="AI328" s="754"/>
      <c r="AJ328" s="754"/>
      <c r="AK328" s="754"/>
      <c r="AL328" s="754"/>
      <c r="AM328" s="754"/>
      <c r="AN328" s="754"/>
      <c r="AO328" s="754"/>
      <c r="AP328" s="754"/>
      <c r="AQ328" s="754"/>
      <c r="AR328" s="754"/>
      <c r="AS328" s="754"/>
      <c r="AT328" s="754"/>
      <c r="AU328" s="754"/>
    </row>
    <row r="329" ht="15.75" customHeight="1">
      <c r="A329" s="759">
        <v>44314.0</v>
      </c>
      <c r="B329" s="760" t="s">
        <v>2731</v>
      </c>
      <c r="C329" s="761" t="s">
        <v>2376</v>
      </c>
      <c r="D329" s="745" t="s">
        <v>5903</v>
      </c>
      <c r="E329" s="757">
        <v>11000.0</v>
      </c>
      <c r="F329" s="745" t="s">
        <v>2730</v>
      </c>
      <c r="G329" s="755" t="s">
        <v>18</v>
      </c>
      <c r="H329" s="755" t="s">
        <v>145</v>
      </c>
      <c r="I329" s="755" t="s">
        <v>171</v>
      </c>
      <c r="J329" s="755">
        <v>44298.0</v>
      </c>
      <c r="K329" s="758" t="s">
        <v>3651</v>
      </c>
      <c r="L329" s="754"/>
      <c r="M329" s="754"/>
      <c r="N329" s="754"/>
      <c r="O329" s="754"/>
      <c r="P329" s="754"/>
      <c r="Q329" s="754"/>
      <c r="R329" s="754"/>
      <c r="S329" s="754"/>
      <c r="T329" s="754"/>
      <c r="U329" s="754"/>
      <c r="V329" s="754"/>
      <c r="W329" s="754"/>
      <c r="X329" s="754"/>
      <c r="Y329" s="754"/>
      <c r="Z329" s="754"/>
      <c r="AA329" s="754"/>
      <c r="AB329" s="754"/>
      <c r="AC329" s="754"/>
      <c r="AD329" s="754"/>
      <c r="AE329" s="754"/>
      <c r="AF329" s="754"/>
      <c r="AG329" s="754"/>
      <c r="AH329" s="754"/>
      <c r="AI329" s="754"/>
      <c r="AJ329" s="754"/>
      <c r="AK329" s="754"/>
      <c r="AL329" s="754"/>
      <c r="AM329" s="754"/>
      <c r="AN329" s="754"/>
      <c r="AO329" s="754"/>
      <c r="AP329" s="754"/>
      <c r="AQ329" s="754"/>
      <c r="AR329" s="754"/>
      <c r="AS329" s="754"/>
      <c r="AT329" s="754"/>
      <c r="AU329" s="754"/>
    </row>
    <row r="330" ht="15.75" customHeight="1">
      <c r="A330" s="759">
        <v>44314.0</v>
      </c>
      <c r="B330" s="760" t="s">
        <v>2811</v>
      </c>
      <c r="C330" s="761" t="s">
        <v>2376</v>
      </c>
      <c r="D330" s="745" t="s">
        <v>5903</v>
      </c>
      <c r="E330" s="757">
        <v>12000.0</v>
      </c>
      <c r="F330" s="745" t="s">
        <v>2810</v>
      </c>
      <c r="G330" s="755" t="s">
        <v>2379</v>
      </c>
      <c r="H330" s="755" t="s">
        <v>29</v>
      </c>
      <c r="I330" s="755" t="s">
        <v>2380</v>
      </c>
      <c r="J330" s="755">
        <v>43703.0</v>
      </c>
      <c r="K330" s="758" t="s">
        <v>4033</v>
      </c>
      <c r="L330" s="754"/>
      <c r="M330" s="754"/>
      <c r="N330" s="754"/>
      <c r="O330" s="754"/>
      <c r="P330" s="754"/>
      <c r="Q330" s="754"/>
      <c r="R330" s="754"/>
      <c r="S330" s="754"/>
      <c r="T330" s="754"/>
      <c r="U330" s="754"/>
      <c r="V330" s="754"/>
      <c r="W330" s="754"/>
      <c r="X330" s="754"/>
      <c r="Y330" s="754"/>
      <c r="Z330" s="754"/>
      <c r="AA330" s="754"/>
      <c r="AB330" s="754"/>
      <c r="AC330" s="754"/>
      <c r="AD330" s="754"/>
      <c r="AE330" s="754"/>
      <c r="AF330" s="754"/>
      <c r="AG330" s="754"/>
      <c r="AH330" s="754"/>
      <c r="AI330" s="754"/>
      <c r="AJ330" s="754"/>
      <c r="AK330" s="754"/>
      <c r="AL330" s="754"/>
      <c r="AM330" s="754"/>
      <c r="AN330" s="754"/>
      <c r="AO330" s="754"/>
      <c r="AP330" s="754"/>
      <c r="AQ330" s="754"/>
      <c r="AR330" s="754"/>
      <c r="AS330" s="754"/>
      <c r="AT330" s="754"/>
      <c r="AU330" s="754"/>
    </row>
    <row r="331" ht="15.75" customHeight="1">
      <c r="A331" s="759">
        <v>44314.0</v>
      </c>
      <c r="B331" s="760" t="s">
        <v>2502</v>
      </c>
      <c r="C331" s="761" t="s">
        <v>2376</v>
      </c>
      <c r="D331" s="745" t="s">
        <v>2387</v>
      </c>
      <c r="E331" s="757">
        <v>162050.69</v>
      </c>
      <c r="F331" s="745" t="s">
        <v>2501</v>
      </c>
      <c r="G331" s="755" t="s">
        <v>2379</v>
      </c>
      <c r="H331" s="755" t="s">
        <v>29</v>
      </c>
      <c r="I331" s="755" t="s">
        <v>2380</v>
      </c>
      <c r="J331" s="755">
        <v>43620.0</v>
      </c>
      <c r="K331" s="758" t="s">
        <v>3660</v>
      </c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54"/>
      <c r="AB331" s="754"/>
      <c r="AC331" s="754"/>
      <c r="AD331" s="754"/>
      <c r="AE331" s="754"/>
      <c r="AF331" s="754"/>
      <c r="AG331" s="754"/>
      <c r="AH331" s="754"/>
      <c r="AI331" s="754"/>
      <c r="AJ331" s="754"/>
      <c r="AK331" s="754"/>
      <c r="AL331" s="754"/>
      <c r="AM331" s="754"/>
      <c r="AN331" s="754"/>
      <c r="AO331" s="754"/>
      <c r="AP331" s="754"/>
      <c r="AQ331" s="754"/>
      <c r="AR331" s="754"/>
      <c r="AS331" s="754"/>
      <c r="AT331" s="754"/>
      <c r="AU331" s="754"/>
    </row>
    <row r="332" ht="15.75" customHeight="1">
      <c r="A332" s="759">
        <v>44314.0</v>
      </c>
      <c r="B332" s="760" t="s">
        <v>5921</v>
      </c>
      <c r="C332" s="761" t="s">
        <v>3642</v>
      </c>
      <c r="D332" s="745" t="s">
        <v>5903</v>
      </c>
      <c r="E332" s="757">
        <v>5000.0</v>
      </c>
      <c r="F332" s="745" t="s">
        <v>4318</v>
      </c>
      <c r="G332" s="745" t="s">
        <v>2379</v>
      </c>
      <c r="H332" s="745" t="s">
        <v>29</v>
      </c>
      <c r="I332" s="745" t="s">
        <v>2379</v>
      </c>
      <c r="J332" s="755">
        <v>43901.0</v>
      </c>
      <c r="K332" s="762" t="s">
        <v>3647</v>
      </c>
      <c r="L332" s="754"/>
      <c r="M332" s="754"/>
      <c r="N332" s="754"/>
      <c r="O332" s="754"/>
      <c r="P332" s="754"/>
      <c r="Q332" s="754"/>
      <c r="R332" s="754"/>
      <c r="S332" s="754"/>
      <c r="T332" s="754"/>
      <c r="U332" s="754"/>
      <c r="V332" s="754"/>
      <c r="W332" s="754"/>
      <c r="X332" s="754"/>
      <c r="Y332" s="754"/>
      <c r="Z332" s="754"/>
      <c r="AA332" s="754"/>
      <c r="AB332" s="754"/>
      <c r="AC332" s="754"/>
      <c r="AD332" s="754"/>
      <c r="AE332" s="754"/>
      <c r="AF332" s="754"/>
      <c r="AG332" s="754"/>
      <c r="AH332" s="754"/>
      <c r="AI332" s="754"/>
      <c r="AJ332" s="754"/>
      <c r="AK332" s="754"/>
      <c r="AL332" s="754"/>
      <c r="AM332" s="754"/>
      <c r="AN332" s="754"/>
      <c r="AO332" s="754"/>
      <c r="AP332" s="754"/>
      <c r="AQ332" s="754"/>
      <c r="AR332" s="754"/>
      <c r="AS332" s="754"/>
      <c r="AT332" s="754"/>
      <c r="AU332" s="754"/>
    </row>
    <row r="333" ht="15.75" customHeight="1">
      <c r="A333" s="755">
        <v>44315.0</v>
      </c>
      <c r="B333" s="756" t="s">
        <v>5947</v>
      </c>
      <c r="C333" s="745" t="s">
        <v>3642</v>
      </c>
      <c r="D333" s="745" t="s">
        <v>5902</v>
      </c>
      <c r="E333" s="757">
        <v>0.0</v>
      </c>
      <c r="F333" s="745" t="s">
        <v>4846</v>
      </c>
      <c r="G333" s="745" t="s">
        <v>86</v>
      </c>
      <c r="H333" s="745" t="s">
        <v>29</v>
      </c>
      <c r="I333" s="745" t="s">
        <v>3823</v>
      </c>
      <c r="J333" s="755">
        <v>44183.0</v>
      </c>
      <c r="K333" s="762" t="s">
        <v>3647</v>
      </c>
      <c r="L333" s="754"/>
      <c r="M333" s="754"/>
      <c r="N333" s="754"/>
      <c r="O333" s="754"/>
      <c r="P333" s="754"/>
      <c r="Q333" s="754"/>
      <c r="R333" s="754"/>
      <c r="S333" s="754"/>
      <c r="T333" s="754"/>
      <c r="U333" s="754"/>
      <c r="V333" s="754"/>
      <c r="W333" s="754"/>
      <c r="X333" s="754"/>
      <c r="Y333" s="754"/>
      <c r="Z333" s="754"/>
      <c r="AA333" s="754"/>
      <c r="AB333" s="754"/>
      <c r="AC333" s="754"/>
      <c r="AD333" s="754"/>
      <c r="AE333" s="754"/>
      <c r="AF333" s="754"/>
      <c r="AG333" s="754"/>
      <c r="AH333" s="754"/>
      <c r="AI333" s="754"/>
      <c r="AJ333" s="754"/>
      <c r="AK333" s="754"/>
      <c r="AL333" s="754"/>
      <c r="AM333" s="754"/>
      <c r="AN333" s="754"/>
      <c r="AO333" s="754"/>
      <c r="AP333" s="754"/>
      <c r="AQ333" s="754"/>
      <c r="AR333" s="754"/>
      <c r="AS333" s="754"/>
      <c r="AT333" s="754"/>
      <c r="AU333" s="754"/>
    </row>
    <row r="334" ht="15.75" customHeight="1">
      <c r="A334" s="759">
        <v>44315.0</v>
      </c>
      <c r="B334" s="760" t="s">
        <v>5947</v>
      </c>
      <c r="C334" s="761" t="s">
        <v>3642</v>
      </c>
      <c r="D334" s="745" t="s">
        <v>2387</v>
      </c>
      <c r="E334" s="757">
        <v>103154.55</v>
      </c>
      <c r="F334" s="745" t="s">
        <v>4846</v>
      </c>
      <c r="G334" s="745" t="s">
        <v>86</v>
      </c>
      <c r="H334" s="745" t="s">
        <v>29</v>
      </c>
      <c r="I334" s="745" t="s">
        <v>3823</v>
      </c>
      <c r="J334" s="755">
        <v>44183.0</v>
      </c>
      <c r="K334" s="762" t="s">
        <v>3647</v>
      </c>
      <c r="L334" s="754"/>
      <c r="M334" s="754"/>
      <c r="N334" s="754"/>
      <c r="O334" s="754"/>
      <c r="P334" s="754"/>
      <c r="Q334" s="754"/>
      <c r="R334" s="754"/>
      <c r="S334" s="754"/>
      <c r="T334" s="754"/>
      <c r="U334" s="754"/>
      <c r="V334" s="754"/>
      <c r="W334" s="754"/>
      <c r="X334" s="754"/>
      <c r="Y334" s="754"/>
      <c r="Z334" s="754"/>
      <c r="AA334" s="754"/>
      <c r="AB334" s="754"/>
      <c r="AC334" s="754"/>
      <c r="AD334" s="754"/>
      <c r="AE334" s="754"/>
      <c r="AF334" s="754"/>
      <c r="AG334" s="754"/>
      <c r="AH334" s="754"/>
      <c r="AI334" s="754"/>
      <c r="AJ334" s="754"/>
      <c r="AK334" s="754"/>
      <c r="AL334" s="754"/>
      <c r="AM334" s="754"/>
      <c r="AN334" s="754"/>
      <c r="AO334" s="754"/>
      <c r="AP334" s="754"/>
      <c r="AQ334" s="754"/>
      <c r="AR334" s="754"/>
      <c r="AS334" s="754"/>
      <c r="AT334" s="754"/>
      <c r="AU334" s="754"/>
    </row>
    <row r="335" ht="15.75" customHeight="1">
      <c r="A335" s="759">
        <v>44316.0</v>
      </c>
      <c r="B335" s="760" t="s">
        <v>2731</v>
      </c>
      <c r="C335" s="761" t="s">
        <v>2376</v>
      </c>
      <c r="D335" s="745" t="s">
        <v>5903</v>
      </c>
      <c r="E335" s="757">
        <v>100000.0</v>
      </c>
      <c r="F335" s="745" t="s">
        <v>2730</v>
      </c>
      <c r="G335" s="755" t="s">
        <v>18</v>
      </c>
      <c r="H335" s="755" t="s">
        <v>145</v>
      </c>
      <c r="I335" s="755" t="s">
        <v>171</v>
      </c>
      <c r="J335" s="755">
        <v>44298.0</v>
      </c>
      <c r="K335" s="758" t="s">
        <v>3651</v>
      </c>
      <c r="L335" s="754"/>
      <c r="M335" s="754"/>
      <c r="N335" s="754"/>
      <c r="O335" s="754"/>
      <c r="P335" s="754"/>
      <c r="Q335" s="754"/>
      <c r="R335" s="754"/>
      <c r="S335" s="754"/>
      <c r="T335" s="754"/>
      <c r="U335" s="754"/>
      <c r="V335" s="754"/>
      <c r="W335" s="754"/>
      <c r="X335" s="754"/>
      <c r="Y335" s="754"/>
      <c r="Z335" s="754"/>
      <c r="AA335" s="754"/>
      <c r="AB335" s="754"/>
      <c r="AC335" s="754"/>
      <c r="AD335" s="754"/>
      <c r="AE335" s="754"/>
      <c r="AF335" s="754"/>
      <c r="AG335" s="754"/>
      <c r="AH335" s="754"/>
      <c r="AI335" s="754"/>
      <c r="AJ335" s="754"/>
      <c r="AK335" s="754"/>
      <c r="AL335" s="754"/>
      <c r="AM335" s="754"/>
      <c r="AN335" s="754"/>
      <c r="AO335" s="754"/>
      <c r="AP335" s="754"/>
      <c r="AQ335" s="754"/>
      <c r="AR335" s="754"/>
      <c r="AS335" s="754"/>
      <c r="AT335" s="754"/>
      <c r="AU335" s="754"/>
    </row>
    <row r="336" ht="15.75" customHeight="1">
      <c r="A336" s="759">
        <v>44316.0</v>
      </c>
      <c r="B336" s="760" t="s">
        <v>2811</v>
      </c>
      <c r="C336" s="761" t="s">
        <v>2376</v>
      </c>
      <c r="D336" s="745" t="s">
        <v>5903</v>
      </c>
      <c r="E336" s="757">
        <v>9000.0</v>
      </c>
      <c r="F336" s="745" t="s">
        <v>2810</v>
      </c>
      <c r="G336" s="755" t="s">
        <v>2379</v>
      </c>
      <c r="H336" s="755" t="s">
        <v>29</v>
      </c>
      <c r="I336" s="755" t="s">
        <v>2380</v>
      </c>
      <c r="J336" s="755">
        <v>43703.0</v>
      </c>
      <c r="K336" s="758" t="s">
        <v>4033</v>
      </c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54"/>
      <c r="AB336" s="754"/>
      <c r="AC336" s="754"/>
      <c r="AD336" s="754"/>
      <c r="AE336" s="754"/>
      <c r="AF336" s="754"/>
      <c r="AG336" s="754"/>
      <c r="AH336" s="754"/>
      <c r="AI336" s="754"/>
      <c r="AJ336" s="754"/>
      <c r="AK336" s="754"/>
      <c r="AL336" s="754"/>
      <c r="AM336" s="754"/>
      <c r="AN336" s="754"/>
      <c r="AO336" s="754"/>
      <c r="AP336" s="754"/>
      <c r="AQ336" s="754"/>
      <c r="AR336" s="754"/>
      <c r="AS336" s="754"/>
      <c r="AT336" s="754"/>
      <c r="AU336" s="754"/>
    </row>
    <row r="337" ht="15.75" customHeight="1">
      <c r="A337" s="759">
        <v>44316.0</v>
      </c>
      <c r="B337" s="760" t="s">
        <v>5941</v>
      </c>
      <c r="C337" s="761" t="s">
        <v>3642</v>
      </c>
      <c r="D337" s="745" t="s">
        <v>5903</v>
      </c>
      <c r="E337" s="757">
        <v>5000.0</v>
      </c>
      <c r="F337" s="745" t="s">
        <v>4928</v>
      </c>
      <c r="G337" s="745" t="s">
        <v>86</v>
      </c>
      <c r="H337" s="745" t="s">
        <v>29</v>
      </c>
      <c r="I337" s="745" t="s">
        <v>4314</v>
      </c>
      <c r="J337" s="755">
        <v>44180.0</v>
      </c>
      <c r="K337" s="762" t="s">
        <v>3651</v>
      </c>
      <c r="L337" s="754"/>
      <c r="M337" s="754"/>
      <c r="N337" s="754"/>
      <c r="O337" s="754"/>
      <c r="P337" s="754"/>
      <c r="Q337" s="754"/>
      <c r="R337" s="754"/>
      <c r="S337" s="754"/>
      <c r="T337" s="754"/>
      <c r="U337" s="754"/>
      <c r="V337" s="754"/>
      <c r="W337" s="754"/>
      <c r="X337" s="754"/>
      <c r="Y337" s="754"/>
      <c r="Z337" s="754"/>
      <c r="AA337" s="754"/>
      <c r="AB337" s="754"/>
      <c r="AC337" s="754"/>
      <c r="AD337" s="754"/>
      <c r="AE337" s="754"/>
      <c r="AF337" s="754"/>
      <c r="AG337" s="754"/>
      <c r="AH337" s="754"/>
      <c r="AI337" s="754"/>
      <c r="AJ337" s="754"/>
      <c r="AK337" s="754"/>
      <c r="AL337" s="754"/>
      <c r="AM337" s="754"/>
      <c r="AN337" s="754"/>
      <c r="AO337" s="754"/>
      <c r="AP337" s="754"/>
      <c r="AQ337" s="754"/>
      <c r="AR337" s="754"/>
      <c r="AS337" s="754"/>
      <c r="AT337" s="754"/>
      <c r="AU337" s="754"/>
    </row>
    <row r="338" ht="15.75" customHeight="1">
      <c r="A338" s="755">
        <v>44319.0</v>
      </c>
      <c r="B338" s="756" t="s">
        <v>5948</v>
      </c>
      <c r="C338" s="745" t="s">
        <v>3642</v>
      </c>
      <c r="D338" s="745" t="s">
        <v>5902</v>
      </c>
      <c r="E338" s="757">
        <v>0.0</v>
      </c>
      <c r="F338" s="745" t="s">
        <v>4594</v>
      </c>
      <c r="G338" s="745" t="s">
        <v>86</v>
      </c>
      <c r="H338" s="745" t="s">
        <v>465</v>
      </c>
      <c r="I338" s="745" t="s">
        <v>5817</v>
      </c>
      <c r="J338" s="755">
        <v>44246.0</v>
      </c>
      <c r="K338" s="762" t="s">
        <v>3647</v>
      </c>
      <c r="L338" s="754"/>
      <c r="M338" s="754"/>
      <c r="N338" s="754"/>
      <c r="O338" s="754"/>
      <c r="P338" s="754"/>
      <c r="Q338" s="754"/>
      <c r="R338" s="754"/>
      <c r="S338" s="754"/>
      <c r="T338" s="754"/>
      <c r="U338" s="754"/>
      <c r="V338" s="754"/>
      <c r="W338" s="754"/>
      <c r="X338" s="754"/>
      <c r="Y338" s="754"/>
      <c r="Z338" s="754"/>
      <c r="AA338" s="754"/>
      <c r="AB338" s="754"/>
      <c r="AC338" s="754"/>
      <c r="AD338" s="754"/>
      <c r="AE338" s="754"/>
      <c r="AF338" s="754"/>
      <c r="AG338" s="754"/>
      <c r="AH338" s="754"/>
      <c r="AI338" s="754"/>
      <c r="AJ338" s="754"/>
      <c r="AK338" s="754"/>
      <c r="AL338" s="754"/>
      <c r="AM338" s="754"/>
      <c r="AN338" s="754"/>
      <c r="AO338" s="754"/>
      <c r="AP338" s="754"/>
      <c r="AQ338" s="754"/>
      <c r="AR338" s="754"/>
      <c r="AS338" s="754"/>
      <c r="AT338" s="754"/>
      <c r="AU338" s="754"/>
    </row>
    <row r="339" ht="15.75" customHeight="1">
      <c r="A339" s="759">
        <v>44319.0</v>
      </c>
      <c r="B339" s="760" t="s">
        <v>2870</v>
      </c>
      <c r="C339" s="761" t="s">
        <v>2376</v>
      </c>
      <c r="D339" s="745" t="s">
        <v>5903</v>
      </c>
      <c r="E339" s="757">
        <v>150895.05</v>
      </c>
      <c r="F339" s="745" t="s">
        <v>2869</v>
      </c>
      <c r="G339" s="755" t="s">
        <v>2379</v>
      </c>
      <c r="H339" s="755" t="s">
        <v>29</v>
      </c>
      <c r="I339" s="755" t="s">
        <v>2380</v>
      </c>
      <c r="J339" s="755">
        <v>43605.0</v>
      </c>
      <c r="K339" s="758" t="s">
        <v>3660</v>
      </c>
      <c r="L339" s="754"/>
      <c r="M339" s="754"/>
      <c r="N339" s="754"/>
      <c r="O339" s="754"/>
      <c r="P339" s="754"/>
      <c r="Q339" s="754"/>
      <c r="R339" s="754"/>
      <c r="S339" s="754"/>
      <c r="T339" s="754"/>
      <c r="U339" s="754"/>
      <c r="V339" s="754"/>
      <c r="W339" s="754"/>
      <c r="X339" s="754"/>
      <c r="Y339" s="754"/>
      <c r="Z339" s="754"/>
      <c r="AA339" s="754"/>
      <c r="AB339" s="754"/>
      <c r="AC339" s="754"/>
      <c r="AD339" s="754"/>
      <c r="AE339" s="754"/>
      <c r="AF339" s="754"/>
      <c r="AG339" s="754"/>
      <c r="AH339" s="754"/>
      <c r="AI339" s="754"/>
      <c r="AJ339" s="754"/>
      <c r="AK339" s="754"/>
      <c r="AL339" s="754"/>
      <c r="AM339" s="754"/>
      <c r="AN339" s="754"/>
      <c r="AO339" s="754"/>
      <c r="AP339" s="754"/>
      <c r="AQ339" s="754"/>
      <c r="AR339" s="754"/>
      <c r="AS339" s="754"/>
      <c r="AT339" s="754"/>
      <c r="AU339" s="754"/>
    </row>
    <row r="340" ht="15.75" customHeight="1">
      <c r="A340" s="759">
        <v>44319.0</v>
      </c>
      <c r="B340" s="760" t="s">
        <v>5948</v>
      </c>
      <c r="C340" s="761" t="s">
        <v>3642</v>
      </c>
      <c r="D340" s="745" t="s">
        <v>2387</v>
      </c>
      <c r="E340" s="757">
        <v>263682.77</v>
      </c>
      <c r="F340" s="745" t="s">
        <v>4594</v>
      </c>
      <c r="G340" s="745" t="s">
        <v>86</v>
      </c>
      <c r="H340" s="745" t="s">
        <v>465</v>
      </c>
      <c r="I340" s="745" t="s">
        <v>5817</v>
      </c>
      <c r="J340" s="755">
        <v>44246.0</v>
      </c>
      <c r="K340" s="762" t="s">
        <v>3647</v>
      </c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54"/>
      <c r="AB340" s="754"/>
      <c r="AC340" s="754"/>
      <c r="AD340" s="754"/>
      <c r="AE340" s="754"/>
      <c r="AF340" s="754"/>
      <c r="AG340" s="754"/>
      <c r="AH340" s="754"/>
      <c r="AI340" s="754"/>
      <c r="AJ340" s="754"/>
      <c r="AK340" s="754"/>
      <c r="AL340" s="754"/>
      <c r="AM340" s="754"/>
      <c r="AN340" s="754"/>
      <c r="AO340" s="754"/>
      <c r="AP340" s="754"/>
      <c r="AQ340" s="754"/>
      <c r="AR340" s="754"/>
      <c r="AS340" s="754"/>
      <c r="AT340" s="754"/>
      <c r="AU340" s="754"/>
    </row>
    <row r="341" ht="15.75" customHeight="1">
      <c r="A341" s="759">
        <v>44320.0</v>
      </c>
      <c r="B341" s="760" t="s">
        <v>2885</v>
      </c>
      <c r="C341" s="761" t="s">
        <v>2376</v>
      </c>
      <c r="D341" s="745" t="s">
        <v>5903</v>
      </c>
      <c r="E341" s="757">
        <v>54000.0</v>
      </c>
      <c r="F341" s="745" t="s">
        <v>2884</v>
      </c>
      <c r="G341" s="755" t="s">
        <v>2379</v>
      </c>
      <c r="H341" s="755" t="s">
        <v>29</v>
      </c>
      <c r="I341" s="755" t="s">
        <v>2392</v>
      </c>
      <c r="J341" s="755">
        <v>43559.0</v>
      </c>
      <c r="K341" s="758" t="s">
        <v>4033</v>
      </c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54"/>
      <c r="AB341" s="754"/>
      <c r="AC341" s="754"/>
      <c r="AD341" s="754"/>
      <c r="AE341" s="754"/>
      <c r="AF341" s="754"/>
      <c r="AG341" s="754"/>
      <c r="AH341" s="754"/>
      <c r="AI341" s="754"/>
      <c r="AJ341" s="754"/>
      <c r="AK341" s="754"/>
      <c r="AL341" s="754"/>
      <c r="AM341" s="754"/>
      <c r="AN341" s="754"/>
      <c r="AO341" s="754"/>
      <c r="AP341" s="754"/>
      <c r="AQ341" s="754"/>
      <c r="AR341" s="754"/>
      <c r="AS341" s="754"/>
      <c r="AT341" s="754"/>
      <c r="AU341" s="754"/>
    </row>
    <row r="342" ht="15.75" customHeight="1">
      <c r="A342" s="759">
        <v>44321.0</v>
      </c>
      <c r="B342" s="760" t="s">
        <v>5949</v>
      </c>
      <c r="C342" s="761" t="s">
        <v>3642</v>
      </c>
      <c r="D342" s="745" t="s">
        <v>2387</v>
      </c>
      <c r="E342" s="757">
        <v>10000.0</v>
      </c>
      <c r="F342" s="745" t="s">
        <v>3866</v>
      </c>
      <c r="G342" s="745" t="s">
        <v>86</v>
      </c>
      <c r="H342" s="745" t="s">
        <v>29</v>
      </c>
      <c r="I342" s="745" t="s">
        <v>3486</v>
      </c>
      <c r="J342" s="755">
        <v>44228.0</v>
      </c>
      <c r="K342" s="762" t="s">
        <v>3647</v>
      </c>
      <c r="L342" s="754"/>
      <c r="M342" s="754"/>
      <c r="N342" s="754"/>
      <c r="O342" s="754"/>
      <c r="P342" s="754"/>
      <c r="Q342" s="754"/>
      <c r="R342" s="754"/>
      <c r="S342" s="754"/>
      <c r="T342" s="754"/>
      <c r="U342" s="754"/>
      <c r="V342" s="754"/>
      <c r="W342" s="754"/>
      <c r="X342" s="754"/>
      <c r="Y342" s="754"/>
      <c r="Z342" s="754"/>
      <c r="AA342" s="754"/>
      <c r="AB342" s="754"/>
      <c r="AC342" s="754"/>
      <c r="AD342" s="754"/>
      <c r="AE342" s="754"/>
      <c r="AF342" s="754"/>
      <c r="AG342" s="754"/>
      <c r="AH342" s="754"/>
      <c r="AI342" s="754"/>
      <c r="AJ342" s="754"/>
      <c r="AK342" s="754"/>
      <c r="AL342" s="754"/>
      <c r="AM342" s="754"/>
      <c r="AN342" s="754"/>
      <c r="AO342" s="754"/>
      <c r="AP342" s="754"/>
      <c r="AQ342" s="754"/>
      <c r="AR342" s="754"/>
      <c r="AS342" s="754"/>
      <c r="AT342" s="754"/>
      <c r="AU342" s="754"/>
    </row>
    <row r="343" ht="15.75" customHeight="1">
      <c r="A343" s="759">
        <v>44321.0</v>
      </c>
      <c r="B343" s="760" t="s">
        <v>3238</v>
      </c>
      <c r="C343" s="761" t="s">
        <v>2376</v>
      </c>
      <c r="D343" s="745" t="s">
        <v>5903</v>
      </c>
      <c r="E343" s="757">
        <v>18500.0</v>
      </c>
      <c r="F343" s="745" t="s">
        <v>3237</v>
      </c>
      <c r="G343" s="755" t="s">
        <v>18</v>
      </c>
      <c r="H343" s="755" t="s">
        <v>145</v>
      </c>
      <c r="I343" s="755" t="s">
        <v>171</v>
      </c>
      <c r="J343" s="755">
        <v>44279.0</v>
      </c>
      <c r="K343" s="758" t="s">
        <v>3651</v>
      </c>
      <c r="L343" s="754"/>
      <c r="M343" s="754"/>
      <c r="N343" s="754"/>
      <c r="O343" s="754"/>
      <c r="P343" s="754"/>
      <c r="Q343" s="754"/>
      <c r="R343" s="754"/>
      <c r="S343" s="754"/>
      <c r="T343" s="754"/>
      <c r="U343" s="754"/>
      <c r="V343" s="754"/>
      <c r="W343" s="754"/>
      <c r="X343" s="754"/>
      <c r="Y343" s="754"/>
      <c r="Z343" s="754"/>
      <c r="AA343" s="754"/>
      <c r="AB343" s="754"/>
      <c r="AC343" s="754"/>
      <c r="AD343" s="754"/>
      <c r="AE343" s="754"/>
      <c r="AF343" s="754"/>
      <c r="AG343" s="754"/>
      <c r="AH343" s="754"/>
      <c r="AI343" s="754"/>
      <c r="AJ343" s="754"/>
      <c r="AK343" s="754"/>
      <c r="AL343" s="754"/>
      <c r="AM343" s="754"/>
      <c r="AN343" s="754"/>
      <c r="AO343" s="754"/>
      <c r="AP343" s="754"/>
      <c r="AQ343" s="754"/>
      <c r="AR343" s="754"/>
      <c r="AS343" s="754"/>
      <c r="AT343" s="754"/>
      <c r="AU343" s="754"/>
    </row>
    <row r="344" ht="15.75" customHeight="1">
      <c r="A344" s="755">
        <v>44322.0</v>
      </c>
      <c r="B344" s="779" t="s">
        <v>3279</v>
      </c>
      <c r="C344" s="745" t="s">
        <v>2376</v>
      </c>
      <c r="D344" s="745" t="s">
        <v>5902</v>
      </c>
      <c r="E344" s="757">
        <v>19321.39</v>
      </c>
      <c r="F344" s="745" t="s">
        <v>5937</v>
      </c>
      <c r="G344" s="755" t="s">
        <v>18</v>
      </c>
      <c r="H344" s="755" t="s">
        <v>145</v>
      </c>
      <c r="I344" s="755" t="s">
        <v>146</v>
      </c>
      <c r="J344" s="755">
        <v>44278.0</v>
      </c>
      <c r="K344" s="758" t="s">
        <v>3651</v>
      </c>
      <c r="L344" s="754"/>
      <c r="M344" s="754"/>
      <c r="N344" s="754"/>
      <c r="O344" s="754"/>
      <c r="P344" s="754"/>
      <c r="Q344" s="754"/>
      <c r="R344" s="754"/>
      <c r="S344" s="754"/>
      <c r="T344" s="754"/>
      <c r="U344" s="754"/>
      <c r="V344" s="754"/>
      <c r="W344" s="754"/>
      <c r="X344" s="754"/>
      <c r="Y344" s="754"/>
      <c r="Z344" s="754"/>
      <c r="AA344" s="754"/>
      <c r="AB344" s="754"/>
      <c r="AC344" s="754"/>
      <c r="AD344" s="754"/>
      <c r="AE344" s="754"/>
      <c r="AF344" s="754"/>
      <c r="AG344" s="754"/>
      <c r="AH344" s="754"/>
      <c r="AI344" s="754"/>
      <c r="AJ344" s="754"/>
      <c r="AK344" s="754"/>
      <c r="AL344" s="754"/>
      <c r="AM344" s="754"/>
      <c r="AN344" s="754"/>
      <c r="AO344" s="754"/>
      <c r="AP344" s="754"/>
      <c r="AQ344" s="754"/>
      <c r="AR344" s="754"/>
      <c r="AS344" s="754"/>
      <c r="AT344" s="754"/>
      <c r="AU344" s="754"/>
    </row>
    <row r="345" ht="15.75" customHeight="1">
      <c r="A345" s="759">
        <v>44322.0</v>
      </c>
      <c r="B345" s="760" t="s">
        <v>2811</v>
      </c>
      <c r="C345" s="761" t="s">
        <v>2376</v>
      </c>
      <c r="D345" s="745" t="s">
        <v>5903</v>
      </c>
      <c r="E345" s="757">
        <v>103664.69</v>
      </c>
      <c r="F345" s="745" t="s">
        <v>2810</v>
      </c>
      <c r="G345" s="755" t="s">
        <v>2379</v>
      </c>
      <c r="H345" s="755" t="s">
        <v>29</v>
      </c>
      <c r="I345" s="755" t="s">
        <v>2380</v>
      </c>
      <c r="J345" s="755">
        <v>43703.0</v>
      </c>
      <c r="K345" s="758" t="s">
        <v>4033</v>
      </c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54"/>
      <c r="AB345" s="754"/>
      <c r="AC345" s="754"/>
      <c r="AD345" s="754"/>
      <c r="AE345" s="754"/>
      <c r="AF345" s="754"/>
      <c r="AG345" s="754"/>
      <c r="AH345" s="754"/>
      <c r="AI345" s="754"/>
      <c r="AJ345" s="754"/>
      <c r="AK345" s="754"/>
      <c r="AL345" s="754"/>
      <c r="AM345" s="754"/>
      <c r="AN345" s="754"/>
      <c r="AO345" s="754"/>
      <c r="AP345" s="754"/>
      <c r="AQ345" s="754"/>
      <c r="AR345" s="754"/>
      <c r="AS345" s="754"/>
      <c r="AT345" s="754"/>
      <c r="AU345" s="754"/>
    </row>
    <row r="346" ht="15.75" customHeight="1">
      <c r="A346" s="759">
        <v>44326.0</v>
      </c>
      <c r="B346" s="760" t="s">
        <v>3096</v>
      </c>
      <c r="C346" s="761" t="s">
        <v>2376</v>
      </c>
      <c r="D346" s="745" t="s">
        <v>5903</v>
      </c>
      <c r="E346" s="757">
        <v>11000.0</v>
      </c>
      <c r="F346" s="745" t="s">
        <v>3095</v>
      </c>
      <c r="G346" s="755" t="s">
        <v>2379</v>
      </c>
      <c r="H346" s="755" t="s">
        <v>29</v>
      </c>
      <c r="I346" s="755" t="s">
        <v>2380</v>
      </c>
      <c r="J346" s="755">
        <v>43873.0</v>
      </c>
      <c r="K346" s="758" t="s">
        <v>3651</v>
      </c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54"/>
      <c r="AB346" s="754"/>
      <c r="AC346" s="754"/>
      <c r="AD346" s="754"/>
      <c r="AE346" s="754"/>
      <c r="AF346" s="754"/>
      <c r="AG346" s="754"/>
      <c r="AH346" s="754"/>
      <c r="AI346" s="754"/>
      <c r="AJ346" s="754"/>
      <c r="AK346" s="754"/>
      <c r="AL346" s="754"/>
      <c r="AM346" s="754"/>
      <c r="AN346" s="754"/>
      <c r="AO346" s="754"/>
      <c r="AP346" s="754"/>
      <c r="AQ346" s="754"/>
      <c r="AR346" s="754"/>
      <c r="AS346" s="754"/>
      <c r="AT346" s="754"/>
      <c r="AU346" s="754"/>
    </row>
    <row r="347" ht="15.75" customHeight="1">
      <c r="A347" s="759">
        <v>44327.0</v>
      </c>
      <c r="B347" s="756" t="s">
        <v>3155</v>
      </c>
      <c r="C347" s="745" t="s">
        <v>2376</v>
      </c>
      <c r="D347" s="745" t="s">
        <v>5902</v>
      </c>
      <c r="E347" s="757">
        <v>797.3</v>
      </c>
      <c r="F347" s="745" t="s">
        <v>3154</v>
      </c>
      <c r="G347" s="755" t="s">
        <v>2379</v>
      </c>
      <c r="H347" s="755" t="s">
        <v>29</v>
      </c>
      <c r="I347" s="755" t="s">
        <v>2380</v>
      </c>
      <c r="J347" s="755">
        <v>43710.0</v>
      </c>
      <c r="K347" s="758" t="s">
        <v>4033</v>
      </c>
      <c r="L347" s="754"/>
      <c r="M347" s="754"/>
      <c r="N347" s="754"/>
      <c r="O347" s="754"/>
      <c r="P347" s="754"/>
      <c r="Q347" s="754"/>
      <c r="R347" s="754"/>
      <c r="S347" s="754"/>
      <c r="T347" s="754"/>
      <c r="U347" s="754"/>
      <c r="V347" s="754"/>
      <c r="W347" s="754"/>
      <c r="X347" s="754"/>
      <c r="Y347" s="754"/>
      <c r="Z347" s="754"/>
      <c r="AA347" s="754"/>
      <c r="AB347" s="754"/>
      <c r="AC347" s="754"/>
      <c r="AD347" s="754"/>
      <c r="AE347" s="754"/>
      <c r="AF347" s="754"/>
      <c r="AG347" s="754"/>
      <c r="AH347" s="754"/>
      <c r="AI347" s="754"/>
      <c r="AJ347" s="754"/>
      <c r="AK347" s="754"/>
      <c r="AL347" s="754"/>
      <c r="AM347" s="754"/>
      <c r="AN347" s="754"/>
      <c r="AO347" s="754"/>
      <c r="AP347" s="754"/>
      <c r="AQ347" s="754"/>
      <c r="AR347" s="754"/>
      <c r="AS347" s="754"/>
      <c r="AT347" s="754"/>
      <c r="AU347" s="754"/>
    </row>
    <row r="348" ht="15.75" customHeight="1">
      <c r="A348" s="759">
        <v>44327.0</v>
      </c>
      <c r="B348" s="760" t="s">
        <v>2974</v>
      </c>
      <c r="C348" s="761" t="s">
        <v>2376</v>
      </c>
      <c r="D348" s="745" t="s">
        <v>2387</v>
      </c>
      <c r="E348" s="772">
        <v>151479.55</v>
      </c>
      <c r="F348" s="745" t="s">
        <v>2973</v>
      </c>
      <c r="G348" s="755" t="s">
        <v>2379</v>
      </c>
      <c r="H348" s="755" t="s">
        <v>29</v>
      </c>
      <c r="I348" s="755" t="s">
        <v>2380</v>
      </c>
      <c r="J348" s="755">
        <v>43732.0</v>
      </c>
      <c r="K348" s="758" t="s">
        <v>4033</v>
      </c>
      <c r="L348" s="754"/>
      <c r="M348" s="754"/>
      <c r="N348" s="754"/>
      <c r="O348" s="754"/>
      <c r="P348" s="754"/>
      <c r="Q348" s="754"/>
      <c r="R348" s="754"/>
      <c r="S348" s="754"/>
      <c r="T348" s="754"/>
      <c r="U348" s="754"/>
      <c r="V348" s="754"/>
      <c r="W348" s="754"/>
      <c r="X348" s="754"/>
      <c r="Y348" s="754"/>
      <c r="Z348" s="754"/>
      <c r="AA348" s="754"/>
      <c r="AB348" s="754"/>
      <c r="AC348" s="754"/>
      <c r="AD348" s="754"/>
      <c r="AE348" s="754"/>
      <c r="AF348" s="754"/>
      <c r="AG348" s="754"/>
      <c r="AH348" s="754"/>
      <c r="AI348" s="754"/>
      <c r="AJ348" s="754"/>
      <c r="AK348" s="754"/>
      <c r="AL348" s="754"/>
      <c r="AM348" s="754"/>
      <c r="AN348" s="754"/>
      <c r="AO348" s="754"/>
      <c r="AP348" s="754"/>
      <c r="AQ348" s="754"/>
      <c r="AR348" s="754"/>
      <c r="AS348" s="754"/>
      <c r="AT348" s="754"/>
      <c r="AU348" s="754"/>
    </row>
    <row r="349" ht="15.75" customHeight="1">
      <c r="A349" s="759">
        <v>44327.0</v>
      </c>
      <c r="B349" s="760" t="s">
        <v>2418</v>
      </c>
      <c r="C349" s="761" t="s">
        <v>2376</v>
      </c>
      <c r="D349" s="745" t="s">
        <v>2387</v>
      </c>
      <c r="E349" s="757">
        <v>405479.42</v>
      </c>
      <c r="F349" s="745" t="s">
        <v>2417</v>
      </c>
      <c r="G349" s="755" t="s">
        <v>2379</v>
      </c>
      <c r="H349" s="755" t="s">
        <v>29</v>
      </c>
      <c r="I349" s="755" t="s">
        <v>2380</v>
      </c>
      <c r="J349" s="755">
        <v>43684.0</v>
      </c>
      <c r="K349" s="758" t="s">
        <v>4033</v>
      </c>
      <c r="L349" s="754"/>
      <c r="M349" s="754"/>
      <c r="N349" s="754"/>
      <c r="O349" s="754"/>
      <c r="P349" s="754"/>
      <c r="Q349" s="754"/>
      <c r="R349" s="754"/>
      <c r="S349" s="754"/>
      <c r="T349" s="754"/>
      <c r="U349" s="754"/>
      <c r="V349" s="754"/>
      <c r="W349" s="754"/>
      <c r="X349" s="754"/>
      <c r="Y349" s="754"/>
      <c r="Z349" s="754"/>
      <c r="AA349" s="754"/>
      <c r="AB349" s="754"/>
      <c r="AC349" s="754"/>
      <c r="AD349" s="754"/>
      <c r="AE349" s="754"/>
      <c r="AF349" s="754"/>
      <c r="AG349" s="754"/>
      <c r="AH349" s="754"/>
      <c r="AI349" s="754"/>
      <c r="AJ349" s="754"/>
      <c r="AK349" s="754"/>
      <c r="AL349" s="754"/>
      <c r="AM349" s="754"/>
      <c r="AN349" s="754"/>
      <c r="AO349" s="754"/>
      <c r="AP349" s="754"/>
      <c r="AQ349" s="754"/>
      <c r="AR349" s="754"/>
      <c r="AS349" s="754"/>
      <c r="AT349" s="754"/>
      <c r="AU349" s="754"/>
    </row>
    <row r="350" ht="15.75" customHeight="1">
      <c r="A350" s="759">
        <v>44327.0</v>
      </c>
      <c r="B350" s="760" t="s">
        <v>2911</v>
      </c>
      <c r="C350" s="761" t="s">
        <v>2376</v>
      </c>
      <c r="D350" s="745" t="s">
        <v>5903</v>
      </c>
      <c r="E350" s="757">
        <v>70000.0</v>
      </c>
      <c r="F350" s="745" t="s">
        <v>2910</v>
      </c>
      <c r="G350" s="755" t="s">
        <v>18</v>
      </c>
      <c r="H350" s="755" t="s">
        <v>145</v>
      </c>
      <c r="I350" s="755" t="s">
        <v>171</v>
      </c>
      <c r="J350" s="755">
        <v>44278.0</v>
      </c>
      <c r="K350" s="758" t="s">
        <v>3647</v>
      </c>
      <c r="L350" s="754"/>
      <c r="M350" s="754"/>
      <c r="N350" s="754"/>
      <c r="O350" s="754"/>
      <c r="P350" s="754"/>
      <c r="Q350" s="754"/>
      <c r="R350" s="754"/>
      <c r="S350" s="754"/>
      <c r="T350" s="754"/>
      <c r="U350" s="754"/>
      <c r="V350" s="754"/>
      <c r="W350" s="754"/>
      <c r="X350" s="754"/>
      <c r="Y350" s="754"/>
      <c r="Z350" s="754"/>
      <c r="AA350" s="754"/>
      <c r="AB350" s="754"/>
      <c r="AC350" s="754"/>
      <c r="AD350" s="754"/>
      <c r="AE350" s="754"/>
      <c r="AF350" s="754"/>
      <c r="AG350" s="754"/>
      <c r="AH350" s="754"/>
      <c r="AI350" s="754"/>
      <c r="AJ350" s="754"/>
      <c r="AK350" s="754"/>
      <c r="AL350" s="754"/>
      <c r="AM350" s="754"/>
      <c r="AN350" s="754"/>
      <c r="AO350" s="754"/>
      <c r="AP350" s="754"/>
      <c r="AQ350" s="754"/>
      <c r="AR350" s="754"/>
      <c r="AS350" s="754"/>
      <c r="AT350" s="754"/>
      <c r="AU350" s="754"/>
    </row>
    <row r="351" ht="15.75" customHeight="1">
      <c r="A351" s="759">
        <v>44327.0</v>
      </c>
      <c r="B351" s="760" t="s">
        <v>3096</v>
      </c>
      <c r="C351" s="761" t="s">
        <v>2376</v>
      </c>
      <c r="D351" s="745" t="s">
        <v>5903</v>
      </c>
      <c r="E351" s="757">
        <v>15000.0</v>
      </c>
      <c r="F351" s="745" t="s">
        <v>3095</v>
      </c>
      <c r="G351" s="755" t="s">
        <v>2379</v>
      </c>
      <c r="H351" s="755" t="s">
        <v>29</v>
      </c>
      <c r="I351" s="755" t="s">
        <v>2380</v>
      </c>
      <c r="J351" s="755">
        <v>43873.0</v>
      </c>
      <c r="K351" s="758" t="s">
        <v>3651</v>
      </c>
      <c r="L351" s="754"/>
      <c r="M351" s="754"/>
      <c r="N351" s="754"/>
      <c r="O351" s="754"/>
      <c r="P351" s="754"/>
      <c r="Q351" s="754"/>
      <c r="R351" s="754"/>
      <c r="S351" s="754"/>
      <c r="T351" s="754"/>
      <c r="U351" s="754"/>
      <c r="V351" s="754"/>
      <c r="W351" s="754"/>
      <c r="X351" s="754"/>
      <c r="Y351" s="754"/>
      <c r="Z351" s="754"/>
      <c r="AA351" s="754"/>
      <c r="AB351" s="754"/>
      <c r="AC351" s="754"/>
      <c r="AD351" s="754"/>
      <c r="AE351" s="754"/>
      <c r="AF351" s="754"/>
      <c r="AG351" s="754"/>
      <c r="AH351" s="754"/>
      <c r="AI351" s="754"/>
      <c r="AJ351" s="754"/>
      <c r="AK351" s="754"/>
      <c r="AL351" s="754"/>
      <c r="AM351" s="754"/>
      <c r="AN351" s="754"/>
      <c r="AO351" s="754"/>
      <c r="AP351" s="754"/>
      <c r="AQ351" s="754"/>
      <c r="AR351" s="754"/>
      <c r="AS351" s="754"/>
      <c r="AT351" s="754"/>
      <c r="AU351" s="754"/>
    </row>
    <row r="352" ht="15.75" customHeight="1">
      <c r="A352" s="755">
        <v>44329.0</v>
      </c>
      <c r="B352" s="756" t="s">
        <v>3322</v>
      </c>
      <c r="C352" s="745" t="s">
        <v>2376</v>
      </c>
      <c r="D352" s="745" t="s">
        <v>5902</v>
      </c>
      <c r="E352" s="757">
        <v>13320.06</v>
      </c>
      <c r="F352" s="745" t="s">
        <v>3321</v>
      </c>
      <c r="G352" s="755" t="s">
        <v>2379</v>
      </c>
      <c r="H352" s="755" t="s">
        <v>29</v>
      </c>
      <c r="I352" s="755" t="s">
        <v>2380</v>
      </c>
      <c r="J352" s="755">
        <v>44041.0</v>
      </c>
      <c r="K352" s="758" t="s">
        <v>3651</v>
      </c>
      <c r="L352" s="754"/>
      <c r="M352" s="754"/>
      <c r="N352" s="754"/>
      <c r="O352" s="754"/>
      <c r="P352" s="754"/>
      <c r="Q352" s="754"/>
      <c r="R352" s="754"/>
      <c r="S352" s="754"/>
      <c r="T352" s="754"/>
      <c r="U352" s="754"/>
      <c r="V352" s="754"/>
      <c r="W352" s="754"/>
      <c r="X352" s="754"/>
      <c r="Y352" s="754"/>
      <c r="Z352" s="754"/>
      <c r="AA352" s="754"/>
      <c r="AB352" s="754"/>
      <c r="AC352" s="754"/>
      <c r="AD352" s="754"/>
      <c r="AE352" s="754"/>
      <c r="AF352" s="754"/>
      <c r="AG352" s="754"/>
      <c r="AH352" s="754"/>
      <c r="AI352" s="754"/>
      <c r="AJ352" s="754"/>
      <c r="AK352" s="754"/>
      <c r="AL352" s="754"/>
      <c r="AM352" s="754"/>
      <c r="AN352" s="754"/>
      <c r="AO352" s="754"/>
      <c r="AP352" s="754"/>
      <c r="AQ352" s="754"/>
      <c r="AR352" s="754"/>
      <c r="AS352" s="754"/>
      <c r="AT352" s="754"/>
      <c r="AU352" s="754"/>
    </row>
    <row r="353" ht="15.75" customHeight="1">
      <c r="A353" s="759">
        <v>44329.0</v>
      </c>
      <c r="B353" s="760" t="s">
        <v>2811</v>
      </c>
      <c r="C353" s="761" t="s">
        <v>2376</v>
      </c>
      <c r="D353" s="745" t="s">
        <v>5903</v>
      </c>
      <c r="E353" s="757">
        <v>15000.0</v>
      </c>
      <c r="F353" s="745" t="s">
        <v>2810</v>
      </c>
      <c r="G353" s="755" t="s">
        <v>2379</v>
      </c>
      <c r="H353" s="755" t="s">
        <v>29</v>
      </c>
      <c r="I353" s="755" t="s">
        <v>2380</v>
      </c>
      <c r="J353" s="755">
        <v>43703.0</v>
      </c>
      <c r="K353" s="758" t="s">
        <v>4033</v>
      </c>
      <c r="L353" s="754"/>
      <c r="M353" s="754"/>
      <c r="N353" s="754"/>
      <c r="O353" s="754"/>
      <c r="P353" s="754"/>
      <c r="Q353" s="754"/>
      <c r="R353" s="754"/>
      <c r="S353" s="754"/>
      <c r="T353" s="754"/>
      <c r="U353" s="754"/>
      <c r="V353" s="754"/>
      <c r="W353" s="754"/>
      <c r="X353" s="754"/>
      <c r="Y353" s="754"/>
      <c r="Z353" s="754"/>
      <c r="AA353" s="754"/>
      <c r="AB353" s="754"/>
      <c r="AC353" s="754"/>
      <c r="AD353" s="754"/>
      <c r="AE353" s="754"/>
      <c r="AF353" s="754"/>
      <c r="AG353" s="754"/>
      <c r="AH353" s="754"/>
      <c r="AI353" s="754"/>
      <c r="AJ353" s="754"/>
      <c r="AK353" s="754"/>
      <c r="AL353" s="754"/>
      <c r="AM353" s="754"/>
      <c r="AN353" s="754"/>
      <c r="AO353" s="754"/>
      <c r="AP353" s="754"/>
      <c r="AQ353" s="754"/>
      <c r="AR353" s="754"/>
      <c r="AS353" s="754"/>
      <c r="AT353" s="754"/>
      <c r="AU353" s="754"/>
    </row>
    <row r="354" ht="15.75" customHeight="1">
      <c r="A354" s="759">
        <v>44329.0</v>
      </c>
      <c r="B354" s="760" t="s">
        <v>2643</v>
      </c>
      <c r="C354" s="761" t="s">
        <v>2376</v>
      </c>
      <c r="D354" s="745" t="s">
        <v>2387</v>
      </c>
      <c r="E354" s="757">
        <v>107481.43</v>
      </c>
      <c r="F354" s="745" t="s">
        <v>2642</v>
      </c>
      <c r="G354" s="755" t="s">
        <v>2379</v>
      </c>
      <c r="H354" s="755" t="s">
        <v>29</v>
      </c>
      <c r="I354" s="755" t="s">
        <v>2379</v>
      </c>
      <c r="J354" s="755">
        <v>44118.0</v>
      </c>
      <c r="K354" s="758" t="s">
        <v>3651</v>
      </c>
      <c r="L354" s="754"/>
      <c r="M354" s="754"/>
      <c r="N354" s="754"/>
      <c r="O354" s="754"/>
      <c r="P354" s="754"/>
      <c r="Q354" s="754"/>
      <c r="R354" s="754"/>
      <c r="S354" s="754"/>
      <c r="T354" s="754"/>
      <c r="U354" s="754"/>
      <c r="V354" s="754"/>
      <c r="W354" s="754"/>
      <c r="X354" s="754"/>
      <c r="Y354" s="754"/>
      <c r="Z354" s="754"/>
      <c r="AA354" s="754"/>
      <c r="AB354" s="754"/>
      <c r="AC354" s="754"/>
      <c r="AD354" s="754"/>
      <c r="AE354" s="754"/>
      <c r="AF354" s="754"/>
      <c r="AG354" s="754"/>
      <c r="AH354" s="754"/>
      <c r="AI354" s="754"/>
      <c r="AJ354" s="754"/>
      <c r="AK354" s="754"/>
      <c r="AL354" s="754"/>
      <c r="AM354" s="754"/>
      <c r="AN354" s="754"/>
      <c r="AO354" s="754"/>
      <c r="AP354" s="754"/>
      <c r="AQ354" s="754"/>
      <c r="AR354" s="754"/>
      <c r="AS354" s="754"/>
      <c r="AT354" s="754"/>
      <c r="AU354" s="754"/>
    </row>
    <row r="355" ht="15.75" customHeight="1">
      <c r="A355" s="759">
        <v>44329.0</v>
      </c>
      <c r="B355" s="760" t="s">
        <v>2639</v>
      </c>
      <c r="C355" s="761" t="s">
        <v>2376</v>
      </c>
      <c r="D355" s="745" t="s">
        <v>2387</v>
      </c>
      <c r="E355" s="757">
        <v>89000.0</v>
      </c>
      <c r="F355" s="745" t="s">
        <v>2638</v>
      </c>
      <c r="G355" s="755" t="s">
        <v>2379</v>
      </c>
      <c r="H355" s="755" t="s">
        <v>29</v>
      </c>
      <c r="I355" s="755" t="s">
        <v>2379</v>
      </c>
      <c r="J355" s="755">
        <v>44124.0</v>
      </c>
      <c r="K355" s="758" t="s">
        <v>3651</v>
      </c>
      <c r="L355" s="754"/>
      <c r="M355" s="754"/>
      <c r="N355" s="754"/>
      <c r="O355" s="754"/>
      <c r="P355" s="754"/>
      <c r="Q355" s="754"/>
      <c r="R355" s="754"/>
      <c r="S355" s="754"/>
      <c r="T355" s="754"/>
      <c r="U355" s="754"/>
      <c r="V355" s="754"/>
      <c r="W355" s="754"/>
      <c r="X355" s="754"/>
      <c r="Y355" s="754"/>
      <c r="Z355" s="754"/>
      <c r="AA355" s="754"/>
      <c r="AB355" s="754"/>
      <c r="AC355" s="754"/>
      <c r="AD355" s="754"/>
      <c r="AE355" s="754"/>
      <c r="AF355" s="754"/>
      <c r="AG355" s="754"/>
      <c r="AH355" s="754"/>
      <c r="AI355" s="754"/>
      <c r="AJ355" s="754"/>
      <c r="AK355" s="754"/>
      <c r="AL355" s="754"/>
      <c r="AM355" s="754"/>
      <c r="AN355" s="754"/>
      <c r="AO355" s="754"/>
      <c r="AP355" s="754"/>
      <c r="AQ355" s="754"/>
      <c r="AR355" s="754"/>
      <c r="AS355" s="754"/>
      <c r="AT355" s="754"/>
      <c r="AU355" s="754"/>
    </row>
    <row r="356" ht="15.75" customHeight="1">
      <c r="A356" s="759">
        <v>44330.0</v>
      </c>
      <c r="B356" s="760" t="s">
        <v>3222</v>
      </c>
      <c r="C356" s="761" t="s">
        <v>2376</v>
      </c>
      <c r="D356" s="745" t="s">
        <v>5903</v>
      </c>
      <c r="E356" s="757">
        <v>140003.78</v>
      </c>
      <c r="F356" s="745" t="s">
        <v>1868</v>
      </c>
      <c r="G356" s="755" t="s">
        <v>18</v>
      </c>
      <c r="H356" s="755" t="s">
        <v>145</v>
      </c>
      <c r="I356" s="755" t="s">
        <v>146</v>
      </c>
      <c r="J356" s="755">
        <v>44280.0</v>
      </c>
      <c r="K356" s="758" t="s">
        <v>3651</v>
      </c>
      <c r="L356" s="754"/>
      <c r="M356" s="754"/>
      <c r="N356" s="754"/>
      <c r="O356" s="754"/>
      <c r="P356" s="754"/>
      <c r="Q356" s="754"/>
      <c r="R356" s="754"/>
      <c r="S356" s="754"/>
      <c r="T356" s="754"/>
      <c r="U356" s="754"/>
      <c r="V356" s="754"/>
      <c r="W356" s="754"/>
      <c r="X356" s="754"/>
      <c r="Y356" s="754"/>
      <c r="Z356" s="754"/>
      <c r="AA356" s="754"/>
      <c r="AB356" s="754"/>
      <c r="AC356" s="754"/>
      <c r="AD356" s="754"/>
      <c r="AE356" s="754"/>
      <c r="AF356" s="754"/>
      <c r="AG356" s="754"/>
      <c r="AH356" s="754"/>
      <c r="AI356" s="754"/>
      <c r="AJ356" s="754"/>
      <c r="AK356" s="754"/>
      <c r="AL356" s="754"/>
      <c r="AM356" s="754"/>
      <c r="AN356" s="754"/>
      <c r="AO356" s="754"/>
      <c r="AP356" s="754"/>
      <c r="AQ356" s="754"/>
      <c r="AR356" s="754"/>
      <c r="AS356" s="754"/>
      <c r="AT356" s="754"/>
      <c r="AU356" s="754"/>
    </row>
    <row r="357" ht="15.75" customHeight="1">
      <c r="A357" s="759">
        <v>44333.0</v>
      </c>
      <c r="B357" s="760" t="s">
        <v>5950</v>
      </c>
      <c r="C357" s="761" t="s">
        <v>3642</v>
      </c>
      <c r="D357" s="745" t="s">
        <v>5903</v>
      </c>
      <c r="E357" s="757">
        <v>200000.0</v>
      </c>
      <c r="F357" s="745" t="s">
        <v>3651</v>
      </c>
      <c r="G357" s="745" t="s">
        <v>86</v>
      </c>
      <c r="H357" s="745" t="s">
        <v>29</v>
      </c>
      <c r="I357" s="745" t="s">
        <v>3486</v>
      </c>
      <c r="J357" s="755">
        <v>44160.0</v>
      </c>
      <c r="K357" s="762" t="s">
        <v>3651</v>
      </c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54"/>
      <c r="AB357" s="754"/>
      <c r="AC357" s="754"/>
      <c r="AD357" s="754"/>
      <c r="AE357" s="754"/>
      <c r="AF357" s="754"/>
      <c r="AG357" s="754"/>
      <c r="AH357" s="754"/>
      <c r="AI357" s="754"/>
      <c r="AJ357" s="754"/>
      <c r="AK357" s="754"/>
      <c r="AL357" s="754"/>
      <c r="AM357" s="754"/>
      <c r="AN357" s="754"/>
      <c r="AO357" s="754"/>
      <c r="AP357" s="754"/>
      <c r="AQ357" s="754"/>
      <c r="AR357" s="754"/>
      <c r="AS357" s="754"/>
      <c r="AT357" s="754"/>
      <c r="AU357" s="754"/>
    </row>
    <row r="358" ht="15.75" customHeight="1">
      <c r="A358" s="755">
        <v>44335.0</v>
      </c>
      <c r="B358" s="756" t="s">
        <v>5951</v>
      </c>
      <c r="C358" s="745" t="s">
        <v>3642</v>
      </c>
      <c r="D358" s="745" t="s">
        <v>5902</v>
      </c>
      <c r="E358" s="757">
        <v>0.0</v>
      </c>
      <c r="F358" s="745" t="s">
        <v>4434</v>
      </c>
      <c r="G358" s="745" t="s">
        <v>18</v>
      </c>
      <c r="H358" s="745" t="s">
        <v>29</v>
      </c>
      <c r="I358" s="745" t="s">
        <v>333</v>
      </c>
      <c r="J358" s="755">
        <v>43880.0</v>
      </c>
      <c r="K358" s="762" t="s">
        <v>3664</v>
      </c>
      <c r="L358" s="754"/>
      <c r="M358" s="754"/>
      <c r="N358" s="754"/>
      <c r="O358" s="754"/>
      <c r="P358" s="754"/>
      <c r="Q358" s="754"/>
      <c r="R358" s="754"/>
      <c r="S358" s="754"/>
      <c r="T358" s="754"/>
      <c r="U358" s="754"/>
      <c r="V358" s="754"/>
      <c r="W358" s="754"/>
      <c r="X358" s="754"/>
      <c r="Y358" s="754"/>
      <c r="Z358" s="754"/>
      <c r="AA358" s="754"/>
      <c r="AB358" s="754"/>
      <c r="AC358" s="754"/>
      <c r="AD358" s="754"/>
      <c r="AE358" s="754"/>
      <c r="AF358" s="754"/>
      <c r="AG358" s="754"/>
      <c r="AH358" s="754"/>
      <c r="AI358" s="754"/>
      <c r="AJ358" s="754"/>
      <c r="AK358" s="754"/>
      <c r="AL358" s="754"/>
      <c r="AM358" s="754"/>
      <c r="AN358" s="754"/>
      <c r="AO358" s="754"/>
      <c r="AP358" s="754"/>
      <c r="AQ358" s="754"/>
      <c r="AR358" s="754"/>
      <c r="AS358" s="754"/>
      <c r="AT358" s="754"/>
      <c r="AU358" s="754"/>
    </row>
    <row r="359" ht="15.75" customHeight="1">
      <c r="A359" s="759">
        <v>44336.0</v>
      </c>
      <c r="B359" s="760" t="s">
        <v>2731</v>
      </c>
      <c r="C359" s="761" t="s">
        <v>2376</v>
      </c>
      <c r="D359" s="745" t="s">
        <v>5903</v>
      </c>
      <c r="E359" s="757">
        <v>44600.0</v>
      </c>
      <c r="F359" s="745" t="s">
        <v>2730</v>
      </c>
      <c r="G359" s="755" t="s">
        <v>18</v>
      </c>
      <c r="H359" s="755" t="s">
        <v>145</v>
      </c>
      <c r="I359" s="755" t="s">
        <v>171</v>
      </c>
      <c r="J359" s="755">
        <v>44298.0</v>
      </c>
      <c r="K359" s="758" t="s">
        <v>3651</v>
      </c>
      <c r="L359" s="754"/>
      <c r="M359" s="754"/>
      <c r="N359" s="754"/>
      <c r="O359" s="754"/>
      <c r="P359" s="754"/>
      <c r="Q359" s="754"/>
      <c r="R359" s="754"/>
      <c r="S359" s="754"/>
      <c r="T359" s="754"/>
      <c r="U359" s="754"/>
      <c r="V359" s="754"/>
      <c r="W359" s="754"/>
      <c r="X359" s="754"/>
      <c r="Y359" s="754"/>
      <c r="Z359" s="754"/>
      <c r="AA359" s="754"/>
      <c r="AB359" s="754"/>
      <c r="AC359" s="754"/>
      <c r="AD359" s="754"/>
      <c r="AE359" s="754"/>
      <c r="AF359" s="754"/>
      <c r="AG359" s="754"/>
      <c r="AH359" s="754"/>
      <c r="AI359" s="754"/>
      <c r="AJ359" s="754"/>
      <c r="AK359" s="754"/>
      <c r="AL359" s="754"/>
      <c r="AM359" s="754"/>
      <c r="AN359" s="754"/>
      <c r="AO359" s="754"/>
      <c r="AP359" s="754"/>
      <c r="AQ359" s="754"/>
      <c r="AR359" s="754"/>
      <c r="AS359" s="754"/>
      <c r="AT359" s="754"/>
      <c r="AU359" s="754"/>
    </row>
    <row r="360" ht="15.75" customHeight="1">
      <c r="A360" s="759">
        <v>44337.0</v>
      </c>
      <c r="B360" s="760" t="s">
        <v>3087</v>
      </c>
      <c r="C360" s="761" t="s">
        <v>2376</v>
      </c>
      <c r="D360" s="745" t="s">
        <v>5903</v>
      </c>
      <c r="E360" s="757">
        <v>54600.0</v>
      </c>
      <c r="F360" s="745" t="s">
        <v>1569</v>
      </c>
      <c r="G360" s="755" t="s">
        <v>18</v>
      </c>
      <c r="H360" s="755" t="s">
        <v>145</v>
      </c>
      <c r="I360" s="755" t="s">
        <v>171</v>
      </c>
      <c r="J360" s="755">
        <v>44287.0</v>
      </c>
      <c r="K360" s="758" t="s">
        <v>3660</v>
      </c>
      <c r="L360" s="754"/>
      <c r="M360" s="754"/>
      <c r="N360" s="754"/>
      <c r="O360" s="754"/>
      <c r="P360" s="754"/>
      <c r="Q360" s="754"/>
      <c r="R360" s="754"/>
      <c r="S360" s="754"/>
      <c r="T360" s="754"/>
      <c r="U360" s="754"/>
      <c r="V360" s="754"/>
      <c r="W360" s="754"/>
      <c r="X360" s="754"/>
      <c r="Y360" s="754"/>
      <c r="Z360" s="754"/>
      <c r="AA360" s="754"/>
      <c r="AB360" s="754"/>
      <c r="AC360" s="754"/>
      <c r="AD360" s="754"/>
      <c r="AE360" s="754"/>
      <c r="AF360" s="754"/>
      <c r="AG360" s="754"/>
      <c r="AH360" s="754"/>
      <c r="AI360" s="754"/>
      <c r="AJ360" s="754"/>
      <c r="AK360" s="754"/>
      <c r="AL360" s="754"/>
      <c r="AM360" s="754"/>
      <c r="AN360" s="754"/>
      <c r="AO360" s="754"/>
      <c r="AP360" s="754"/>
      <c r="AQ360" s="754"/>
      <c r="AR360" s="754"/>
      <c r="AS360" s="754"/>
      <c r="AT360" s="754"/>
      <c r="AU360" s="754"/>
    </row>
    <row r="361" ht="15.75" customHeight="1">
      <c r="A361" s="759">
        <v>44337.0</v>
      </c>
      <c r="B361" s="760" t="s">
        <v>2560</v>
      </c>
      <c r="C361" s="761" t="s">
        <v>2376</v>
      </c>
      <c r="D361" s="745" t="s">
        <v>5903</v>
      </c>
      <c r="E361" s="757">
        <v>11500.0</v>
      </c>
      <c r="F361" s="745" t="s">
        <v>429</v>
      </c>
      <c r="G361" s="755" t="s">
        <v>18</v>
      </c>
      <c r="H361" s="755" t="s">
        <v>145</v>
      </c>
      <c r="I361" s="755" t="s">
        <v>171</v>
      </c>
      <c r="J361" s="755">
        <v>44333.0</v>
      </c>
      <c r="K361" s="758" t="s">
        <v>3660</v>
      </c>
      <c r="L361" s="754"/>
      <c r="M361" s="754"/>
      <c r="N361" s="754"/>
      <c r="O361" s="754"/>
      <c r="P361" s="754"/>
      <c r="Q361" s="754"/>
      <c r="R361" s="754"/>
      <c r="S361" s="754"/>
      <c r="T361" s="754"/>
      <c r="U361" s="754"/>
      <c r="V361" s="754"/>
      <c r="W361" s="754"/>
      <c r="X361" s="754"/>
      <c r="Y361" s="754"/>
      <c r="Z361" s="754"/>
      <c r="AA361" s="754"/>
      <c r="AB361" s="754"/>
      <c r="AC361" s="754"/>
      <c r="AD361" s="754"/>
      <c r="AE361" s="754"/>
      <c r="AF361" s="754"/>
      <c r="AG361" s="754"/>
      <c r="AH361" s="754"/>
      <c r="AI361" s="754"/>
      <c r="AJ361" s="754"/>
      <c r="AK361" s="754"/>
      <c r="AL361" s="754"/>
      <c r="AM361" s="754"/>
      <c r="AN361" s="754"/>
      <c r="AO361" s="754"/>
      <c r="AP361" s="754"/>
      <c r="AQ361" s="754"/>
      <c r="AR361" s="754"/>
      <c r="AS361" s="754"/>
      <c r="AT361" s="754"/>
      <c r="AU361" s="754"/>
    </row>
    <row r="362" ht="15.75" customHeight="1">
      <c r="A362" s="759">
        <v>44340.0</v>
      </c>
      <c r="B362" s="760" t="s">
        <v>2931</v>
      </c>
      <c r="C362" s="761" t="s">
        <v>2376</v>
      </c>
      <c r="D362" s="745" t="s">
        <v>5903</v>
      </c>
      <c r="E362" s="757">
        <v>98710.87</v>
      </c>
      <c r="F362" s="745" t="s">
        <v>2930</v>
      </c>
      <c r="G362" s="755" t="s">
        <v>2379</v>
      </c>
      <c r="H362" s="755" t="s">
        <v>29</v>
      </c>
      <c r="I362" s="755" t="s">
        <v>2380</v>
      </c>
      <c r="J362" s="755">
        <v>43711.0</v>
      </c>
      <c r="K362" s="758" t="s">
        <v>4033</v>
      </c>
      <c r="L362" s="754"/>
      <c r="M362" s="754"/>
      <c r="N362" s="754"/>
      <c r="O362" s="754"/>
      <c r="P362" s="754"/>
      <c r="Q362" s="754"/>
      <c r="R362" s="754"/>
      <c r="S362" s="754"/>
      <c r="T362" s="754"/>
      <c r="U362" s="754"/>
      <c r="V362" s="754"/>
      <c r="W362" s="754"/>
      <c r="X362" s="754"/>
      <c r="Y362" s="754"/>
      <c r="Z362" s="754"/>
      <c r="AA362" s="754"/>
      <c r="AB362" s="754"/>
      <c r="AC362" s="754"/>
      <c r="AD362" s="754"/>
      <c r="AE362" s="754"/>
      <c r="AF362" s="754"/>
      <c r="AG362" s="754"/>
      <c r="AH362" s="754"/>
      <c r="AI362" s="754"/>
      <c r="AJ362" s="754"/>
      <c r="AK362" s="754"/>
      <c r="AL362" s="754"/>
      <c r="AM362" s="754"/>
      <c r="AN362" s="754"/>
      <c r="AO362" s="754"/>
      <c r="AP362" s="754"/>
      <c r="AQ362" s="754"/>
      <c r="AR362" s="754"/>
      <c r="AS362" s="754"/>
      <c r="AT362" s="754"/>
      <c r="AU362" s="754"/>
    </row>
    <row r="363" ht="15.75" customHeight="1">
      <c r="A363" s="759">
        <v>44340.0</v>
      </c>
      <c r="B363" s="760" t="s">
        <v>5923</v>
      </c>
      <c r="C363" s="761" t="s">
        <v>3642</v>
      </c>
      <c r="D363" s="745" t="s">
        <v>5903</v>
      </c>
      <c r="E363" s="757">
        <v>10000.0</v>
      </c>
      <c r="F363" s="745" t="s">
        <v>4456</v>
      </c>
      <c r="G363" s="745" t="s">
        <v>2379</v>
      </c>
      <c r="H363" s="745" t="s">
        <v>29</v>
      </c>
      <c r="I363" s="745" t="s">
        <v>2379</v>
      </c>
      <c r="J363" s="780">
        <v>43717.0</v>
      </c>
      <c r="K363" s="762" t="s">
        <v>4033</v>
      </c>
      <c r="L363" s="754"/>
      <c r="M363" s="754"/>
      <c r="N363" s="754"/>
      <c r="O363" s="754"/>
      <c r="P363" s="754"/>
      <c r="Q363" s="754"/>
      <c r="R363" s="754"/>
      <c r="S363" s="754"/>
      <c r="T363" s="754"/>
      <c r="U363" s="754"/>
      <c r="V363" s="754"/>
      <c r="W363" s="754"/>
      <c r="X363" s="754"/>
      <c r="Y363" s="754"/>
      <c r="Z363" s="754"/>
      <c r="AA363" s="754"/>
      <c r="AB363" s="754"/>
      <c r="AC363" s="754"/>
      <c r="AD363" s="754"/>
      <c r="AE363" s="754"/>
      <c r="AF363" s="754"/>
      <c r="AG363" s="754"/>
      <c r="AH363" s="754"/>
      <c r="AI363" s="754"/>
      <c r="AJ363" s="754"/>
      <c r="AK363" s="754"/>
      <c r="AL363" s="754"/>
      <c r="AM363" s="754"/>
      <c r="AN363" s="754"/>
      <c r="AO363" s="754"/>
      <c r="AP363" s="754"/>
      <c r="AQ363" s="754"/>
      <c r="AR363" s="754"/>
      <c r="AS363" s="754"/>
      <c r="AT363" s="754"/>
      <c r="AU363" s="754"/>
    </row>
    <row r="364" ht="15.75" customHeight="1">
      <c r="A364" s="759">
        <v>44340.0</v>
      </c>
      <c r="B364" s="760" t="s">
        <v>2931</v>
      </c>
      <c r="C364" s="761" t="s">
        <v>2376</v>
      </c>
      <c r="D364" s="745" t="s">
        <v>2387</v>
      </c>
      <c r="E364" s="757">
        <v>1330000.0</v>
      </c>
      <c r="F364" s="745" t="s">
        <v>2930</v>
      </c>
      <c r="G364" s="755" t="s">
        <v>2379</v>
      </c>
      <c r="H364" s="755" t="s">
        <v>29</v>
      </c>
      <c r="I364" s="755" t="s">
        <v>2380</v>
      </c>
      <c r="J364" s="755">
        <v>43711.0</v>
      </c>
      <c r="K364" s="758" t="s">
        <v>4033</v>
      </c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54"/>
      <c r="AB364" s="754"/>
      <c r="AC364" s="754"/>
      <c r="AD364" s="754"/>
      <c r="AE364" s="754"/>
      <c r="AF364" s="754"/>
      <c r="AG364" s="754"/>
      <c r="AH364" s="754"/>
      <c r="AI364" s="754"/>
      <c r="AJ364" s="754"/>
      <c r="AK364" s="754"/>
      <c r="AL364" s="754"/>
      <c r="AM364" s="754"/>
      <c r="AN364" s="754"/>
      <c r="AO364" s="754"/>
      <c r="AP364" s="754"/>
      <c r="AQ364" s="754"/>
      <c r="AR364" s="754"/>
      <c r="AS364" s="754"/>
      <c r="AT364" s="754"/>
      <c r="AU364" s="754"/>
    </row>
    <row r="365" ht="15.75" customHeight="1">
      <c r="A365" s="759">
        <v>44341.0</v>
      </c>
      <c r="B365" s="760" t="s">
        <v>5952</v>
      </c>
      <c r="C365" s="761" t="s">
        <v>3642</v>
      </c>
      <c r="D365" s="745" t="s">
        <v>5903</v>
      </c>
      <c r="E365" s="757">
        <v>15000.0</v>
      </c>
      <c r="F365" s="745" t="s">
        <v>5104</v>
      </c>
      <c r="G365" s="745" t="s">
        <v>18</v>
      </c>
      <c r="H365" s="745" t="s">
        <v>19</v>
      </c>
      <c r="I365" s="745" t="s">
        <v>230</v>
      </c>
      <c r="J365" s="755">
        <v>44291.0</v>
      </c>
      <c r="K365" s="762" t="s">
        <v>3664</v>
      </c>
      <c r="L365" s="754"/>
      <c r="M365" s="754"/>
      <c r="N365" s="754"/>
      <c r="O365" s="754"/>
      <c r="P365" s="754"/>
      <c r="Q365" s="754"/>
      <c r="R365" s="754"/>
      <c r="S365" s="754"/>
      <c r="T365" s="754"/>
      <c r="U365" s="754"/>
      <c r="V365" s="754"/>
      <c r="W365" s="754"/>
      <c r="X365" s="754"/>
      <c r="Y365" s="754"/>
      <c r="Z365" s="754"/>
      <c r="AA365" s="754"/>
      <c r="AB365" s="754"/>
      <c r="AC365" s="754"/>
      <c r="AD365" s="754"/>
      <c r="AE365" s="754"/>
      <c r="AF365" s="754"/>
      <c r="AG365" s="754"/>
      <c r="AH365" s="754"/>
      <c r="AI365" s="754"/>
      <c r="AJ365" s="754"/>
      <c r="AK365" s="754"/>
      <c r="AL365" s="754"/>
      <c r="AM365" s="754"/>
      <c r="AN365" s="754"/>
      <c r="AO365" s="754"/>
      <c r="AP365" s="754"/>
      <c r="AQ365" s="754"/>
      <c r="AR365" s="754"/>
      <c r="AS365" s="754"/>
      <c r="AT365" s="754"/>
      <c r="AU365" s="754"/>
    </row>
    <row r="366" ht="15.75" customHeight="1">
      <c r="A366" s="759">
        <v>44341.0</v>
      </c>
      <c r="B366" s="760" t="s">
        <v>3238</v>
      </c>
      <c r="C366" s="761" t="s">
        <v>2376</v>
      </c>
      <c r="D366" s="745" t="s">
        <v>5903</v>
      </c>
      <c r="E366" s="757">
        <v>10000.0</v>
      </c>
      <c r="F366" s="745" t="s">
        <v>3237</v>
      </c>
      <c r="G366" s="755" t="s">
        <v>18</v>
      </c>
      <c r="H366" s="755" t="s">
        <v>145</v>
      </c>
      <c r="I366" s="755" t="s">
        <v>171</v>
      </c>
      <c r="J366" s="755">
        <v>44279.0</v>
      </c>
      <c r="K366" s="758" t="s">
        <v>3651</v>
      </c>
      <c r="L366" s="754"/>
      <c r="M366" s="754"/>
      <c r="N366" s="754"/>
      <c r="O366" s="754"/>
      <c r="P366" s="754"/>
      <c r="Q366" s="754"/>
      <c r="R366" s="754"/>
      <c r="S366" s="754"/>
      <c r="T366" s="754"/>
      <c r="U366" s="754"/>
      <c r="V366" s="754"/>
      <c r="W366" s="754"/>
      <c r="X366" s="754"/>
      <c r="Y366" s="754"/>
      <c r="Z366" s="754"/>
      <c r="AA366" s="754"/>
      <c r="AB366" s="754"/>
      <c r="AC366" s="754"/>
      <c r="AD366" s="754"/>
      <c r="AE366" s="754"/>
      <c r="AF366" s="754"/>
      <c r="AG366" s="754"/>
      <c r="AH366" s="754"/>
      <c r="AI366" s="754"/>
      <c r="AJ366" s="754"/>
      <c r="AK366" s="754"/>
      <c r="AL366" s="754"/>
      <c r="AM366" s="754"/>
      <c r="AN366" s="754"/>
      <c r="AO366" s="754"/>
      <c r="AP366" s="754"/>
      <c r="AQ366" s="754"/>
      <c r="AR366" s="754"/>
      <c r="AS366" s="754"/>
      <c r="AT366" s="754"/>
      <c r="AU366" s="754"/>
    </row>
    <row r="367" ht="15.75" customHeight="1">
      <c r="A367" s="759">
        <v>44341.0</v>
      </c>
      <c r="B367" s="760" t="s">
        <v>2944</v>
      </c>
      <c r="C367" s="761" t="s">
        <v>2376</v>
      </c>
      <c r="D367" s="745" t="s">
        <v>5903</v>
      </c>
      <c r="E367" s="757">
        <v>7000.0</v>
      </c>
      <c r="F367" s="745" t="s">
        <v>2943</v>
      </c>
      <c r="G367" s="755" t="s">
        <v>18</v>
      </c>
      <c r="H367" s="755" t="s">
        <v>145</v>
      </c>
      <c r="I367" s="755" t="s">
        <v>171</v>
      </c>
      <c r="J367" s="755">
        <v>44280.0</v>
      </c>
      <c r="K367" s="758" t="s">
        <v>3651</v>
      </c>
      <c r="L367" s="754"/>
      <c r="M367" s="754"/>
      <c r="N367" s="754"/>
      <c r="O367" s="754"/>
      <c r="P367" s="754"/>
      <c r="Q367" s="754"/>
      <c r="R367" s="754"/>
      <c r="S367" s="754"/>
      <c r="T367" s="754"/>
      <c r="U367" s="754"/>
      <c r="V367" s="754"/>
      <c r="W367" s="754"/>
      <c r="X367" s="754"/>
      <c r="Y367" s="754"/>
      <c r="Z367" s="754"/>
      <c r="AA367" s="754"/>
      <c r="AB367" s="754"/>
      <c r="AC367" s="754"/>
      <c r="AD367" s="754"/>
      <c r="AE367" s="754"/>
      <c r="AF367" s="754"/>
      <c r="AG367" s="754"/>
      <c r="AH367" s="754"/>
      <c r="AI367" s="754"/>
      <c r="AJ367" s="754"/>
      <c r="AK367" s="754"/>
      <c r="AL367" s="754"/>
      <c r="AM367" s="754"/>
      <c r="AN367" s="754"/>
      <c r="AO367" s="754"/>
      <c r="AP367" s="754"/>
      <c r="AQ367" s="754"/>
      <c r="AR367" s="754"/>
      <c r="AS367" s="754"/>
      <c r="AT367" s="754"/>
      <c r="AU367" s="754"/>
    </row>
    <row r="368" ht="15.75" customHeight="1">
      <c r="A368" s="759">
        <v>44341.0</v>
      </c>
      <c r="B368" s="760" t="s">
        <v>2496</v>
      </c>
      <c r="C368" s="761" t="s">
        <v>2376</v>
      </c>
      <c r="D368" s="745" t="s">
        <v>5903</v>
      </c>
      <c r="E368" s="757">
        <v>15000.0</v>
      </c>
      <c r="F368" s="745" t="s">
        <v>2495</v>
      </c>
      <c r="G368" s="755" t="s">
        <v>18</v>
      </c>
      <c r="H368" s="755" t="s">
        <v>145</v>
      </c>
      <c r="I368" s="755" t="s">
        <v>171</v>
      </c>
      <c r="J368" s="755">
        <v>44295.0</v>
      </c>
      <c r="K368" s="758" t="s">
        <v>3647</v>
      </c>
      <c r="L368" s="754"/>
      <c r="M368" s="754"/>
      <c r="N368" s="754"/>
      <c r="O368" s="754"/>
      <c r="P368" s="754"/>
      <c r="Q368" s="754"/>
      <c r="R368" s="754"/>
      <c r="S368" s="754"/>
      <c r="T368" s="754"/>
      <c r="U368" s="754"/>
      <c r="V368" s="754"/>
      <c r="W368" s="754"/>
      <c r="X368" s="754"/>
      <c r="Y368" s="754"/>
      <c r="Z368" s="754"/>
      <c r="AA368" s="754"/>
      <c r="AB368" s="754"/>
      <c r="AC368" s="754"/>
      <c r="AD368" s="754"/>
      <c r="AE368" s="754"/>
      <c r="AF368" s="754"/>
      <c r="AG368" s="754"/>
      <c r="AH368" s="754"/>
      <c r="AI368" s="754"/>
      <c r="AJ368" s="754"/>
      <c r="AK368" s="754"/>
      <c r="AL368" s="754"/>
      <c r="AM368" s="754"/>
      <c r="AN368" s="754"/>
      <c r="AO368" s="754"/>
      <c r="AP368" s="754"/>
      <c r="AQ368" s="754"/>
      <c r="AR368" s="754"/>
      <c r="AS368" s="754"/>
      <c r="AT368" s="754"/>
      <c r="AU368" s="754"/>
    </row>
    <row r="369" ht="15.75" customHeight="1">
      <c r="A369" s="759">
        <v>44341.0</v>
      </c>
      <c r="B369" s="760" t="s">
        <v>2870</v>
      </c>
      <c r="C369" s="761" t="s">
        <v>2376</v>
      </c>
      <c r="D369" s="745" t="s">
        <v>5903</v>
      </c>
      <c r="E369" s="757">
        <v>10000.0</v>
      </c>
      <c r="F369" s="745" t="s">
        <v>2869</v>
      </c>
      <c r="G369" s="755" t="s">
        <v>2379</v>
      </c>
      <c r="H369" s="755" t="s">
        <v>29</v>
      </c>
      <c r="I369" s="755" t="s">
        <v>2380</v>
      </c>
      <c r="J369" s="755">
        <v>43605.0</v>
      </c>
      <c r="K369" s="758" t="s">
        <v>3660</v>
      </c>
      <c r="L369" s="754"/>
      <c r="M369" s="754"/>
      <c r="N369" s="754"/>
      <c r="O369" s="754"/>
      <c r="P369" s="754"/>
      <c r="Q369" s="754"/>
      <c r="R369" s="754"/>
      <c r="S369" s="754"/>
      <c r="T369" s="754"/>
      <c r="U369" s="754"/>
      <c r="V369" s="754"/>
      <c r="W369" s="754"/>
      <c r="X369" s="754"/>
      <c r="Y369" s="754"/>
      <c r="Z369" s="754"/>
      <c r="AA369" s="754"/>
      <c r="AB369" s="754"/>
      <c r="AC369" s="754"/>
      <c r="AD369" s="754"/>
      <c r="AE369" s="754"/>
      <c r="AF369" s="754"/>
      <c r="AG369" s="754"/>
      <c r="AH369" s="754"/>
      <c r="AI369" s="754"/>
      <c r="AJ369" s="754"/>
      <c r="AK369" s="754"/>
      <c r="AL369" s="754"/>
      <c r="AM369" s="754"/>
      <c r="AN369" s="754"/>
      <c r="AO369" s="754"/>
      <c r="AP369" s="754"/>
      <c r="AQ369" s="754"/>
      <c r="AR369" s="754"/>
      <c r="AS369" s="754"/>
      <c r="AT369" s="754"/>
      <c r="AU369" s="754"/>
    </row>
    <row r="370" ht="15.75" customHeight="1">
      <c r="A370" s="759">
        <v>44342.0</v>
      </c>
      <c r="B370" s="760" t="s">
        <v>2885</v>
      </c>
      <c r="C370" s="761" t="s">
        <v>2376</v>
      </c>
      <c r="D370" s="745" t="s">
        <v>2387</v>
      </c>
      <c r="E370" s="757">
        <v>4300.0</v>
      </c>
      <c r="F370" s="745" t="s">
        <v>2884</v>
      </c>
      <c r="G370" s="755" t="s">
        <v>2379</v>
      </c>
      <c r="H370" s="755" t="s">
        <v>29</v>
      </c>
      <c r="I370" s="755" t="s">
        <v>2392</v>
      </c>
      <c r="J370" s="755">
        <v>43559.0</v>
      </c>
      <c r="K370" s="758" t="s">
        <v>4033</v>
      </c>
      <c r="L370" s="754"/>
      <c r="M370" s="754"/>
      <c r="N370" s="754"/>
      <c r="O370" s="754"/>
      <c r="P370" s="754"/>
      <c r="Q370" s="754"/>
      <c r="R370" s="754"/>
      <c r="S370" s="754"/>
      <c r="T370" s="754"/>
      <c r="U370" s="754"/>
      <c r="V370" s="754"/>
      <c r="W370" s="754"/>
      <c r="X370" s="754"/>
      <c r="Y370" s="754"/>
      <c r="Z370" s="754"/>
      <c r="AA370" s="754"/>
      <c r="AB370" s="754"/>
      <c r="AC370" s="754"/>
      <c r="AD370" s="754"/>
      <c r="AE370" s="754"/>
      <c r="AF370" s="754"/>
      <c r="AG370" s="754"/>
      <c r="AH370" s="754"/>
      <c r="AI370" s="754"/>
      <c r="AJ370" s="754"/>
      <c r="AK370" s="754"/>
      <c r="AL370" s="754"/>
      <c r="AM370" s="754"/>
      <c r="AN370" s="754"/>
      <c r="AO370" s="754"/>
      <c r="AP370" s="754"/>
      <c r="AQ370" s="754"/>
      <c r="AR370" s="754"/>
      <c r="AS370" s="754"/>
      <c r="AT370" s="754"/>
      <c r="AU370" s="754"/>
    </row>
    <row r="371" ht="15.75" customHeight="1">
      <c r="A371" s="759">
        <v>44342.0</v>
      </c>
      <c r="B371" s="760" t="s">
        <v>3043</v>
      </c>
      <c r="C371" s="761" t="s">
        <v>2376</v>
      </c>
      <c r="D371" s="745" t="s">
        <v>5903</v>
      </c>
      <c r="E371" s="757">
        <v>50000.0</v>
      </c>
      <c r="F371" s="745" t="s">
        <v>3042</v>
      </c>
      <c r="G371" s="755" t="s">
        <v>18</v>
      </c>
      <c r="H371" s="755" t="s">
        <v>145</v>
      </c>
      <c r="I371" s="755" t="s">
        <v>171</v>
      </c>
      <c r="J371" s="755">
        <v>44322.0</v>
      </c>
      <c r="K371" s="758" t="s">
        <v>3651</v>
      </c>
      <c r="L371" s="754"/>
      <c r="M371" s="754"/>
      <c r="N371" s="754"/>
      <c r="O371" s="754"/>
      <c r="P371" s="754"/>
      <c r="Q371" s="754"/>
      <c r="R371" s="754"/>
      <c r="S371" s="754"/>
      <c r="T371" s="754"/>
      <c r="U371" s="754"/>
      <c r="V371" s="754"/>
      <c r="W371" s="754"/>
      <c r="X371" s="754"/>
      <c r="Y371" s="754"/>
      <c r="Z371" s="754"/>
      <c r="AA371" s="754"/>
      <c r="AB371" s="754"/>
      <c r="AC371" s="754"/>
      <c r="AD371" s="754"/>
      <c r="AE371" s="754"/>
      <c r="AF371" s="754"/>
      <c r="AG371" s="754"/>
      <c r="AH371" s="754"/>
      <c r="AI371" s="754"/>
      <c r="AJ371" s="754"/>
      <c r="AK371" s="754"/>
      <c r="AL371" s="754"/>
      <c r="AM371" s="754"/>
      <c r="AN371" s="754"/>
      <c r="AO371" s="754"/>
      <c r="AP371" s="754"/>
      <c r="AQ371" s="754"/>
      <c r="AR371" s="754"/>
      <c r="AS371" s="754"/>
      <c r="AT371" s="754"/>
      <c r="AU371" s="754"/>
    </row>
    <row r="372" ht="15.75" customHeight="1">
      <c r="A372" s="759">
        <v>44342.0</v>
      </c>
      <c r="B372" s="760" t="s">
        <v>2888</v>
      </c>
      <c r="C372" s="761" t="s">
        <v>2376</v>
      </c>
      <c r="D372" s="745" t="s">
        <v>5903</v>
      </c>
      <c r="E372" s="757">
        <v>0.0</v>
      </c>
      <c r="F372" s="745" t="s">
        <v>2887</v>
      </c>
      <c r="G372" s="755" t="s">
        <v>18</v>
      </c>
      <c r="H372" s="755" t="s">
        <v>145</v>
      </c>
      <c r="I372" s="755" t="s">
        <v>2464</v>
      </c>
      <c r="J372" s="755">
        <v>44266.0</v>
      </c>
      <c r="K372" s="758" t="s">
        <v>3660</v>
      </c>
      <c r="L372" s="754"/>
      <c r="M372" s="754"/>
      <c r="N372" s="754"/>
      <c r="O372" s="754"/>
      <c r="P372" s="754"/>
      <c r="Q372" s="754"/>
      <c r="R372" s="754"/>
      <c r="S372" s="754"/>
      <c r="T372" s="754"/>
      <c r="U372" s="754"/>
      <c r="V372" s="754"/>
      <c r="W372" s="754"/>
      <c r="X372" s="754"/>
      <c r="Y372" s="754"/>
      <c r="Z372" s="754"/>
      <c r="AA372" s="754"/>
      <c r="AB372" s="754"/>
      <c r="AC372" s="754"/>
      <c r="AD372" s="754"/>
      <c r="AE372" s="754"/>
      <c r="AF372" s="754"/>
      <c r="AG372" s="754"/>
      <c r="AH372" s="754"/>
      <c r="AI372" s="754"/>
      <c r="AJ372" s="754"/>
      <c r="AK372" s="754"/>
      <c r="AL372" s="754"/>
      <c r="AM372" s="754"/>
      <c r="AN372" s="754"/>
      <c r="AO372" s="754"/>
      <c r="AP372" s="754"/>
      <c r="AQ372" s="754"/>
      <c r="AR372" s="754"/>
      <c r="AS372" s="754"/>
      <c r="AT372" s="754"/>
      <c r="AU372" s="754"/>
    </row>
    <row r="373" ht="15.75" customHeight="1">
      <c r="A373" s="759">
        <v>44342.0</v>
      </c>
      <c r="B373" s="760" t="s">
        <v>2811</v>
      </c>
      <c r="C373" s="761" t="s">
        <v>2376</v>
      </c>
      <c r="D373" s="745" t="s">
        <v>5903</v>
      </c>
      <c r="E373" s="757">
        <v>40000.0</v>
      </c>
      <c r="F373" s="745" t="s">
        <v>2810</v>
      </c>
      <c r="G373" s="755" t="s">
        <v>2379</v>
      </c>
      <c r="H373" s="755" t="s">
        <v>29</v>
      </c>
      <c r="I373" s="755" t="s">
        <v>2380</v>
      </c>
      <c r="J373" s="755">
        <v>43703.0</v>
      </c>
      <c r="K373" s="758" t="s">
        <v>4033</v>
      </c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54"/>
      <c r="AB373" s="754"/>
      <c r="AC373" s="754"/>
      <c r="AD373" s="754"/>
      <c r="AE373" s="754"/>
      <c r="AF373" s="754"/>
      <c r="AG373" s="754"/>
      <c r="AH373" s="754"/>
      <c r="AI373" s="754"/>
      <c r="AJ373" s="754"/>
      <c r="AK373" s="754"/>
      <c r="AL373" s="754"/>
      <c r="AM373" s="754"/>
      <c r="AN373" s="754"/>
      <c r="AO373" s="754"/>
      <c r="AP373" s="754"/>
      <c r="AQ373" s="754"/>
      <c r="AR373" s="754"/>
      <c r="AS373" s="754"/>
      <c r="AT373" s="754"/>
      <c r="AU373" s="754"/>
    </row>
    <row r="374" ht="15.75" customHeight="1">
      <c r="A374" s="759">
        <v>44342.0</v>
      </c>
      <c r="B374" s="760" t="s">
        <v>2885</v>
      </c>
      <c r="C374" s="761" t="s">
        <v>2376</v>
      </c>
      <c r="D374" s="745" t="s">
        <v>5903</v>
      </c>
      <c r="E374" s="757">
        <v>17000.0</v>
      </c>
      <c r="F374" s="745" t="s">
        <v>2884</v>
      </c>
      <c r="G374" s="755" t="s">
        <v>2379</v>
      </c>
      <c r="H374" s="755" t="s">
        <v>29</v>
      </c>
      <c r="I374" s="755" t="s">
        <v>2392</v>
      </c>
      <c r="J374" s="755">
        <v>43559.0</v>
      </c>
      <c r="K374" s="758" t="s">
        <v>4033</v>
      </c>
      <c r="L374" s="754"/>
      <c r="M374" s="754"/>
      <c r="N374" s="754"/>
      <c r="O374" s="754"/>
      <c r="P374" s="754"/>
      <c r="Q374" s="754"/>
      <c r="R374" s="754"/>
      <c r="S374" s="754"/>
      <c r="T374" s="754"/>
      <c r="U374" s="754"/>
      <c r="V374" s="754"/>
      <c r="W374" s="754"/>
      <c r="X374" s="754"/>
      <c r="Y374" s="754"/>
      <c r="Z374" s="754"/>
      <c r="AA374" s="754"/>
      <c r="AB374" s="754"/>
      <c r="AC374" s="754"/>
      <c r="AD374" s="754"/>
      <c r="AE374" s="754"/>
      <c r="AF374" s="754"/>
      <c r="AG374" s="754"/>
      <c r="AH374" s="754"/>
      <c r="AI374" s="754"/>
      <c r="AJ374" s="754"/>
      <c r="AK374" s="754"/>
      <c r="AL374" s="754"/>
      <c r="AM374" s="754"/>
      <c r="AN374" s="754"/>
      <c r="AO374" s="754"/>
      <c r="AP374" s="754"/>
      <c r="AQ374" s="754"/>
      <c r="AR374" s="754"/>
      <c r="AS374" s="754"/>
      <c r="AT374" s="754"/>
      <c r="AU374" s="754"/>
    </row>
    <row r="375" ht="15.75" customHeight="1">
      <c r="A375" s="759">
        <v>44343.0</v>
      </c>
      <c r="B375" s="760" t="s">
        <v>3043</v>
      </c>
      <c r="C375" s="761" t="s">
        <v>2376</v>
      </c>
      <c r="D375" s="745" t="s">
        <v>5903</v>
      </c>
      <c r="E375" s="757">
        <v>40000.0</v>
      </c>
      <c r="F375" s="745" t="s">
        <v>3042</v>
      </c>
      <c r="G375" s="755" t="s">
        <v>18</v>
      </c>
      <c r="H375" s="755" t="s">
        <v>145</v>
      </c>
      <c r="I375" s="755" t="s">
        <v>171</v>
      </c>
      <c r="J375" s="755">
        <v>44322.0</v>
      </c>
      <c r="K375" s="758" t="s">
        <v>3651</v>
      </c>
      <c r="L375" s="754"/>
      <c r="M375" s="754"/>
      <c r="N375" s="754"/>
      <c r="O375" s="754"/>
      <c r="P375" s="754"/>
      <c r="Q375" s="754"/>
      <c r="R375" s="754"/>
      <c r="S375" s="754"/>
      <c r="T375" s="754"/>
      <c r="U375" s="754"/>
      <c r="V375" s="754"/>
      <c r="W375" s="754"/>
      <c r="X375" s="754"/>
      <c r="Y375" s="754"/>
      <c r="Z375" s="754"/>
      <c r="AA375" s="754"/>
      <c r="AB375" s="754"/>
      <c r="AC375" s="754"/>
      <c r="AD375" s="754"/>
      <c r="AE375" s="754"/>
      <c r="AF375" s="754"/>
      <c r="AG375" s="754"/>
      <c r="AH375" s="754"/>
      <c r="AI375" s="754"/>
      <c r="AJ375" s="754"/>
      <c r="AK375" s="754"/>
      <c r="AL375" s="754"/>
      <c r="AM375" s="754"/>
      <c r="AN375" s="754"/>
      <c r="AO375" s="754"/>
      <c r="AP375" s="754"/>
      <c r="AQ375" s="754"/>
      <c r="AR375" s="754"/>
      <c r="AS375" s="754"/>
      <c r="AT375" s="754"/>
      <c r="AU375" s="754"/>
    </row>
    <row r="376" ht="15.75" customHeight="1">
      <c r="A376" s="759">
        <v>44344.0</v>
      </c>
      <c r="B376" s="760" t="s">
        <v>3267</v>
      </c>
      <c r="C376" s="761" t="s">
        <v>2376</v>
      </c>
      <c r="D376" s="745" t="s">
        <v>5903</v>
      </c>
      <c r="E376" s="757">
        <v>150000.0</v>
      </c>
      <c r="F376" s="745" t="s">
        <v>3266</v>
      </c>
      <c r="G376" s="755" t="s">
        <v>18</v>
      </c>
      <c r="H376" s="755" t="s">
        <v>145</v>
      </c>
      <c r="I376" s="755" t="s">
        <v>171</v>
      </c>
      <c r="J376" s="755">
        <v>44319.0</v>
      </c>
      <c r="K376" s="758" t="s">
        <v>3651</v>
      </c>
      <c r="L376" s="754"/>
      <c r="M376" s="754"/>
      <c r="N376" s="754"/>
      <c r="O376" s="754"/>
      <c r="P376" s="754"/>
      <c r="Q376" s="754"/>
      <c r="R376" s="754"/>
      <c r="S376" s="754"/>
      <c r="T376" s="754"/>
      <c r="U376" s="754"/>
      <c r="V376" s="754"/>
      <c r="W376" s="754"/>
      <c r="X376" s="754"/>
      <c r="Y376" s="754"/>
      <c r="Z376" s="754"/>
      <c r="AA376" s="754"/>
      <c r="AB376" s="754"/>
      <c r="AC376" s="754"/>
      <c r="AD376" s="754"/>
      <c r="AE376" s="754"/>
      <c r="AF376" s="754"/>
      <c r="AG376" s="754"/>
      <c r="AH376" s="754"/>
      <c r="AI376" s="754"/>
      <c r="AJ376" s="754"/>
      <c r="AK376" s="754"/>
      <c r="AL376" s="754"/>
      <c r="AM376" s="754"/>
      <c r="AN376" s="754"/>
      <c r="AO376" s="754"/>
      <c r="AP376" s="754"/>
      <c r="AQ376" s="754"/>
      <c r="AR376" s="754"/>
      <c r="AS376" s="754"/>
      <c r="AT376" s="754"/>
      <c r="AU376" s="754"/>
    </row>
    <row r="377" ht="15.75" customHeight="1">
      <c r="A377" s="759">
        <v>44344.0</v>
      </c>
      <c r="B377" s="760" t="s">
        <v>2870</v>
      </c>
      <c r="C377" s="761" t="s">
        <v>2376</v>
      </c>
      <c r="D377" s="745" t="s">
        <v>5903</v>
      </c>
      <c r="E377" s="757">
        <v>280000.0</v>
      </c>
      <c r="F377" s="745" t="s">
        <v>2869</v>
      </c>
      <c r="G377" s="755" t="s">
        <v>2379</v>
      </c>
      <c r="H377" s="755" t="s">
        <v>29</v>
      </c>
      <c r="I377" s="755" t="s">
        <v>2380</v>
      </c>
      <c r="J377" s="755">
        <v>43605.0</v>
      </c>
      <c r="K377" s="758" t="s">
        <v>3660</v>
      </c>
      <c r="L377" s="754"/>
      <c r="M377" s="754"/>
      <c r="N377" s="754"/>
      <c r="O377" s="754"/>
      <c r="P377" s="754"/>
      <c r="Q377" s="754"/>
      <c r="R377" s="754"/>
      <c r="S377" s="754"/>
      <c r="T377" s="754"/>
      <c r="U377" s="754"/>
      <c r="V377" s="754"/>
      <c r="W377" s="754"/>
      <c r="X377" s="754"/>
      <c r="Y377" s="754"/>
      <c r="Z377" s="754"/>
      <c r="AA377" s="754"/>
      <c r="AB377" s="754"/>
      <c r="AC377" s="754"/>
      <c r="AD377" s="754"/>
      <c r="AE377" s="754"/>
      <c r="AF377" s="754"/>
      <c r="AG377" s="754"/>
      <c r="AH377" s="754"/>
      <c r="AI377" s="754"/>
      <c r="AJ377" s="754"/>
      <c r="AK377" s="754"/>
      <c r="AL377" s="754"/>
      <c r="AM377" s="754"/>
      <c r="AN377" s="754"/>
      <c r="AO377" s="754"/>
      <c r="AP377" s="754"/>
      <c r="AQ377" s="754"/>
      <c r="AR377" s="754"/>
      <c r="AS377" s="754"/>
      <c r="AT377" s="754"/>
      <c r="AU377" s="754"/>
    </row>
    <row r="378" ht="15.75" customHeight="1">
      <c r="A378" s="759">
        <v>44347.0</v>
      </c>
      <c r="B378" s="760" t="s">
        <v>3304</v>
      </c>
      <c r="C378" s="761" t="s">
        <v>2376</v>
      </c>
      <c r="D378" s="745" t="s">
        <v>5903</v>
      </c>
      <c r="E378" s="757">
        <v>2000.0</v>
      </c>
      <c r="F378" s="745" t="s">
        <v>2014</v>
      </c>
      <c r="G378" s="755" t="s">
        <v>18</v>
      </c>
      <c r="H378" s="755" t="s">
        <v>145</v>
      </c>
      <c r="I378" s="755" t="s">
        <v>146</v>
      </c>
      <c r="J378" s="755">
        <v>44280.0</v>
      </c>
      <c r="K378" s="758" t="s">
        <v>3647</v>
      </c>
      <c r="L378" s="754"/>
      <c r="M378" s="754"/>
      <c r="N378" s="754"/>
      <c r="O378" s="754"/>
      <c r="P378" s="754"/>
      <c r="Q378" s="754"/>
      <c r="R378" s="754"/>
      <c r="S378" s="754"/>
      <c r="T378" s="754"/>
      <c r="U378" s="754"/>
      <c r="V378" s="754"/>
      <c r="W378" s="754"/>
      <c r="X378" s="754"/>
      <c r="Y378" s="754"/>
      <c r="Z378" s="754"/>
      <c r="AA378" s="754"/>
      <c r="AB378" s="754"/>
      <c r="AC378" s="754"/>
      <c r="AD378" s="754"/>
      <c r="AE378" s="754"/>
      <c r="AF378" s="754"/>
      <c r="AG378" s="754"/>
      <c r="AH378" s="754"/>
      <c r="AI378" s="754"/>
      <c r="AJ378" s="754"/>
      <c r="AK378" s="754"/>
      <c r="AL378" s="754"/>
      <c r="AM378" s="754"/>
      <c r="AN378" s="754"/>
      <c r="AO378" s="754"/>
      <c r="AP378" s="754"/>
      <c r="AQ378" s="754"/>
      <c r="AR378" s="754"/>
      <c r="AS378" s="754"/>
      <c r="AT378" s="754"/>
      <c r="AU378" s="754"/>
    </row>
    <row r="379" ht="15.75" customHeight="1">
      <c r="A379" s="759">
        <v>44347.0</v>
      </c>
      <c r="B379" s="760" t="s">
        <v>3469</v>
      </c>
      <c r="C379" s="761" t="s">
        <v>3458</v>
      </c>
      <c r="D379" s="745" t="s">
        <v>2387</v>
      </c>
      <c r="E379" s="757">
        <v>57300.0</v>
      </c>
      <c r="F379" s="745" t="s">
        <v>3468</v>
      </c>
      <c r="G379" s="755" t="s">
        <v>18</v>
      </c>
      <c r="H379" s="755" t="s">
        <v>29</v>
      </c>
      <c r="I379" s="755" t="s">
        <v>3470</v>
      </c>
      <c r="J379" s="755">
        <v>43759.0</v>
      </c>
      <c r="K379" s="758" t="s">
        <v>5060</v>
      </c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54"/>
      <c r="AB379" s="754"/>
      <c r="AC379" s="754"/>
      <c r="AD379" s="754"/>
      <c r="AE379" s="754"/>
      <c r="AF379" s="754"/>
      <c r="AG379" s="754"/>
      <c r="AH379" s="754"/>
      <c r="AI379" s="754"/>
      <c r="AJ379" s="754"/>
      <c r="AK379" s="754"/>
      <c r="AL379" s="754"/>
      <c r="AM379" s="754"/>
      <c r="AN379" s="754"/>
      <c r="AO379" s="754"/>
      <c r="AP379" s="754"/>
      <c r="AQ379" s="754"/>
      <c r="AR379" s="754"/>
      <c r="AS379" s="754"/>
      <c r="AT379" s="754"/>
      <c r="AU379" s="754"/>
    </row>
    <row r="380" ht="15.75" customHeight="1">
      <c r="A380" s="759">
        <v>44347.0</v>
      </c>
      <c r="B380" s="760" t="s">
        <v>3101</v>
      </c>
      <c r="C380" s="761" t="s">
        <v>2376</v>
      </c>
      <c r="D380" s="745" t="s">
        <v>5903</v>
      </c>
      <c r="E380" s="757">
        <v>13000.0</v>
      </c>
      <c r="F380" s="745" t="s">
        <v>1587</v>
      </c>
      <c r="G380" s="755" t="s">
        <v>18</v>
      </c>
      <c r="H380" s="755" t="s">
        <v>145</v>
      </c>
      <c r="I380" s="755" t="s">
        <v>146</v>
      </c>
      <c r="J380" s="755">
        <v>44322.0</v>
      </c>
      <c r="K380" s="758" t="s">
        <v>3651</v>
      </c>
      <c r="L380" s="754"/>
      <c r="M380" s="754"/>
      <c r="N380" s="754"/>
      <c r="O380" s="754"/>
      <c r="P380" s="754"/>
      <c r="Q380" s="754"/>
      <c r="R380" s="754"/>
      <c r="S380" s="754"/>
      <c r="T380" s="754"/>
      <c r="U380" s="754"/>
      <c r="V380" s="754"/>
      <c r="W380" s="754"/>
      <c r="X380" s="754"/>
      <c r="Y380" s="754"/>
      <c r="Z380" s="754"/>
      <c r="AA380" s="754"/>
      <c r="AB380" s="754"/>
      <c r="AC380" s="754"/>
      <c r="AD380" s="754"/>
      <c r="AE380" s="754"/>
      <c r="AF380" s="754"/>
      <c r="AG380" s="754"/>
      <c r="AH380" s="754"/>
      <c r="AI380" s="754"/>
      <c r="AJ380" s="754"/>
      <c r="AK380" s="754"/>
      <c r="AL380" s="754"/>
      <c r="AM380" s="754"/>
      <c r="AN380" s="754"/>
      <c r="AO380" s="754"/>
      <c r="AP380" s="754"/>
      <c r="AQ380" s="754"/>
      <c r="AR380" s="754"/>
      <c r="AS380" s="754"/>
      <c r="AT380" s="754"/>
      <c r="AU380" s="754"/>
    </row>
    <row r="381" ht="15.75" customHeight="1">
      <c r="A381" s="759">
        <v>44348.0</v>
      </c>
      <c r="B381" s="760" t="s">
        <v>5941</v>
      </c>
      <c r="C381" s="761" t="s">
        <v>3642</v>
      </c>
      <c r="D381" s="745" t="s">
        <v>5903</v>
      </c>
      <c r="E381" s="757">
        <v>50000.0</v>
      </c>
      <c r="F381" s="745" t="s">
        <v>4928</v>
      </c>
      <c r="G381" s="745" t="s">
        <v>86</v>
      </c>
      <c r="H381" s="745" t="s">
        <v>29</v>
      </c>
      <c r="I381" s="745" t="s">
        <v>4314</v>
      </c>
      <c r="J381" s="778">
        <v>44180.0</v>
      </c>
      <c r="K381" s="762" t="s">
        <v>3651</v>
      </c>
      <c r="L381" s="754"/>
      <c r="M381" s="754"/>
      <c r="N381" s="754"/>
      <c r="O381" s="754"/>
      <c r="P381" s="754"/>
      <c r="Q381" s="754"/>
      <c r="R381" s="754"/>
      <c r="S381" s="754"/>
      <c r="T381" s="754"/>
      <c r="U381" s="754"/>
      <c r="V381" s="754"/>
      <c r="W381" s="754"/>
      <c r="X381" s="754"/>
      <c r="Y381" s="754"/>
      <c r="Z381" s="754"/>
      <c r="AA381" s="754"/>
      <c r="AB381" s="754"/>
      <c r="AC381" s="754"/>
      <c r="AD381" s="754"/>
      <c r="AE381" s="754"/>
      <c r="AF381" s="754"/>
      <c r="AG381" s="754"/>
      <c r="AH381" s="754"/>
      <c r="AI381" s="754"/>
      <c r="AJ381" s="754"/>
      <c r="AK381" s="754"/>
      <c r="AL381" s="754"/>
      <c r="AM381" s="754"/>
      <c r="AN381" s="754"/>
      <c r="AO381" s="754"/>
      <c r="AP381" s="754"/>
      <c r="AQ381" s="754"/>
      <c r="AR381" s="754"/>
      <c r="AS381" s="754"/>
      <c r="AT381" s="754"/>
      <c r="AU381" s="754"/>
    </row>
    <row r="382" ht="15.75" customHeight="1">
      <c r="A382" s="759">
        <v>44348.0</v>
      </c>
      <c r="B382" s="760" t="s">
        <v>2676</v>
      </c>
      <c r="C382" s="761" t="s">
        <v>2376</v>
      </c>
      <c r="D382" s="745" t="s">
        <v>5903</v>
      </c>
      <c r="E382" s="757">
        <v>40000.0</v>
      </c>
      <c r="F382" s="745" t="s">
        <v>691</v>
      </c>
      <c r="G382" s="755" t="s">
        <v>18</v>
      </c>
      <c r="H382" s="755" t="s">
        <v>145</v>
      </c>
      <c r="I382" s="755" t="s">
        <v>146</v>
      </c>
      <c r="J382" s="755">
        <v>44321.0</v>
      </c>
      <c r="K382" s="758" t="s">
        <v>3651</v>
      </c>
      <c r="L382" s="754"/>
      <c r="M382" s="754"/>
      <c r="N382" s="754"/>
      <c r="O382" s="754"/>
      <c r="P382" s="754"/>
      <c r="Q382" s="754"/>
      <c r="R382" s="754"/>
      <c r="S382" s="754"/>
      <c r="T382" s="754"/>
      <c r="U382" s="754"/>
      <c r="V382" s="754"/>
      <c r="W382" s="754"/>
      <c r="X382" s="754"/>
      <c r="Y382" s="754"/>
      <c r="Z382" s="754"/>
      <c r="AA382" s="754"/>
      <c r="AB382" s="754"/>
      <c r="AC382" s="754"/>
      <c r="AD382" s="754"/>
      <c r="AE382" s="754"/>
      <c r="AF382" s="754"/>
      <c r="AG382" s="754"/>
      <c r="AH382" s="754"/>
      <c r="AI382" s="754"/>
      <c r="AJ382" s="754"/>
      <c r="AK382" s="754"/>
      <c r="AL382" s="754"/>
      <c r="AM382" s="754"/>
      <c r="AN382" s="754"/>
      <c r="AO382" s="754"/>
      <c r="AP382" s="754"/>
      <c r="AQ382" s="754"/>
      <c r="AR382" s="754"/>
      <c r="AS382" s="754"/>
      <c r="AT382" s="754"/>
      <c r="AU382" s="754"/>
    </row>
    <row r="383" ht="15.75" customHeight="1">
      <c r="A383" s="759">
        <v>44349.0</v>
      </c>
      <c r="B383" s="760" t="s">
        <v>3101</v>
      </c>
      <c r="C383" s="761" t="s">
        <v>2376</v>
      </c>
      <c r="D383" s="745" t="s">
        <v>5903</v>
      </c>
      <c r="E383" s="757">
        <v>10000.0</v>
      </c>
      <c r="F383" s="745" t="s">
        <v>1587</v>
      </c>
      <c r="G383" s="755" t="s">
        <v>18</v>
      </c>
      <c r="H383" s="755" t="s">
        <v>145</v>
      </c>
      <c r="I383" s="755" t="s">
        <v>146</v>
      </c>
      <c r="J383" s="755">
        <v>44322.0</v>
      </c>
      <c r="K383" s="758" t="s">
        <v>3651</v>
      </c>
      <c r="L383" s="754"/>
      <c r="M383" s="754"/>
      <c r="N383" s="754"/>
      <c r="O383" s="754"/>
      <c r="P383" s="754"/>
      <c r="Q383" s="754"/>
      <c r="R383" s="754"/>
      <c r="S383" s="754"/>
      <c r="T383" s="754"/>
      <c r="U383" s="754"/>
      <c r="V383" s="754"/>
      <c r="W383" s="754"/>
      <c r="X383" s="754"/>
      <c r="Y383" s="754"/>
      <c r="Z383" s="754"/>
      <c r="AA383" s="754"/>
      <c r="AB383" s="754"/>
      <c r="AC383" s="754"/>
      <c r="AD383" s="754"/>
      <c r="AE383" s="754"/>
      <c r="AF383" s="754"/>
      <c r="AG383" s="754"/>
      <c r="AH383" s="754"/>
      <c r="AI383" s="754"/>
      <c r="AJ383" s="754"/>
      <c r="AK383" s="754"/>
      <c r="AL383" s="754"/>
      <c r="AM383" s="754"/>
      <c r="AN383" s="754"/>
      <c r="AO383" s="754"/>
      <c r="AP383" s="754"/>
      <c r="AQ383" s="754"/>
      <c r="AR383" s="754"/>
      <c r="AS383" s="754"/>
      <c r="AT383" s="754"/>
      <c r="AU383" s="754"/>
    </row>
    <row r="384" ht="15.75" customHeight="1">
      <c r="A384" s="759">
        <v>44349.0</v>
      </c>
      <c r="B384" s="760" t="s">
        <v>2646</v>
      </c>
      <c r="C384" s="761" t="s">
        <v>2376</v>
      </c>
      <c r="D384" s="745" t="s">
        <v>5903</v>
      </c>
      <c r="E384" s="757">
        <v>31306.96</v>
      </c>
      <c r="F384" s="745" t="s">
        <v>2645</v>
      </c>
      <c r="G384" s="755" t="s">
        <v>18</v>
      </c>
      <c r="H384" s="755" t="s">
        <v>145</v>
      </c>
      <c r="I384" s="755" t="s">
        <v>146</v>
      </c>
      <c r="J384" s="755">
        <v>44328.0</v>
      </c>
      <c r="K384" s="758" t="s">
        <v>3651</v>
      </c>
      <c r="L384" s="754"/>
      <c r="M384" s="754"/>
      <c r="N384" s="754"/>
      <c r="O384" s="754"/>
      <c r="P384" s="754"/>
      <c r="Q384" s="754"/>
      <c r="R384" s="754"/>
      <c r="S384" s="754"/>
      <c r="T384" s="754"/>
      <c r="U384" s="754"/>
      <c r="V384" s="754"/>
      <c r="W384" s="754"/>
      <c r="X384" s="754"/>
      <c r="Y384" s="754"/>
      <c r="Z384" s="754"/>
      <c r="AA384" s="754"/>
      <c r="AB384" s="754"/>
      <c r="AC384" s="754"/>
      <c r="AD384" s="754"/>
      <c r="AE384" s="754"/>
      <c r="AF384" s="754"/>
      <c r="AG384" s="754"/>
      <c r="AH384" s="754"/>
      <c r="AI384" s="754"/>
      <c r="AJ384" s="754"/>
      <c r="AK384" s="754"/>
      <c r="AL384" s="754"/>
      <c r="AM384" s="754"/>
      <c r="AN384" s="754"/>
      <c r="AO384" s="754"/>
      <c r="AP384" s="754"/>
      <c r="AQ384" s="754"/>
      <c r="AR384" s="754"/>
      <c r="AS384" s="754"/>
      <c r="AT384" s="754"/>
      <c r="AU384" s="754"/>
    </row>
    <row r="385" ht="15.75" customHeight="1">
      <c r="A385" s="759">
        <v>44351.0</v>
      </c>
      <c r="B385" s="760" t="s">
        <v>2564</v>
      </c>
      <c r="C385" s="761" t="s">
        <v>2376</v>
      </c>
      <c r="D385" s="745" t="s">
        <v>5903</v>
      </c>
      <c r="E385" s="757">
        <v>9000.0</v>
      </c>
      <c r="F385" s="745" t="s">
        <v>2563</v>
      </c>
      <c r="G385" s="755" t="s">
        <v>18</v>
      </c>
      <c r="H385" s="755" t="s">
        <v>145</v>
      </c>
      <c r="I385" s="755" t="s">
        <v>2464</v>
      </c>
      <c r="J385" s="755">
        <v>44260.0</v>
      </c>
      <c r="K385" s="758" t="s">
        <v>3651</v>
      </c>
      <c r="L385" s="754"/>
      <c r="M385" s="754"/>
      <c r="N385" s="754"/>
      <c r="O385" s="754"/>
      <c r="P385" s="754"/>
      <c r="Q385" s="754"/>
      <c r="R385" s="754"/>
      <c r="S385" s="754"/>
      <c r="T385" s="754"/>
      <c r="U385" s="754"/>
      <c r="V385" s="754"/>
      <c r="W385" s="754"/>
      <c r="X385" s="754"/>
      <c r="Y385" s="754"/>
      <c r="Z385" s="754"/>
      <c r="AA385" s="754"/>
      <c r="AB385" s="754"/>
      <c r="AC385" s="754"/>
      <c r="AD385" s="754"/>
      <c r="AE385" s="754"/>
      <c r="AF385" s="754"/>
      <c r="AG385" s="754"/>
      <c r="AH385" s="754"/>
      <c r="AI385" s="754"/>
      <c r="AJ385" s="754"/>
      <c r="AK385" s="754"/>
      <c r="AL385" s="754"/>
      <c r="AM385" s="754"/>
      <c r="AN385" s="754"/>
      <c r="AO385" s="754"/>
      <c r="AP385" s="754"/>
      <c r="AQ385" s="754"/>
      <c r="AR385" s="754"/>
      <c r="AS385" s="754"/>
      <c r="AT385" s="754"/>
      <c r="AU385" s="754"/>
    </row>
    <row r="386" ht="15.75" customHeight="1">
      <c r="A386" s="759">
        <v>44351.0</v>
      </c>
      <c r="B386" s="760" t="s">
        <v>3073</v>
      </c>
      <c r="C386" s="761" t="s">
        <v>2376</v>
      </c>
      <c r="D386" s="745" t="s">
        <v>5903</v>
      </c>
      <c r="E386" s="757">
        <v>40000.0</v>
      </c>
      <c r="F386" s="745" t="s">
        <v>3072</v>
      </c>
      <c r="G386" s="755" t="s">
        <v>2379</v>
      </c>
      <c r="H386" s="755" t="s">
        <v>29</v>
      </c>
      <c r="I386" s="755" t="s">
        <v>2380</v>
      </c>
      <c r="J386" s="755">
        <v>43564.0</v>
      </c>
      <c r="K386" s="758" t="s">
        <v>3664</v>
      </c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54"/>
      <c r="AB386" s="754"/>
      <c r="AC386" s="754"/>
      <c r="AD386" s="754"/>
      <c r="AE386" s="754"/>
      <c r="AF386" s="754"/>
      <c r="AG386" s="754"/>
      <c r="AH386" s="754"/>
      <c r="AI386" s="754"/>
      <c r="AJ386" s="754"/>
      <c r="AK386" s="754"/>
      <c r="AL386" s="754"/>
      <c r="AM386" s="754"/>
      <c r="AN386" s="754"/>
      <c r="AO386" s="754"/>
      <c r="AP386" s="754"/>
      <c r="AQ386" s="754"/>
      <c r="AR386" s="754"/>
      <c r="AS386" s="754"/>
      <c r="AT386" s="754"/>
      <c r="AU386" s="754"/>
    </row>
    <row r="387" ht="15.75" customHeight="1">
      <c r="A387" s="759">
        <v>44353.0</v>
      </c>
      <c r="B387" s="760" t="s">
        <v>5953</v>
      </c>
      <c r="C387" s="761" t="s">
        <v>3642</v>
      </c>
      <c r="D387" s="745" t="s">
        <v>5903</v>
      </c>
      <c r="E387" s="757">
        <v>506343.93</v>
      </c>
      <c r="F387" s="745" t="s">
        <v>3781</v>
      </c>
      <c r="G387" s="745" t="s">
        <v>18</v>
      </c>
      <c r="H387" s="745" t="s">
        <v>19</v>
      </c>
      <c r="I387" s="745" t="s">
        <v>230</v>
      </c>
      <c r="J387" s="781">
        <v>44298.0</v>
      </c>
      <c r="K387" s="762" t="s">
        <v>3660</v>
      </c>
      <c r="L387" s="754"/>
      <c r="M387" s="754"/>
      <c r="N387" s="754"/>
      <c r="O387" s="754"/>
      <c r="P387" s="754"/>
      <c r="Q387" s="754"/>
      <c r="R387" s="754"/>
      <c r="S387" s="754"/>
      <c r="T387" s="754"/>
      <c r="U387" s="754"/>
      <c r="V387" s="754"/>
      <c r="W387" s="754"/>
      <c r="X387" s="754"/>
      <c r="Y387" s="754"/>
      <c r="Z387" s="754"/>
      <c r="AA387" s="754"/>
      <c r="AB387" s="754"/>
      <c r="AC387" s="754"/>
      <c r="AD387" s="754"/>
      <c r="AE387" s="754"/>
      <c r="AF387" s="754"/>
      <c r="AG387" s="754"/>
      <c r="AH387" s="754"/>
      <c r="AI387" s="754"/>
      <c r="AJ387" s="754"/>
      <c r="AK387" s="754"/>
      <c r="AL387" s="754"/>
      <c r="AM387" s="754"/>
      <c r="AN387" s="754"/>
      <c r="AO387" s="754"/>
      <c r="AP387" s="754"/>
      <c r="AQ387" s="754"/>
      <c r="AR387" s="754"/>
      <c r="AS387" s="754"/>
      <c r="AT387" s="754"/>
      <c r="AU387" s="754"/>
    </row>
    <row r="388" ht="15.75" customHeight="1">
      <c r="A388" s="759">
        <v>44354.0</v>
      </c>
      <c r="B388" s="760" t="s">
        <v>2824</v>
      </c>
      <c r="C388" s="761" t="s">
        <v>2376</v>
      </c>
      <c r="D388" s="745" t="s">
        <v>5903</v>
      </c>
      <c r="E388" s="757">
        <v>5000.0</v>
      </c>
      <c r="F388" s="745" t="s">
        <v>2823</v>
      </c>
      <c r="G388" s="755" t="s">
        <v>2379</v>
      </c>
      <c r="H388" s="755" t="s">
        <v>29</v>
      </c>
      <c r="I388" s="755" t="s">
        <v>2392</v>
      </c>
      <c r="J388" s="755">
        <v>43752.0</v>
      </c>
      <c r="K388" s="758" t="s">
        <v>3651</v>
      </c>
      <c r="L388" s="754"/>
      <c r="M388" s="754"/>
      <c r="N388" s="754"/>
      <c r="O388" s="754"/>
      <c r="P388" s="754"/>
      <c r="Q388" s="754"/>
      <c r="R388" s="754"/>
      <c r="S388" s="754"/>
      <c r="T388" s="754"/>
      <c r="U388" s="754"/>
      <c r="V388" s="754"/>
      <c r="W388" s="754"/>
      <c r="X388" s="754"/>
      <c r="Y388" s="754"/>
      <c r="Z388" s="754"/>
      <c r="AA388" s="754"/>
      <c r="AB388" s="754"/>
      <c r="AC388" s="754"/>
      <c r="AD388" s="754"/>
      <c r="AE388" s="754"/>
      <c r="AF388" s="754"/>
      <c r="AG388" s="754"/>
      <c r="AH388" s="754"/>
      <c r="AI388" s="754"/>
      <c r="AJ388" s="754"/>
      <c r="AK388" s="754"/>
      <c r="AL388" s="754"/>
      <c r="AM388" s="754"/>
      <c r="AN388" s="754"/>
      <c r="AO388" s="754"/>
      <c r="AP388" s="754"/>
      <c r="AQ388" s="754"/>
      <c r="AR388" s="754"/>
      <c r="AS388" s="754"/>
      <c r="AT388" s="754"/>
      <c r="AU388" s="754"/>
    </row>
    <row r="389" ht="15.75" customHeight="1">
      <c r="A389" s="759">
        <v>44355.0</v>
      </c>
      <c r="B389" s="760" t="s">
        <v>3073</v>
      </c>
      <c r="C389" s="761" t="s">
        <v>2376</v>
      </c>
      <c r="D389" s="745" t="s">
        <v>5903</v>
      </c>
      <c r="E389" s="757">
        <v>50000.0</v>
      </c>
      <c r="F389" s="745" t="s">
        <v>3072</v>
      </c>
      <c r="G389" s="755" t="s">
        <v>2379</v>
      </c>
      <c r="H389" s="755" t="s">
        <v>29</v>
      </c>
      <c r="I389" s="755" t="s">
        <v>2380</v>
      </c>
      <c r="J389" s="755">
        <v>43564.0</v>
      </c>
      <c r="K389" s="758" t="s">
        <v>3664</v>
      </c>
      <c r="L389" s="754"/>
      <c r="M389" s="754"/>
      <c r="N389" s="754"/>
      <c r="O389" s="754"/>
      <c r="P389" s="754"/>
      <c r="Q389" s="754"/>
      <c r="R389" s="754"/>
      <c r="S389" s="754"/>
      <c r="T389" s="754"/>
      <c r="U389" s="754"/>
      <c r="V389" s="754"/>
      <c r="W389" s="754"/>
      <c r="X389" s="754"/>
      <c r="Y389" s="754"/>
      <c r="Z389" s="754"/>
      <c r="AA389" s="754"/>
      <c r="AB389" s="754"/>
      <c r="AC389" s="754"/>
      <c r="AD389" s="754"/>
      <c r="AE389" s="754"/>
      <c r="AF389" s="754"/>
      <c r="AG389" s="754"/>
      <c r="AH389" s="754"/>
      <c r="AI389" s="754"/>
      <c r="AJ389" s="754"/>
      <c r="AK389" s="754"/>
      <c r="AL389" s="754"/>
      <c r="AM389" s="754"/>
      <c r="AN389" s="754"/>
      <c r="AO389" s="754"/>
      <c r="AP389" s="754"/>
      <c r="AQ389" s="754"/>
      <c r="AR389" s="754"/>
      <c r="AS389" s="754"/>
      <c r="AT389" s="754"/>
      <c r="AU389" s="754"/>
    </row>
    <row r="390" ht="15.75" customHeight="1">
      <c r="A390" s="759">
        <v>44355.0</v>
      </c>
      <c r="B390" s="760" t="s">
        <v>2919</v>
      </c>
      <c r="C390" s="761" t="s">
        <v>2376</v>
      </c>
      <c r="D390" s="745" t="s">
        <v>5903</v>
      </c>
      <c r="E390" s="757">
        <v>15000.0</v>
      </c>
      <c r="F390" s="745" t="s">
        <v>2918</v>
      </c>
      <c r="G390" s="755" t="s">
        <v>18</v>
      </c>
      <c r="H390" s="755" t="s">
        <v>145</v>
      </c>
      <c r="I390" s="755" t="s">
        <v>146</v>
      </c>
      <c r="J390" s="755">
        <v>44295.0</v>
      </c>
      <c r="K390" s="758" t="s">
        <v>3657</v>
      </c>
      <c r="L390" s="754"/>
      <c r="M390" s="754"/>
      <c r="N390" s="754"/>
      <c r="O390" s="754"/>
      <c r="P390" s="754"/>
      <c r="Q390" s="754"/>
      <c r="R390" s="754"/>
      <c r="S390" s="754"/>
      <c r="T390" s="754"/>
      <c r="U390" s="754"/>
      <c r="V390" s="754"/>
      <c r="W390" s="754"/>
      <c r="X390" s="754"/>
      <c r="Y390" s="754"/>
      <c r="Z390" s="754"/>
      <c r="AA390" s="754"/>
      <c r="AB390" s="754"/>
      <c r="AC390" s="754"/>
      <c r="AD390" s="754"/>
      <c r="AE390" s="754"/>
      <c r="AF390" s="754"/>
      <c r="AG390" s="754"/>
      <c r="AH390" s="754"/>
      <c r="AI390" s="754"/>
      <c r="AJ390" s="754"/>
      <c r="AK390" s="754"/>
      <c r="AL390" s="754"/>
      <c r="AM390" s="754"/>
      <c r="AN390" s="754"/>
      <c r="AO390" s="754"/>
      <c r="AP390" s="754"/>
      <c r="AQ390" s="754"/>
      <c r="AR390" s="754"/>
      <c r="AS390" s="754"/>
      <c r="AT390" s="754"/>
      <c r="AU390" s="754"/>
    </row>
    <row r="391" ht="15.75" customHeight="1">
      <c r="A391" s="759">
        <v>44355.0</v>
      </c>
      <c r="B391" s="760" t="s">
        <v>3066</v>
      </c>
      <c r="C391" s="761" t="s">
        <v>2376</v>
      </c>
      <c r="D391" s="745" t="s">
        <v>2387</v>
      </c>
      <c r="E391" s="757">
        <v>30000.0</v>
      </c>
      <c r="F391" s="745" t="s">
        <v>3065</v>
      </c>
      <c r="G391" s="755" t="s">
        <v>2379</v>
      </c>
      <c r="H391" s="755" t="s">
        <v>29</v>
      </c>
      <c r="I391" s="755" t="s">
        <v>2379</v>
      </c>
      <c r="J391" s="755">
        <v>44036.0</v>
      </c>
      <c r="K391" s="758" t="s">
        <v>3660</v>
      </c>
      <c r="L391" s="754"/>
      <c r="M391" s="754"/>
      <c r="N391" s="754"/>
      <c r="O391" s="754"/>
      <c r="P391" s="754"/>
      <c r="Q391" s="754"/>
      <c r="R391" s="754"/>
      <c r="S391" s="754"/>
      <c r="T391" s="754"/>
      <c r="U391" s="754"/>
      <c r="V391" s="754"/>
      <c r="W391" s="754"/>
      <c r="X391" s="754"/>
      <c r="Y391" s="754"/>
      <c r="Z391" s="754"/>
      <c r="AA391" s="754"/>
      <c r="AB391" s="754"/>
      <c r="AC391" s="754"/>
      <c r="AD391" s="754"/>
      <c r="AE391" s="754"/>
      <c r="AF391" s="754"/>
      <c r="AG391" s="754"/>
      <c r="AH391" s="754"/>
      <c r="AI391" s="754"/>
      <c r="AJ391" s="754"/>
      <c r="AK391" s="754"/>
      <c r="AL391" s="754"/>
      <c r="AM391" s="754"/>
      <c r="AN391" s="754"/>
      <c r="AO391" s="754"/>
      <c r="AP391" s="754"/>
      <c r="AQ391" s="754"/>
      <c r="AR391" s="754"/>
      <c r="AS391" s="754"/>
      <c r="AT391" s="754"/>
      <c r="AU391" s="754"/>
    </row>
    <row r="392" ht="15.75" customHeight="1">
      <c r="A392" s="759">
        <v>44355.0</v>
      </c>
      <c r="B392" s="760" t="s">
        <v>2811</v>
      </c>
      <c r="C392" s="761" t="s">
        <v>2376</v>
      </c>
      <c r="D392" s="745" t="s">
        <v>5903</v>
      </c>
      <c r="E392" s="757">
        <v>600000.0</v>
      </c>
      <c r="F392" s="745" t="s">
        <v>2810</v>
      </c>
      <c r="G392" s="755" t="s">
        <v>2379</v>
      </c>
      <c r="H392" s="755" t="s">
        <v>29</v>
      </c>
      <c r="I392" s="755" t="s">
        <v>2380</v>
      </c>
      <c r="J392" s="755">
        <v>43703.0</v>
      </c>
      <c r="K392" s="758" t="s">
        <v>4033</v>
      </c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54"/>
      <c r="AB392" s="754"/>
      <c r="AC392" s="754"/>
      <c r="AD392" s="754"/>
      <c r="AE392" s="754"/>
      <c r="AF392" s="754"/>
      <c r="AG392" s="754"/>
      <c r="AH392" s="754"/>
      <c r="AI392" s="754"/>
      <c r="AJ392" s="754"/>
      <c r="AK392" s="754"/>
      <c r="AL392" s="754"/>
      <c r="AM392" s="754"/>
      <c r="AN392" s="754"/>
      <c r="AO392" s="754"/>
      <c r="AP392" s="754"/>
      <c r="AQ392" s="754"/>
      <c r="AR392" s="754"/>
      <c r="AS392" s="754"/>
      <c r="AT392" s="754"/>
      <c r="AU392" s="754"/>
    </row>
    <row r="393" ht="15.75" customHeight="1">
      <c r="A393" s="759">
        <v>44355.0</v>
      </c>
      <c r="B393" s="760" t="s">
        <v>5940</v>
      </c>
      <c r="C393" s="761" t="s">
        <v>3642</v>
      </c>
      <c r="D393" s="745" t="s">
        <v>5903</v>
      </c>
      <c r="E393" s="757">
        <v>40000.0</v>
      </c>
      <c r="F393" s="745" t="s">
        <v>5231</v>
      </c>
      <c r="G393" s="745" t="s">
        <v>86</v>
      </c>
      <c r="H393" s="745" t="s">
        <v>29</v>
      </c>
      <c r="I393" s="745" t="s">
        <v>3913</v>
      </c>
      <c r="J393" s="755">
        <v>44134.0</v>
      </c>
      <c r="K393" s="762" t="s">
        <v>3647</v>
      </c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54"/>
      <c r="AB393" s="754"/>
      <c r="AC393" s="754"/>
      <c r="AD393" s="754"/>
      <c r="AE393" s="754"/>
      <c r="AF393" s="754"/>
      <c r="AG393" s="754"/>
      <c r="AH393" s="754"/>
      <c r="AI393" s="754"/>
      <c r="AJ393" s="754"/>
      <c r="AK393" s="754"/>
      <c r="AL393" s="754"/>
      <c r="AM393" s="754"/>
      <c r="AN393" s="754"/>
      <c r="AO393" s="754"/>
      <c r="AP393" s="754"/>
      <c r="AQ393" s="754"/>
      <c r="AR393" s="754"/>
      <c r="AS393" s="754"/>
      <c r="AT393" s="754"/>
      <c r="AU393" s="754"/>
    </row>
    <row r="394" ht="15.75" customHeight="1">
      <c r="A394" s="759">
        <v>44358.0</v>
      </c>
      <c r="B394" s="760" t="s">
        <v>5954</v>
      </c>
      <c r="C394" s="761" t="s">
        <v>3642</v>
      </c>
      <c r="D394" s="745" t="s">
        <v>2387</v>
      </c>
      <c r="E394" s="757">
        <v>15000.0</v>
      </c>
      <c r="F394" s="745" t="s">
        <v>4080</v>
      </c>
      <c r="G394" s="745" t="s">
        <v>86</v>
      </c>
      <c r="H394" s="745" t="s">
        <v>29</v>
      </c>
      <c r="I394" s="745" t="s">
        <v>3913</v>
      </c>
      <c r="J394" s="755">
        <v>44194.0</v>
      </c>
      <c r="K394" s="762" t="s">
        <v>3651</v>
      </c>
      <c r="L394" s="754"/>
      <c r="M394" s="754"/>
      <c r="N394" s="754"/>
      <c r="O394" s="754"/>
      <c r="P394" s="754"/>
      <c r="Q394" s="754"/>
      <c r="R394" s="754"/>
      <c r="S394" s="754"/>
      <c r="T394" s="754"/>
      <c r="U394" s="754"/>
      <c r="V394" s="754"/>
      <c r="W394" s="754"/>
      <c r="X394" s="754"/>
      <c r="Y394" s="754"/>
      <c r="Z394" s="754"/>
      <c r="AA394" s="754"/>
      <c r="AB394" s="754"/>
      <c r="AC394" s="754"/>
      <c r="AD394" s="754"/>
      <c r="AE394" s="754"/>
      <c r="AF394" s="754"/>
      <c r="AG394" s="754"/>
      <c r="AH394" s="754"/>
      <c r="AI394" s="754"/>
      <c r="AJ394" s="754"/>
      <c r="AK394" s="754"/>
      <c r="AL394" s="754"/>
      <c r="AM394" s="754"/>
      <c r="AN394" s="754"/>
      <c r="AO394" s="754"/>
      <c r="AP394" s="754"/>
      <c r="AQ394" s="754"/>
      <c r="AR394" s="754"/>
      <c r="AS394" s="754"/>
      <c r="AT394" s="754"/>
      <c r="AU394" s="754"/>
    </row>
    <row r="395" ht="15.75" customHeight="1">
      <c r="A395" s="759">
        <v>44362.0</v>
      </c>
      <c r="B395" s="760" t="s">
        <v>2811</v>
      </c>
      <c r="C395" s="761" t="s">
        <v>2376</v>
      </c>
      <c r="D395" s="745" t="s">
        <v>5903</v>
      </c>
      <c r="E395" s="757">
        <v>100000.0</v>
      </c>
      <c r="F395" s="745" t="s">
        <v>2810</v>
      </c>
      <c r="G395" s="755" t="s">
        <v>2379</v>
      </c>
      <c r="H395" s="755" t="s">
        <v>29</v>
      </c>
      <c r="I395" s="755" t="s">
        <v>2380</v>
      </c>
      <c r="J395" s="755">
        <v>43703.0</v>
      </c>
      <c r="K395" s="758" t="s">
        <v>4033</v>
      </c>
      <c r="L395" s="754"/>
      <c r="M395" s="754"/>
      <c r="N395" s="754"/>
      <c r="O395" s="754"/>
      <c r="P395" s="754"/>
      <c r="Q395" s="754"/>
      <c r="R395" s="754"/>
      <c r="S395" s="754"/>
      <c r="T395" s="754"/>
      <c r="U395" s="754"/>
      <c r="V395" s="754"/>
      <c r="W395" s="754"/>
      <c r="X395" s="754"/>
      <c r="Y395" s="754"/>
      <c r="Z395" s="754"/>
      <c r="AA395" s="754"/>
      <c r="AB395" s="754"/>
      <c r="AC395" s="754"/>
      <c r="AD395" s="754"/>
      <c r="AE395" s="754"/>
      <c r="AF395" s="754"/>
      <c r="AG395" s="754"/>
      <c r="AH395" s="754"/>
      <c r="AI395" s="754"/>
      <c r="AJ395" s="754"/>
      <c r="AK395" s="754"/>
      <c r="AL395" s="754"/>
      <c r="AM395" s="754"/>
      <c r="AN395" s="754"/>
      <c r="AO395" s="754"/>
      <c r="AP395" s="754"/>
      <c r="AQ395" s="754"/>
      <c r="AR395" s="754"/>
      <c r="AS395" s="754"/>
      <c r="AT395" s="754"/>
      <c r="AU395" s="754"/>
    </row>
    <row r="396" ht="15.75" customHeight="1">
      <c r="A396" s="759">
        <v>44362.0</v>
      </c>
      <c r="B396" s="760" t="s">
        <v>2414</v>
      </c>
      <c r="C396" s="761" t="s">
        <v>2376</v>
      </c>
      <c r="D396" s="745" t="s">
        <v>5903</v>
      </c>
      <c r="E396" s="757">
        <v>5000.0</v>
      </c>
      <c r="F396" s="745" t="s">
        <v>2413</v>
      </c>
      <c r="G396" s="755" t="s">
        <v>2379</v>
      </c>
      <c r="H396" s="755" t="s">
        <v>29</v>
      </c>
      <c r="I396" s="755" t="s">
        <v>2380</v>
      </c>
      <c r="J396" s="755">
        <v>43753.0</v>
      </c>
      <c r="K396" s="758" t="s">
        <v>3651</v>
      </c>
      <c r="L396" s="754"/>
      <c r="M396" s="754"/>
      <c r="N396" s="754"/>
      <c r="O396" s="754"/>
      <c r="P396" s="754"/>
      <c r="Q396" s="754"/>
      <c r="R396" s="754"/>
      <c r="S396" s="754"/>
      <c r="T396" s="754"/>
      <c r="U396" s="754"/>
      <c r="V396" s="754"/>
      <c r="W396" s="754"/>
      <c r="X396" s="754"/>
      <c r="Y396" s="754"/>
      <c r="Z396" s="754"/>
      <c r="AA396" s="754"/>
      <c r="AB396" s="754"/>
      <c r="AC396" s="754"/>
      <c r="AD396" s="754"/>
      <c r="AE396" s="754"/>
      <c r="AF396" s="754"/>
      <c r="AG396" s="754"/>
      <c r="AH396" s="754"/>
      <c r="AI396" s="754"/>
      <c r="AJ396" s="754"/>
      <c r="AK396" s="754"/>
      <c r="AL396" s="754"/>
      <c r="AM396" s="754"/>
      <c r="AN396" s="754"/>
      <c r="AO396" s="754"/>
      <c r="AP396" s="754"/>
      <c r="AQ396" s="754"/>
      <c r="AR396" s="754"/>
      <c r="AS396" s="754"/>
      <c r="AT396" s="754"/>
      <c r="AU396" s="754"/>
    </row>
    <row r="397" ht="15.75" customHeight="1">
      <c r="A397" s="759">
        <v>44362.0</v>
      </c>
      <c r="B397" s="760" t="s">
        <v>3043</v>
      </c>
      <c r="C397" s="761" t="s">
        <v>2376</v>
      </c>
      <c r="D397" s="745" t="s">
        <v>5903</v>
      </c>
      <c r="E397" s="757">
        <v>312377.96</v>
      </c>
      <c r="F397" s="745" t="s">
        <v>3042</v>
      </c>
      <c r="G397" s="755" t="s">
        <v>18</v>
      </c>
      <c r="H397" s="755" t="s">
        <v>145</v>
      </c>
      <c r="I397" s="755" t="s">
        <v>171</v>
      </c>
      <c r="J397" s="755">
        <v>44322.0</v>
      </c>
      <c r="K397" s="758" t="s">
        <v>3651</v>
      </c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54"/>
      <c r="AB397" s="754"/>
      <c r="AC397" s="754"/>
      <c r="AD397" s="754"/>
      <c r="AE397" s="754"/>
      <c r="AF397" s="754"/>
      <c r="AG397" s="754"/>
      <c r="AH397" s="754"/>
      <c r="AI397" s="754"/>
      <c r="AJ397" s="754"/>
      <c r="AK397" s="754"/>
      <c r="AL397" s="754"/>
      <c r="AM397" s="754"/>
      <c r="AN397" s="754"/>
      <c r="AO397" s="754"/>
      <c r="AP397" s="754"/>
      <c r="AQ397" s="754"/>
      <c r="AR397" s="754"/>
      <c r="AS397" s="754"/>
      <c r="AT397" s="754"/>
      <c r="AU397" s="754"/>
    </row>
    <row r="398" ht="15.75" customHeight="1">
      <c r="A398" s="759">
        <v>44362.0</v>
      </c>
      <c r="B398" s="760" t="s">
        <v>2841</v>
      </c>
      <c r="C398" s="761" t="s">
        <v>2376</v>
      </c>
      <c r="D398" s="745" t="s">
        <v>5903</v>
      </c>
      <c r="E398" s="757">
        <v>15000.0</v>
      </c>
      <c r="F398" s="745" t="s">
        <v>1064</v>
      </c>
      <c r="G398" s="755" t="s">
        <v>18</v>
      </c>
      <c r="H398" s="755" t="s">
        <v>145</v>
      </c>
      <c r="I398" s="755" t="s">
        <v>146</v>
      </c>
      <c r="J398" s="755">
        <v>44319.0</v>
      </c>
      <c r="K398" s="758" t="s">
        <v>3651</v>
      </c>
      <c r="L398" s="754"/>
      <c r="M398" s="754"/>
      <c r="N398" s="754"/>
      <c r="O398" s="754"/>
      <c r="P398" s="754"/>
      <c r="Q398" s="754"/>
      <c r="R398" s="754"/>
      <c r="S398" s="754"/>
      <c r="T398" s="754"/>
      <c r="U398" s="754"/>
      <c r="V398" s="754"/>
      <c r="W398" s="754"/>
      <c r="X398" s="754"/>
      <c r="Y398" s="754"/>
      <c r="Z398" s="754"/>
      <c r="AA398" s="754"/>
      <c r="AB398" s="754"/>
      <c r="AC398" s="754"/>
      <c r="AD398" s="754"/>
      <c r="AE398" s="754"/>
      <c r="AF398" s="754"/>
      <c r="AG398" s="754"/>
      <c r="AH398" s="754"/>
      <c r="AI398" s="754"/>
      <c r="AJ398" s="754"/>
      <c r="AK398" s="754"/>
      <c r="AL398" s="754"/>
      <c r="AM398" s="754"/>
      <c r="AN398" s="754"/>
      <c r="AO398" s="754"/>
      <c r="AP398" s="754"/>
      <c r="AQ398" s="754"/>
      <c r="AR398" s="754"/>
      <c r="AS398" s="754"/>
      <c r="AT398" s="754"/>
      <c r="AU398" s="754"/>
    </row>
    <row r="399" ht="15.75" customHeight="1">
      <c r="A399" s="759">
        <v>44362.0</v>
      </c>
      <c r="B399" s="760" t="s">
        <v>5955</v>
      </c>
      <c r="C399" s="761" t="s">
        <v>3642</v>
      </c>
      <c r="D399" s="745" t="s">
        <v>5903</v>
      </c>
      <c r="E399" s="757">
        <v>15000.0</v>
      </c>
      <c r="F399" s="745" t="s">
        <v>4796</v>
      </c>
      <c r="G399" s="745" t="s">
        <v>86</v>
      </c>
      <c r="H399" s="745" t="s">
        <v>29</v>
      </c>
      <c r="I399" s="745" t="s">
        <v>3486</v>
      </c>
      <c r="J399" s="755">
        <v>44090.0</v>
      </c>
      <c r="K399" s="762" t="s">
        <v>3660</v>
      </c>
      <c r="L399" s="754"/>
      <c r="M399" s="754"/>
      <c r="N399" s="754"/>
      <c r="O399" s="754"/>
      <c r="P399" s="754"/>
      <c r="Q399" s="754"/>
      <c r="R399" s="754"/>
      <c r="S399" s="754"/>
      <c r="T399" s="754"/>
      <c r="U399" s="754"/>
      <c r="V399" s="754"/>
      <c r="W399" s="754"/>
      <c r="X399" s="754"/>
      <c r="Y399" s="754"/>
      <c r="Z399" s="754"/>
      <c r="AA399" s="754"/>
      <c r="AB399" s="754"/>
      <c r="AC399" s="754"/>
      <c r="AD399" s="754"/>
      <c r="AE399" s="754"/>
      <c r="AF399" s="754"/>
      <c r="AG399" s="754"/>
      <c r="AH399" s="754"/>
      <c r="AI399" s="754"/>
      <c r="AJ399" s="754"/>
      <c r="AK399" s="754"/>
      <c r="AL399" s="754"/>
      <c r="AM399" s="754"/>
      <c r="AN399" s="754"/>
      <c r="AO399" s="754"/>
      <c r="AP399" s="754"/>
      <c r="AQ399" s="754"/>
      <c r="AR399" s="754"/>
      <c r="AS399" s="754"/>
      <c r="AT399" s="754"/>
      <c r="AU399" s="754"/>
    </row>
    <row r="400" ht="15.75" customHeight="1">
      <c r="A400" s="759">
        <v>44363.0</v>
      </c>
      <c r="B400" s="760" t="s">
        <v>3073</v>
      </c>
      <c r="C400" s="761" t="s">
        <v>2376</v>
      </c>
      <c r="D400" s="745" t="s">
        <v>5903</v>
      </c>
      <c r="E400" s="757">
        <v>40000.0</v>
      </c>
      <c r="F400" s="745" t="s">
        <v>3072</v>
      </c>
      <c r="G400" s="755" t="s">
        <v>2379</v>
      </c>
      <c r="H400" s="755" t="s">
        <v>29</v>
      </c>
      <c r="I400" s="755" t="s">
        <v>2380</v>
      </c>
      <c r="J400" s="755">
        <v>43564.0</v>
      </c>
      <c r="K400" s="758" t="s">
        <v>3664</v>
      </c>
      <c r="L400" s="754"/>
      <c r="M400" s="754"/>
      <c r="N400" s="754"/>
      <c r="O400" s="754"/>
      <c r="P400" s="754"/>
      <c r="Q400" s="754"/>
      <c r="R400" s="754"/>
      <c r="S400" s="754"/>
      <c r="T400" s="754"/>
      <c r="U400" s="754"/>
      <c r="V400" s="754"/>
      <c r="W400" s="754"/>
      <c r="X400" s="754"/>
      <c r="Y400" s="754"/>
      <c r="Z400" s="754"/>
      <c r="AA400" s="754"/>
      <c r="AB400" s="754"/>
      <c r="AC400" s="754"/>
      <c r="AD400" s="754"/>
      <c r="AE400" s="754"/>
      <c r="AF400" s="754"/>
      <c r="AG400" s="754"/>
      <c r="AH400" s="754"/>
      <c r="AI400" s="754"/>
      <c r="AJ400" s="754"/>
      <c r="AK400" s="754"/>
      <c r="AL400" s="754"/>
      <c r="AM400" s="754"/>
      <c r="AN400" s="754"/>
      <c r="AO400" s="754"/>
      <c r="AP400" s="754"/>
      <c r="AQ400" s="754"/>
      <c r="AR400" s="754"/>
      <c r="AS400" s="754"/>
      <c r="AT400" s="754"/>
      <c r="AU400" s="754"/>
    </row>
    <row r="401" ht="15.75" customHeight="1">
      <c r="A401" s="759">
        <v>44364.0</v>
      </c>
      <c r="B401" s="760" t="s">
        <v>3043</v>
      </c>
      <c r="C401" s="761" t="s">
        <v>2376</v>
      </c>
      <c r="D401" s="745" t="s">
        <v>5903</v>
      </c>
      <c r="E401" s="757">
        <v>11500.0</v>
      </c>
      <c r="F401" s="745" t="s">
        <v>3042</v>
      </c>
      <c r="G401" s="755" t="s">
        <v>18</v>
      </c>
      <c r="H401" s="755" t="s">
        <v>145</v>
      </c>
      <c r="I401" s="755" t="s">
        <v>171</v>
      </c>
      <c r="J401" s="755">
        <v>44322.0</v>
      </c>
      <c r="K401" s="758" t="s">
        <v>3651</v>
      </c>
      <c r="L401" s="754"/>
      <c r="M401" s="754"/>
      <c r="N401" s="754"/>
      <c r="O401" s="754"/>
      <c r="P401" s="754"/>
      <c r="Q401" s="754"/>
      <c r="R401" s="754"/>
      <c r="S401" s="754"/>
      <c r="T401" s="754"/>
      <c r="U401" s="754"/>
      <c r="V401" s="754"/>
      <c r="W401" s="754"/>
      <c r="X401" s="754"/>
      <c r="Y401" s="754"/>
      <c r="Z401" s="754"/>
      <c r="AA401" s="754"/>
      <c r="AB401" s="754"/>
      <c r="AC401" s="754"/>
      <c r="AD401" s="754"/>
      <c r="AE401" s="754"/>
      <c r="AF401" s="754"/>
      <c r="AG401" s="754"/>
      <c r="AH401" s="754"/>
      <c r="AI401" s="754"/>
      <c r="AJ401" s="754"/>
      <c r="AK401" s="754"/>
      <c r="AL401" s="754"/>
      <c r="AM401" s="754"/>
      <c r="AN401" s="754"/>
      <c r="AO401" s="754"/>
      <c r="AP401" s="754"/>
      <c r="AQ401" s="754"/>
      <c r="AR401" s="754"/>
      <c r="AS401" s="754"/>
      <c r="AT401" s="754"/>
      <c r="AU401" s="754"/>
    </row>
    <row r="402" ht="15.75" customHeight="1">
      <c r="A402" s="759">
        <v>44365.0</v>
      </c>
      <c r="B402" s="760" t="s">
        <v>2496</v>
      </c>
      <c r="C402" s="761" t="s">
        <v>2376</v>
      </c>
      <c r="D402" s="745" t="s">
        <v>5903</v>
      </c>
      <c r="E402" s="757">
        <v>100000.0</v>
      </c>
      <c r="F402" s="745" t="s">
        <v>2495</v>
      </c>
      <c r="G402" s="755" t="s">
        <v>18</v>
      </c>
      <c r="H402" s="755" t="s">
        <v>145</v>
      </c>
      <c r="I402" s="755" t="s">
        <v>171</v>
      </c>
      <c r="J402" s="755">
        <v>44295.0</v>
      </c>
      <c r="K402" s="758" t="s">
        <v>3647</v>
      </c>
      <c r="L402" s="754"/>
      <c r="M402" s="754"/>
      <c r="N402" s="754"/>
      <c r="O402" s="754"/>
      <c r="P402" s="754"/>
      <c r="Q402" s="754"/>
      <c r="R402" s="754"/>
      <c r="S402" s="754"/>
      <c r="T402" s="754"/>
      <c r="U402" s="754"/>
      <c r="V402" s="754"/>
      <c r="W402" s="754"/>
      <c r="X402" s="754"/>
      <c r="Y402" s="754"/>
      <c r="Z402" s="754"/>
      <c r="AA402" s="754"/>
      <c r="AB402" s="754"/>
      <c r="AC402" s="754"/>
      <c r="AD402" s="754"/>
      <c r="AE402" s="754"/>
      <c r="AF402" s="754"/>
      <c r="AG402" s="754"/>
      <c r="AH402" s="754"/>
      <c r="AI402" s="754"/>
      <c r="AJ402" s="754"/>
      <c r="AK402" s="754"/>
      <c r="AL402" s="754"/>
      <c r="AM402" s="754"/>
      <c r="AN402" s="754"/>
      <c r="AO402" s="754"/>
      <c r="AP402" s="754"/>
      <c r="AQ402" s="754"/>
      <c r="AR402" s="754"/>
      <c r="AS402" s="754"/>
      <c r="AT402" s="754"/>
      <c r="AU402" s="754"/>
    </row>
    <row r="403" ht="15.75" customHeight="1">
      <c r="A403" s="759">
        <v>44368.0</v>
      </c>
      <c r="B403" s="760" t="s">
        <v>3235</v>
      </c>
      <c r="C403" s="761" t="s">
        <v>2376</v>
      </c>
      <c r="D403" s="745" t="s">
        <v>5903</v>
      </c>
      <c r="E403" s="757">
        <v>100000.0</v>
      </c>
      <c r="F403" s="745" t="s">
        <v>3234</v>
      </c>
      <c r="G403" s="755" t="s">
        <v>2379</v>
      </c>
      <c r="H403" s="755" t="s">
        <v>29</v>
      </c>
      <c r="I403" s="755" t="s">
        <v>2380</v>
      </c>
      <c r="J403" s="755">
        <v>43894.0</v>
      </c>
      <c r="K403" s="758" t="s">
        <v>3660</v>
      </c>
      <c r="L403" s="754"/>
      <c r="M403" s="754"/>
      <c r="N403" s="754"/>
      <c r="O403" s="754"/>
      <c r="P403" s="754"/>
      <c r="Q403" s="754"/>
      <c r="R403" s="754"/>
      <c r="S403" s="754"/>
      <c r="T403" s="754"/>
      <c r="U403" s="754"/>
      <c r="V403" s="754"/>
      <c r="W403" s="754"/>
      <c r="X403" s="754"/>
      <c r="Y403" s="754"/>
      <c r="Z403" s="754"/>
      <c r="AA403" s="754"/>
      <c r="AB403" s="754"/>
      <c r="AC403" s="754"/>
      <c r="AD403" s="754"/>
      <c r="AE403" s="754"/>
      <c r="AF403" s="754"/>
      <c r="AG403" s="754"/>
      <c r="AH403" s="754"/>
      <c r="AI403" s="754"/>
      <c r="AJ403" s="754"/>
      <c r="AK403" s="754"/>
      <c r="AL403" s="754"/>
      <c r="AM403" s="754"/>
      <c r="AN403" s="754"/>
      <c r="AO403" s="754"/>
      <c r="AP403" s="754"/>
      <c r="AQ403" s="754"/>
      <c r="AR403" s="754"/>
      <c r="AS403" s="754"/>
      <c r="AT403" s="754"/>
      <c r="AU403" s="754"/>
    </row>
    <row r="404" ht="15.75" customHeight="1">
      <c r="A404" s="759">
        <v>44368.0</v>
      </c>
      <c r="B404" s="760" t="s">
        <v>5956</v>
      </c>
      <c r="C404" s="761" t="s">
        <v>3642</v>
      </c>
      <c r="D404" s="745" t="s">
        <v>2387</v>
      </c>
      <c r="E404" s="757">
        <v>7000.0</v>
      </c>
      <c r="F404" s="745" t="s">
        <v>4082</v>
      </c>
      <c r="G404" s="745" t="s">
        <v>18</v>
      </c>
      <c r="H404" s="745" t="s">
        <v>29</v>
      </c>
      <c r="I404" s="745" t="s">
        <v>3650</v>
      </c>
      <c r="J404" s="755">
        <v>44075.0</v>
      </c>
      <c r="K404" s="762" t="s">
        <v>3651</v>
      </c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54"/>
      <c r="AB404" s="754"/>
      <c r="AC404" s="754"/>
      <c r="AD404" s="754"/>
      <c r="AE404" s="754"/>
      <c r="AF404" s="754"/>
      <c r="AG404" s="754"/>
      <c r="AH404" s="754"/>
      <c r="AI404" s="754"/>
      <c r="AJ404" s="754"/>
      <c r="AK404" s="754"/>
      <c r="AL404" s="754"/>
      <c r="AM404" s="754"/>
      <c r="AN404" s="754"/>
      <c r="AO404" s="754"/>
      <c r="AP404" s="754"/>
      <c r="AQ404" s="754"/>
      <c r="AR404" s="754"/>
      <c r="AS404" s="754"/>
      <c r="AT404" s="754"/>
      <c r="AU404" s="754"/>
    </row>
    <row r="405" ht="15.75" customHeight="1">
      <c r="A405" s="755">
        <v>44369.0</v>
      </c>
      <c r="B405" s="756" t="s">
        <v>5908</v>
      </c>
      <c r="C405" s="745" t="s">
        <v>3642</v>
      </c>
      <c r="D405" s="745" t="s">
        <v>5902</v>
      </c>
      <c r="E405" s="757">
        <v>0.0</v>
      </c>
      <c r="F405" s="745" t="s">
        <v>4521</v>
      </c>
      <c r="G405" s="745" t="s">
        <v>2379</v>
      </c>
      <c r="H405" s="745" t="s">
        <v>29</v>
      </c>
      <c r="I405" s="745" t="s">
        <v>2379</v>
      </c>
      <c r="J405" s="755">
        <v>43872.0</v>
      </c>
      <c r="K405" s="762" t="s">
        <v>3651</v>
      </c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54"/>
      <c r="AB405" s="754"/>
      <c r="AC405" s="754"/>
      <c r="AD405" s="754"/>
      <c r="AE405" s="754"/>
      <c r="AF405" s="754"/>
      <c r="AG405" s="754"/>
      <c r="AH405" s="754"/>
      <c r="AI405" s="754"/>
      <c r="AJ405" s="754"/>
      <c r="AK405" s="754"/>
      <c r="AL405" s="754"/>
      <c r="AM405" s="754"/>
      <c r="AN405" s="754"/>
      <c r="AO405" s="754"/>
      <c r="AP405" s="754"/>
      <c r="AQ405" s="754"/>
      <c r="AR405" s="754"/>
      <c r="AS405" s="754"/>
      <c r="AT405" s="754"/>
      <c r="AU405" s="754"/>
    </row>
    <row r="406" ht="15.75" customHeight="1">
      <c r="A406" s="759">
        <v>44369.0</v>
      </c>
      <c r="B406" s="760" t="s">
        <v>3267</v>
      </c>
      <c r="C406" s="761" t="s">
        <v>2376</v>
      </c>
      <c r="D406" s="745" t="s">
        <v>5903</v>
      </c>
      <c r="E406" s="757">
        <v>30000.0</v>
      </c>
      <c r="F406" s="745" t="s">
        <v>3266</v>
      </c>
      <c r="G406" s="755" t="s">
        <v>18</v>
      </c>
      <c r="H406" s="755" t="s">
        <v>145</v>
      </c>
      <c r="I406" s="755" t="s">
        <v>171</v>
      </c>
      <c r="J406" s="755">
        <v>44319.0</v>
      </c>
      <c r="K406" s="758" t="s">
        <v>3651</v>
      </c>
      <c r="L406" s="754"/>
      <c r="M406" s="754"/>
      <c r="N406" s="754"/>
      <c r="O406" s="754"/>
      <c r="P406" s="754"/>
      <c r="Q406" s="754"/>
      <c r="R406" s="754"/>
      <c r="S406" s="754"/>
      <c r="T406" s="754"/>
      <c r="U406" s="754"/>
      <c r="V406" s="754"/>
      <c r="W406" s="754"/>
      <c r="X406" s="754"/>
      <c r="Y406" s="754"/>
      <c r="Z406" s="754"/>
      <c r="AA406" s="754"/>
      <c r="AB406" s="754"/>
      <c r="AC406" s="754"/>
      <c r="AD406" s="754"/>
      <c r="AE406" s="754"/>
      <c r="AF406" s="754"/>
      <c r="AG406" s="754"/>
      <c r="AH406" s="754"/>
      <c r="AI406" s="754"/>
      <c r="AJ406" s="754"/>
      <c r="AK406" s="754"/>
      <c r="AL406" s="754"/>
      <c r="AM406" s="754"/>
      <c r="AN406" s="754"/>
      <c r="AO406" s="754"/>
      <c r="AP406" s="754"/>
      <c r="AQ406" s="754"/>
      <c r="AR406" s="754"/>
      <c r="AS406" s="754"/>
      <c r="AT406" s="754"/>
      <c r="AU406" s="754"/>
    </row>
    <row r="407" ht="15.75" customHeight="1">
      <c r="A407" s="759">
        <v>44370.0</v>
      </c>
      <c r="B407" s="760" t="s">
        <v>5957</v>
      </c>
      <c r="C407" s="761" t="s">
        <v>3642</v>
      </c>
      <c r="D407" s="745" t="s">
        <v>5903</v>
      </c>
      <c r="E407" s="757">
        <v>10000.0</v>
      </c>
      <c r="F407" s="745" t="s">
        <v>951</v>
      </c>
      <c r="G407" s="745" t="s">
        <v>86</v>
      </c>
      <c r="H407" s="745" t="s">
        <v>29</v>
      </c>
      <c r="I407" s="745" t="s">
        <v>3948</v>
      </c>
      <c r="J407" s="755">
        <v>44145.0</v>
      </c>
      <c r="K407" s="762" t="s">
        <v>3647</v>
      </c>
      <c r="L407" s="754"/>
      <c r="M407" s="754"/>
      <c r="N407" s="754"/>
      <c r="O407" s="754"/>
      <c r="P407" s="754"/>
      <c r="Q407" s="754"/>
      <c r="R407" s="754"/>
      <c r="S407" s="754"/>
      <c r="T407" s="754"/>
      <c r="U407" s="754"/>
      <c r="V407" s="754"/>
      <c r="W407" s="754"/>
      <c r="X407" s="754"/>
      <c r="Y407" s="754"/>
      <c r="Z407" s="754"/>
      <c r="AA407" s="754"/>
      <c r="AB407" s="754"/>
      <c r="AC407" s="754"/>
      <c r="AD407" s="754"/>
      <c r="AE407" s="754"/>
      <c r="AF407" s="754"/>
      <c r="AG407" s="754"/>
      <c r="AH407" s="754"/>
      <c r="AI407" s="754"/>
      <c r="AJ407" s="754"/>
      <c r="AK407" s="754"/>
      <c r="AL407" s="754"/>
      <c r="AM407" s="754"/>
      <c r="AN407" s="754"/>
      <c r="AO407" s="754"/>
      <c r="AP407" s="754"/>
      <c r="AQ407" s="754"/>
      <c r="AR407" s="754"/>
      <c r="AS407" s="754"/>
      <c r="AT407" s="754"/>
      <c r="AU407" s="754"/>
    </row>
    <row r="408" ht="15.75" customHeight="1">
      <c r="A408" s="759">
        <v>44371.0</v>
      </c>
      <c r="B408" s="760" t="s">
        <v>5958</v>
      </c>
      <c r="C408" s="761" t="s">
        <v>3642</v>
      </c>
      <c r="D408" s="745" t="s">
        <v>5903</v>
      </c>
      <c r="E408" s="757">
        <v>150000.0</v>
      </c>
      <c r="F408" s="745" t="s">
        <v>4823</v>
      </c>
      <c r="G408" s="745" t="s">
        <v>18</v>
      </c>
      <c r="H408" s="745" t="s">
        <v>19</v>
      </c>
      <c r="I408" s="745" t="s">
        <v>230</v>
      </c>
      <c r="J408" s="755">
        <v>44349.0</v>
      </c>
      <c r="K408" s="762" t="s">
        <v>3855</v>
      </c>
      <c r="L408" s="754"/>
      <c r="M408" s="754"/>
      <c r="N408" s="754"/>
      <c r="O408" s="754"/>
      <c r="P408" s="754"/>
      <c r="Q408" s="754"/>
      <c r="R408" s="754"/>
      <c r="S408" s="754"/>
      <c r="T408" s="754"/>
      <c r="U408" s="754"/>
      <c r="V408" s="754"/>
      <c r="W408" s="754"/>
      <c r="X408" s="754"/>
      <c r="Y408" s="754"/>
      <c r="Z408" s="754"/>
      <c r="AA408" s="754"/>
      <c r="AB408" s="754"/>
      <c r="AC408" s="754"/>
      <c r="AD408" s="754"/>
      <c r="AE408" s="754"/>
      <c r="AF408" s="754"/>
      <c r="AG408" s="754"/>
      <c r="AH408" s="754"/>
      <c r="AI408" s="754"/>
      <c r="AJ408" s="754"/>
      <c r="AK408" s="754"/>
      <c r="AL408" s="754"/>
      <c r="AM408" s="754"/>
      <c r="AN408" s="754"/>
      <c r="AO408" s="754"/>
      <c r="AP408" s="754"/>
      <c r="AQ408" s="754"/>
      <c r="AR408" s="754"/>
      <c r="AS408" s="754"/>
      <c r="AT408" s="754"/>
      <c r="AU408" s="754"/>
    </row>
    <row r="409" ht="15.75" customHeight="1">
      <c r="A409" s="759">
        <v>44372.0</v>
      </c>
      <c r="B409" s="760" t="s">
        <v>2870</v>
      </c>
      <c r="C409" s="761" t="s">
        <v>2376</v>
      </c>
      <c r="D409" s="745" t="s">
        <v>5903</v>
      </c>
      <c r="E409" s="757">
        <v>200000.0</v>
      </c>
      <c r="F409" s="745" t="s">
        <v>2869</v>
      </c>
      <c r="G409" s="755" t="s">
        <v>2379</v>
      </c>
      <c r="H409" s="755" t="s">
        <v>29</v>
      </c>
      <c r="I409" s="755" t="s">
        <v>2380</v>
      </c>
      <c r="J409" s="755">
        <v>43605.0</v>
      </c>
      <c r="K409" s="758" t="s">
        <v>3660</v>
      </c>
      <c r="L409" s="754"/>
      <c r="M409" s="754"/>
      <c r="N409" s="754"/>
      <c r="O409" s="754"/>
      <c r="P409" s="754"/>
      <c r="Q409" s="754"/>
      <c r="R409" s="754"/>
      <c r="S409" s="754"/>
      <c r="T409" s="754"/>
      <c r="U409" s="754"/>
      <c r="V409" s="754"/>
      <c r="W409" s="754"/>
      <c r="X409" s="754"/>
      <c r="Y409" s="754"/>
      <c r="Z409" s="754"/>
      <c r="AA409" s="754"/>
      <c r="AB409" s="754"/>
      <c r="AC409" s="754"/>
      <c r="AD409" s="754"/>
      <c r="AE409" s="754"/>
      <c r="AF409" s="754"/>
      <c r="AG409" s="754"/>
      <c r="AH409" s="754"/>
      <c r="AI409" s="754"/>
      <c r="AJ409" s="754"/>
      <c r="AK409" s="754"/>
      <c r="AL409" s="754"/>
      <c r="AM409" s="754"/>
      <c r="AN409" s="754"/>
      <c r="AO409" s="754"/>
      <c r="AP409" s="754"/>
      <c r="AQ409" s="754"/>
      <c r="AR409" s="754"/>
      <c r="AS409" s="754"/>
      <c r="AT409" s="754"/>
      <c r="AU409" s="754"/>
    </row>
    <row r="410" ht="15.75" customHeight="1">
      <c r="A410" s="759">
        <v>44372.0</v>
      </c>
      <c r="B410" s="760" t="s">
        <v>3238</v>
      </c>
      <c r="C410" s="761" t="s">
        <v>2376</v>
      </c>
      <c r="D410" s="745" t="s">
        <v>5903</v>
      </c>
      <c r="E410" s="757">
        <v>60000.0</v>
      </c>
      <c r="F410" s="745" t="s">
        <v>3237</v>
      </c>
      <c r="G410" s="755" t="s">
        <v>18</v>
      </c>
      <c r="H410" s="755" t="s">
        <v>145</v>
      </c>
      <c r="I410" s="755" t="s">
        <v>171</v>
      </c>
      <c r="J410" s="755">
        <v>44279.0</v>
      </c>
      <c r="K410" s="758" t="s">
        <v>3651</v>
      </c>
      <c r="L410" s="754"/>
      <c r="M410" s="754"/>
      <c r="N410" s="754"/>
      <c r="O410" s="754"/>
      <c r="P410" s="754"/>
      <c r="Q410" s="754"/>
      <c r="R410" s="754"/>
      <c r="S410" s="754"/>
      <c r="T410" s="754"/>
      <c r="U410" s="754"/>
      <c r="V410" s="754"/>
      <c r="W410" s="754"/>
      <c r="X410" s="754"/>
      <c r="Y410" s="754"/>
      <c r="Z410" s="754"/>
      <c r="AA410" s="754"/>
      <c r="AB410" s="754"/>
      <c r="AC410" s="754"/>
      <c r="AD410" s="754"/>
      <c r="AE410" s="754"/>
      <c r="AF410" s="754"/>
      <c r="AG410" s="754"/>
      <c r="AH410" s="754"/>
      <c r="AI410" s="754"/>
      <c r="AJ410" s="754"/>
      <c r="AK410" s="754"/>
      <c r="AL410" s="754"/>
      <c r="AM410" s="754"/>
      <c r="AN410" s="754"/>
      <c r="AO410" s="754"/>
      <c r="AP410" s="754"/>
      <c r="AQ410" s="754"/>
      <c r="AR410" s="754"/>
      <c r="AS410" s="754"/>
      <c r="AT410" s="754"/>
      <c r="AU410" s="754"/>
    </row>
    <row r="411" ht="15.75" customHeight="1">
      <c r="A411" s="759">
        <v>44372.0</v>
      </c>
      <c r="B411" s="760" t="s">
        <v>5959</v>
      </c>
      <c r="C411" s="761" t="s">
        <v>3642</v>
      </c>
      <c r="D411" s="745" t="s">
        <v>5903</v>
      </c>
      <c r="E411" s="757">
        <v>30000.0</v>
      </c>
      <c r="F411" s="745" t="s">
        <v>3720</v>
      </c>
      <c r="G411" s="745" t="s">
        <v>86</v>
      </c>
      <c r="H411" s="745" t="s">
        <v>29</v>
      </c>
      <c r="I411" s="736" t="s">
        <v>3721</v>
      </c>
      <c r="J411" s="755">
        <v>44180.0</v>
      </c>
      <c r="K411" s="762" t="s">
        <v>3660</v>
      </c>
      <c r="L411" s="754"/>
      <c r="M411" s="754"/>
      <c r="N411" s="754"/>
      <c r="O411" s="754"/>
      <c r="P411" s="754"/>
      <c r="Q411" s="754"/>
      <c r="R411" s="754"/>
      <c r="S411" s="754"/>
      <c r="T411" s="754"/>
      <c r="U411" s="754"/>
      <c r="V411" s="754"/>
      <c r="W411" s="754"/>
      <c r="X411" s="754"/>
      <c r="Y411" s="754"/>
      <c r="Z411" s="754"/>
      <c r="AA411" s="754"/>
      <c r="AB411" s="754"/>
      <c r="AC411" s="754"/>
      <c r="AD411" s="754"/>
      <c r="AE411" s="754"/>
      <c r="AF411" s="754"/>
      <c r="AG411" s="754"/>
      <c r="AH411" s="754"/>
      <c r="AI411" s="754"/>
      <c r="AJ411" s="754"/>
      <c r="AK411" s="754"/>
      <c r="AL411" s="754"/>
      <c r="AM411" s="754"/>
      <c r="AN411" s="754"/>
      <c r="AO411" s="754"/>
      <c r="AP411" s="754"/>
      <c r="AQ411" s="754"/>
      <c r="AR411" s="754"/>
      <c r="AS411" s="754"/>
      <c r="AT411" s="754"/>
      <c r="AU411" s="754"/>
    </row>
    <row r="412" ht="15.75" customHeight="1">
      <c r="A412" s="755">
        <v>44375.0</v>
      </c>
      <c r="B412" s="756" t="s">
        <v>2725</v>
      </c>
      <c r="C412" s="745" t="s">
        <v>2376</v>
      </c>
      <c r="D412" s="745" t="s">
        <v>5902</v>
      </c>
      <c r="E412" s="757">
        <v>373842.57</v>
      </c>
      <c r="F412" s="745" t="s">
        <v>2724</v>
      </c>
      <c r="G412" s="755" t="s">
        <v>2489</v>
      </c>
      <c r="H412" s="755" t="s">
        <v>29</v>
      </c>
      <c r="I412" s="782" t="s">
        <v>2489</v>
      </c>
      <c r="J412" s="755">
        <v>43829.0</v>
      </c>
      <c r="K412" s="758" t="s">
        <v>3664</v>
      </c>
      <c r="L412" s="754"/>
      <c r="M412" s="754"/>
      <c r="N412" s="754"/>
      <c r="O412" s="754"/>
      <c r="P412" s="754"/>
      <c r="Q412" s="754"/>
      <c r="R412" s="754"/>
      <c r="S412" s="754"/>
      <c r="T412" s="754"/>
      <c r="U412" s="754"/>
      <c r="V412" s="754"/>
      <c r="W412" s="754"/>
      <c r="X412" s="754"/>
      <c r="Y412" s="754"/>
      <c r="Z412" s="754"/>
      <c r="AA412" s="754"/>
      <c r="AB412" s="754"/>
      <c r="AC412" s="754"/>
      <c r="AD412" s="754"/>
      <c r="AE412" s="754"/>
      <c r="AF412" s="754"/>
      <c r="AG412" s="754"/>
      <c r="AH412" s="754"/>
      <c r="AI412" s="754"/>
      <c r="AJ412" s="754"/>
      <c r="AK412" s="754"/>
      <c r="AL412" s="754"/>
      <c r="AM412" s="754"/>
      <c r="AN412" s="754"/>
      <c r="AO412" s="754"/>
      <c r="AP412" s="754"/>
      <c r="AQ412" s="754"/>
      <c r="AR412" s="754"/>
      <c r="AS412" s="754"/>
      <c r="AT412" s="754"/>
      <c r="AU412" s="754"/>
    </row>
    <row r="413" ht="15.75" customHeight="1">
      <c r="A413" s="759">
        <v>44375.0</v>
      </c>
      <c r="B413" s="760" t="s">
        <v>3096</v>
      </c>
      <c r="C413" s="761" t="s">
        <v>2376</v>
      </c>
      <c r="D413" s="745" t="s">
        <v>5903</v>
      </c>
      <c r="E413" s="757">
        <v>8000.0</v>
      </c>
      <c r="F413" s="745" t="s">
        <v>3095</v>
      </c>
      <c r="G413" s="755" t="s">
        <v>2379</v>
      </c>
      <c r="H413" s="755" t="s">
        <v>29</v>
      </c>
      <c r="I413" s="755" t="s">
        <v>2380</v>
      </c>
      <c r="J413" s="755">
        <v>43873.0</v>
      </c>
      <c r="K413" s="758" t="s">
        <v>3651</v>
      </c>
      <c r="L413" s="754"/>
      <c r="M413" s="754"/>
      <c r="N413" s="754"/>
      <c r="O413" s="754"/>
      <c r="P413" s="754"/>
      <c r="Q413" s="754"/>
      <c r="R413" s="754"/>
      <c r="S413" s="754"/>
      <c r="T413" s="754"/>
      <c r="U413" s="754"/>
      <c r="V413" s="754"/>
      <c r="W413" s="754"/>
      <c r="X413" s="754"/>
      <c r="Y413" s="754"/>
      <c r="Z413" s="754"/>
      <c r="AA413" s="754"/>
      <c r="AB413" s="754"/>
      <c r="AC413" s="754"/>
      <c r="AD413" s="754"/>
      <c r="AE413" s="754"/>
      <c r="AF413" s="754"/>
      <c r="AG413" s="754"/>
      <c r="AH413" s="754"/>
      <c r="AI413" s="754"/>
      <c r="AJ413" s="754"/>
      <c r="AK413" s="754"/>
      <c r="AL413" s="754"/>
      <c r="AM413" s="754"/>
      <c r="AN413" s="754"/>
      <c r="AO413" s="754"/>
      <c r="AP413" s="754"/>
      <c r="AQ413" s="754"/>
      <c r="AR413" s="754"/>
      <c r="AS413" s="754"/>
      <c r="AT413" s="754"/>
      <c r="AU413" s="754"/>
    </row>
    <row r="414" ht="15.75" customHeight="1">
      <c r="A414" s="759">
        <v>44375.0</v>
      </c>
      <c r="B414" s="760" t="s">
        <v>2811</v>
      </c>
      <c r="C414" s="761" t="s">
        <v>2376</v>
      </c>
      <c r="D414" s="745" t="s">
        <v>5903</v>
      </c>
      <c r="E414" s="757">
        <v>504274.77</v>
      </c>
      <c r="F414" s="745" t="s">
        <v>2810</v>
      </c>
      <c r="G414" s="755" t="s">
        <v>2379</v>
      </c>
      <c r="H414" s="755" t="s">
        <v>29</v>
      </c>
      <c r="I414" s="755" t="s">
        <v>2380</v>
      </c>
      <c r="J414" s="755">
        <v>43703.0</v>
      </c>
      <c r="K414" s="758" t="s">
        <v>4033</v>
      </c>
      <c r="L414" s="754"/>
      <c r="M414" s="754"/>
      <c r="N414" s="754"/>
      <c r="O414" s="754"/>
      <c r="P414" s="754"/>
      <c r="Q414" s="754"/>
      <c r="R414" s="754"/>
      <c r="S414" s="754"/>
      <c r="T414" s="754"/>
      <c r="U414" s="754"/>
      <c r="V414" s="754"/>
      <c r="W414" s="754"/>
      <c r="X414" s="754"/>
      <c r="Y414" s="754"/>
      <c r="Z414" s="754"/>
      <c r="AA414" s="754"/>
      <c r="AB414" s="754"/>
      <c r="AC414" s="754"/>
      <c r="AD414" s="754"/>
      <c r="AE414" s="754"/>
      <c r="AF414" s="754"/>
      <c r="AG414" s="754"/>
      <c r="AH414" s="754"/>
      <c r="AI414" s="754"/>
      <c r="AJ414" s="754"/>
      <c r="AK414" s="754"/>
      <c r="AL414" s="754"/>
      <c r="AM414" s="754"/>
      <c r="AN414" s="754"/>
      <c r="AO414" s="754"/>
      <c r="AP414" s="754"/>
      <c r="AQ414" s="754"/>
      <c r="AR414" s="754"/>
      <c r="AS414" s="754"/>
      <c r="AT414" s="754"/>
      <c r="AU414" s="754"/>
    </row>
    <row r="415" ht="15.75" customHeight="1">
      <c r="A415" s="759">
        <v>44375.0</v>
      </c>
      <c r="B415" s="760" t="s">
        <v>2811</v>
      </c>
      <c r="C415" s="761" t="s">
        <v>2376</v>
      </c>
      <c r="D415" s="745" t="s">
        <v>5903</v>
      </c>
      <c r="E415" s="757">
        <v>150000.0</v>
      </c>
      <c r="F415" s="745" t="s">
        <v>2810</v>
      </c>
      <c r="G415" s="755" t="s">
        <v>2379</v>
      </c>
      <c r="H415" s="755" t="s">
        <v>29</v>
      </c>
      <c r="I415" s="755" t="s">
        <v>2380</v>
      </c>
      <c r="J415" s="755">
        <v>43703.0</v>
      </c>
      <c r="K415" s="758" t="s">
        <v>4033</v>
      </c>
      <c r="L415" s="754"/>
      <c r="M415" s="754"/>
      <c r="N415" s="754"/>
      <c r="O415" s="754"/>
      <c r="P415" s="754"/>
      <c r="Q415" s="754"/>
      <c r="R415" s="754"/>
      <c r="S415" s="754"/>
      <c r="T415" s="754"/>
      <c r="U415" s="754"/>
      <c r="V415" s="754"/>
      <c r="W415" s="754"/>
      <c r="X415" s="754"/>
      <c r="Y415" s="754"/>
      <c r="Z415" s="754"/>
      <c r="AA415" s="754"/>
      <c r="AB415" s="754"/>
      <c r="AC415" s="754"/>
      <c r="AD415" s="754"/>
      <c r="AE415" s="754"/>
      <c r="AF415" s="754"/>
      <c r="AG415" s="754"/>
      <c r="AH415" s="754"/>
      <c r="AI415" s="754"/>
      <c r="AJ415" s="754"/>
      <c r="AK415" s="754"/>
      <c r="AL415" s="754"/>
      <c r="AM415" s="754"/>
      <c r="AN415" s="754"/>
      <c r="AO415" s="754"/>
      <c r="AP415" s="754"/>
      <c r="AQ415" s="754"/>
      <c r="AR415" s="754"/>
      <c r="AS415" s="754"/>
      <c r="AT415" s="754"/>
      <c r="AU415" s="754"/>
    </row>
    <row r="416" ht="15.75" customHeight="1">
      <c r="A416" s="759">
        <v>44375.0</v>
      </c>
      <c r="B416" s="760" t="s">
        <v>3101</v>
      </c>
      <c r="C416" s="761" t="s">
        <v>2376</v>
      </c>
      <c r="D416" s="745" t="s">
        <v>5903</v>
      </c>
      <c r="E416" s="757">
        <v>399197.6</v>
      </c>
      <c r="F416" s="745" t="s">
        <v>1587</v>
      </c>
      <c r="G416" s="755" t="s">
        <v>18</v>
      </c>
      <c r="H416" s="755" t="s">
        <v>145</v>
      </c>
      <c r="I416" s="755" t="s">
        <v>146</v>
      </c>
      <c r="J416" s="755">
        <v>44322.0</v>
      </c>
      <c r="K416" s="758" t="s">
        <v>3651</v>
      </c>
      <c r="L416" s="754"/>
      <c r="M416" s="754"/>
      <c r="N416" s="754"/>
      <c r="O416" s="754"/>
      <c r="P416" s="754"/>
      <c r="Q416" s="754"/>
      <c r="R416" s="754"/>
      <c r="S416" s="754"/>
      <c r="T416" s="754"/>
      <c r="U416" s="754"/>
      <c r="V416" s="754"/>
      <c r="W416" s="754"/>
      <c r="X416" s="754"/>
      <c r="Y416" s="754"/>
      <c r="Z416" s="754"/>
      <c r="AA416" s="754"/>
      <c r="AB416" s="754"/>
      <c r="AC416" s="754"/>
      <c r="AD416" s="754"/>
      <c r="AE416" s="754"/>
      <c r="AF416" s="754"/>
      <c r="AG416" s="754"/>
      <c r="AH416" s="754"/>
      <c r="AI416" s="754"/>
      <c r="AJ416" s="754"/>
      <c r="AK416" s="754"/>
      <c r="AL416" s="754"/>
      <c r="AM416" s="754"/>
      <c r="AN416" s="754"/>
      <c r="AO416" s="754"/>
      <c r="AP416" s="754"/>
      <c r="AQ416" s="754"/>
      <c r="AR416" s="754"/>
      <c r="AS416" s="754"/>
      <c r="AT416" s="754"/>
      <c r="AU416" s="754"/>
    </row>
    <row r="417" ht="15.75" customHeight="1">
      <c r="A417" s="759">
        <v>44376.0</v>
      </c>
      <c r="B417" s="760" t="s">
        <v>2855</v>
      </c>
      <c r="C417" s="761" t="s">
        <v>2376</v>
      </c>
      <c r="D417" s="745" t="s">
        <v>5903</v>
      </c>
      <c r="E417" s="757">
        <v>45000.0</v>
      </c>
      <c r="F417" s="745" t="s">
        <v>2854</v>
      </c>
      <c r="G417" s="755" t="s">
        <v>18</v>
      </c>
      <c r="H417" s="755" t="s">
        <v>145</v>
      </c>
      <c r="I417" s="755" t="s">
        <v>146</v>
      </c>
      <c r="J417" s="755">
        <v>44313.0</v>
      </c>
      <c r="K417" s="758" t="s">
        <v>3651</v>
      </c>
      <c r="L417" s="754"/>
      <c r="M417" s="754"/>
      <c r="N417" s="754"/>
      <c r="O417" s="754"/>
      <c r="P417" s="754"/>
      <c r="Q417" s="754"/>
      <c r="R417" s="754"/>
      <c r="S417" s="754"/>
      <c r="T417" s="754"/>
      <c r="U417" s="754"/>
      <c r="V417" s="754"/>
      <c r="W417" s="754"/>
      <c r="X417" s="754"/>
      <c r="Y417" s="754"/>
      <c r="Z417" s="754"/>
      <c r="AA417" s="754"/>
      <c r="AB417" s="754"/>
      <c r="AC417" s="754"/>
      <c r="AD417" s="754"/>
      <c r="AE417" s="754"/>
      <c r="AF417" s="754"/>
      <c r="AG417" s="754"/>
      <c r="AH417" s="754"/>
      <c r="AI417" s="754"/>
      <c r="AJ417" s="754"/>
      <c r="AK417" s="754"/>
      <c r="AL417" s="754"/>
      <c r="AM417" s="754"/>
      <c r="AN417" s="754"/>
      <c r="AO417" s="754"/>
      <c r="AP417" s="754"/>
      <c r="AQ417" s="754"/>
      <c r="AR417" s="754"/>
      <c r="AS417" s="754"/>
      <c r="AT417" s="754"/>
      <c r="AU417" s="754"/>
    </row>
    <row r="418" ht="15.75" customHeight="1">
      <c r="A418" s="759">
        <v>44377.0</v>
      </c>
      <c r="B418" s="760" t="s">
        <v>2877</v>
      </c>
      <c r="C418" s="761" t="s">
        <v>2376</v>
      </c>
      <c r="D418" s="745" t="s">
        <v>5903</v>
      </c>
      <c r="E418" s="757">
        <v>40000.0</v>
      </c>
      <c r="F418" s="745" t="s">
        <v>1122</v>
      </c>
      <c r="G418" s="755" t="s">
        <v>18</v>
      </c>
      <c r="H418" s="755" t="s">
        <v>145</v>
      </c>
      <c r="I418" s="755" t="s">
        <v>146</v>
      </c>
      <c r="J418" s="755">
        <v>44280.0</v>
      </c>
      <c r="K418" s="758" t="s">
        <v>3657</v>
      </c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54"/>
      <c r="AB418" s="754"/>
      <c r="AC418" s="754"/>
      <c r="AD418" s="754"/>
      <c r="AE418" s="754"/>
      <c r="AF418" s="754"/>
      <c r="AG418" s="754"/>
      <c r="AH418" s="754"/>
      <c r="AI418" s="754"/>
      <c r="AJ418" s="754"/>
      <c r="AK418" s="754"/>
      <c r="AL418" s="754"/>
      <c r="AM418" s="754"/>
      <c r="AN418" s="754"/>
      <c r="AO418" s="754"/>
      <c r="AP418" s="754"/>
      <c r="AQ418" s="754"/>
      <c r="AR418" s="754"/>
      <c r="AS418" s="754"/>
      <c r="AT418" s="754"/>
      <c r="AU418" s="754"/>
    </row>
    <row r="419" ht="15.75" customHeight="1">
      <c r="A419" s="759">
        <v>44377.0</v>
      </c>
      <c r="B419" s="760" t="s">
        <v>2731</v>
      </c>
      <c r="C419" s="761" t="s">
        <v>2376</v>
      </c>
      <c r="D419" s="745" t="s">
        <v>5903</v>
      </c>
      <c r="E419" s="757">
        <v>10000.0</v>
      </c>
      <c r="F419" s="745" t="s">
        <v>2730</v>
      </c>
      <c r="G419" s="755" t="s">
        <v>18</v>
      </c>
      <c r="H419" s="755" t="s">
        <v>145</v>
      </c>
      <c r="I419" s="755" t="s">
        <v>171</v>
      </c>
      <c r="J419" s="755">
        <v>44298.0</v>
      </c>
      <c r="K419" s="758" t="s">
        <v>3651</v>
      </c>
      <c r="L419" s="754"/>
      <c r="M419" s="754"/>
      <c r="N419" s="754"/>
      <c r="O419" s="754"/>
      <c r="P419" s="754"/>
      <c r="Q419" s="754"/>
      <c r="R419" s="754"/>
      <c r="S419" s="754"/>
      <c r="T419" s="754"/>
      <c r="U419" s="754"/>
      <c r="V419" s="754"/>
      <c r="W419" s="754"/>
      <c r="X419" s="754"/>
      <c r="Y419" s="754"/>
      <c r="Z419" s="754"/>
      <c r="AA419" s="754"/>
      <c r="AB419" s="754"/>
      <c r="AC419" s="754"/>
      <c r="AD419" s="754"/>
      <c r="AE419" s="754"/>
      <c r="AF419" s="754"/>
      <c r="AG419" s="754"/>
      <c r="AH419" s="754"/>
      <c r="AI419" s="754"/>
      <c r="AJ419" s="754"/>
      <c r="AK419" s="754"/>
      <c r="AL419" s="754"/>
      <c r="AM419" s="754"/>
      <c r="AN419" s="754"/>
      <c r="AO419" s="754"/>
      <c r="AP419" s="754"/>
      <c r="AQ419" s="754"/>
      <c r="AR419" s="754"/>
      <c r="AS419" s="754"/>
      <c r="AT419" s="754"/>
      <c r="AU419" s="754"/>
    </row>
    <row r="420" ht="15.75" customHeight="1">
      <c r="A420" s="759">
        <v>44377.0</v>
      </c>
      <c r="B420" s="760" t="s">
        <v>3235</v>
      </c>
      <c r="C420" s="761" t="s">
        <v>2376</v>
      </c>
      <c r="D420" s="745" t="s">
        <v>5903</v>
      </c>
      <c r="E420" s="757">
        <v>62000.0</v>
      </c>
      <c r="F420" s="745" t="s">
        <v>3234</v>
      </c>
      <c r="G420" s="755" t="s">
        <v>2379</v>
      </c>
      <c r="H420" s="755" t="s">
        <v>29</v>
      </c>
      <c r="I420" s="755" t="s">
        <v>2380</v>
      </c>
      <c r="J420" s="755">
        <v>43894.0</v>
      </c>
      <c r="K420" s="758" t="s">
        <v>3660</v>
      </c>
      <c r="L420" s="754"/>
      <c r="M420" s="754"/>
      <c r="N420" s="754"/>
      <c r="O420" s="754"/>
      <c r="P420" s="754"/>
      <c r="Q420" s="754"/>
      <c r="R420" s="754"/>
      <c r="S420" s="754"/>
      <c r="T420" s="754"/>
      <c r="U420" s="754"/>
      <c r="V420" s="754"/>
      <c r="W420" s="754"/>
      <c r="X420" s="754"/>
      <c r="Y420" s="754"/>
      <c r="Z420" s="754"/>
      <c r="AA420" s="754"/>
      <c r="AB420" s="754"/>
      <c r="AC420" s="754"/>
      <c r="AD420" s="754"/>
      <c r="AE420" s="754"/>
      <c r="AF420" s="754"/>
      <c r="AG420" s="754"/>
      <c r="AH420" s="754"/>
      <c r="AI420" s="754"/>
      <c r="AJ420" s="754"/>
      <c r="AK420" s="754"/>
      <c r="AL420" s="754"/>
      <c r="AM420" s="754"/>
      <c r="AN420" s="754"/>
      <c r="AO420" s="754"/>
      <c r="AP420" s="754"/>
      <c r="AQ420" s="754"/>
      <c r="AR420" s="754"/>
      <c r="AS420" s="754"/>
      <c r="AT420" s="754"/>
      <c r="AU420" s="754"/>
    </row>
    <row r="421" ht="15.75" customHeight="1">
      <c r="A421" s="759">
        <v>44377.0</v>
      </c>
      <c r="B421" s="760" t="s">
        <v>5960</v>
      </c>
      <c r="C421" s="761" t="s">
        <v>3642</v>
      </c>
      <c r="D421" s="745" t="s">
        <v>5903</v>
      </c>
      <c r="E421" s="757">
        <v>10000.0</v>
      </c>
      <c r="F421" s="745" t="s">
        <v>4298</v>
      </c>
      <c r="G421" s="745" t="s">
        <v>86</v>
      </c>
      <c r="H421" s="745" t="s">
        <v>29</v>
      </c>
      <c r="I421" s="745" t="s">
        <v>3823</v>
      </c>
      <c r="J421" s="755">
        <v>44102.0</v>
      </c>
      <c r="K421" s="762" t="s">
        <v>3651</v>
      </c>
      <c r="L421" s="754"/>
      <c r="M421" s="754"/>
      <c r="N421" s="754"/>
      <c r="O421" s="754"/>
      <c r="P421" s="754"/>
      <c r="Q421" s="754"/>
      <c r="R421" s="754"/>
      <c r="S421" s="754"/>
      <c r="T421" s="754"/>
      <c r="U421" s="754"/>
      <c r="V421" s="754"/>
      <c r="W421" s="754"/>
      <c r="X421" s="754"/>
      <c r="Y421" s="754"/>
      <c r="Z421" s="754"/>
      <c r="AA421" s="754"/>
      <c r="AB421" s="754"/>
      <c r="AC421" s="754"/>
      <c r="AD421" s="754"/>
      <c r="AE421" s="754"/>
      <c r="AF421" s="754"/>
      <c r="AG421" s="754"/>
      <c r="AH421" s="754"/>
      <c r="AI421" s="754"/>
      <c r="AJ421" s="754"/>
      <c r="AK421" s="754"/>
      <c r="AL421" s="754"/>
      <c r="AM421" s="754"/>
      <c r="AN421" s="754"/>
      <c r="AO421" s="754"/>
      <c r="AP421" s="754"/>
      <c r="AQ421" s="754"/>
      <c r="AR421" s="754"/>
      <c r="AS421" s="754"/>
      <c r="AT421" s="754"/>
      <c r="AU421" s="754"/>
    </row>
    <row r="422" ht="15.75" customHeight="1">
      <c r="A422" s="755">
        <v>44378.0</v>
      </c>
      <c r="B422" s="756" t="s">
        <v>5961</v>
      </c>
      <c r="C422" s="745" t="s">
        <v>3642</v>
      </c>
      <c r="D422" s="745" t="s">
        <v>5902</v>
      </c>
      <c r="E422" s="757">
        <v>0.0</v>
      </c>
      <c r="F422" s="745" t="s">
        <v>4142</v>
      </c>
      <c r="G422" s="745" t="s">
        <v>18</v>
      </c>
      <c r="H422" s="745" t="s">
        <v>29</v>
      </c>
      <c r="I422" s="745" t="s">
        <v>4143</v>
      </c>
      <c r="J422" s="755">
        <v>44260.0</v>
      </c>
      <c r="K422" s="762" t="s">
        <v>3664</v>
      </c>
      <c r="L422" s="754"/>
      <c r="M422" s="754"/>
      <c r="N422" s="754"/>
      <c r="O422" s="754"/>
      <c r="P422" s="754"/>
      <c r="Q422" s="754"/>
      <c r="R422" s="754"/>
      <c r="S422" s="754"/>
      <c r="T422" s="754"/>
      <c r="U422" s="754"/>
      <c r="V422" s="754"/>
      <c r="W422" s="754"/>
      <c r="X422" s="754"/>
      <c r="Y422" s="754"/>
      <c r="Z422" s="754"/>
      <c r="AA422" s="754"/>
      <c r="AB422" s="754"/>
      <c r="AC422" s="754"/>
      <c r="AD422" s="754"/>
      <c r="AE422" s="754"/>
      <c r="AF422" s="754"/>
      <c r="AG422" s="754"/>
      <c r="AH422" s="754"/>
      <c r="AI422" s="754"/>
      <c r="AJ422" s="754"/>
      <c r="AK422" s="754"/>
      <c r="AL422" s="754"/>
      <c r="AM422" s="754"/>
      <c r="AN422" s="754"/>
      <c r="AO422" s="754"/>
      <c r="AP422" s="754"/>
      <c r="AQ422" s="754"/>
      <c r="AR422" s="754"/>
      <c r="AS422" s="754"/>
      <c r="AT422" s="754"/>
      <c r="AU422" s="754"/>
    </row>
    <row r="423" ht="15.75" customHeight="1">
      <c r="A423" s="755">
        <v>44378.0</v>
      </c>
      <c r="B423" s="756" t="s">
        <v>5962</v>
      </c>
      <c r="C423" s="745" t="s">
        <v>3642</v>
      </c>
      <c r="D423" s="745" t="s">
        <v>5902</v>
      </c>
      <c r="E423" s="757">
        <v>0.0</v>
      </c>
      <c r="F423" s="745" t="s">
        <v>4377</v>
      </c>
      <c r="G423" s="745" t="s">
        <v>18</v>
      </c>
      <c r="H423" s="745" t="s">
        <v>29</v>
      </c>
      <c r="I423" s="745" t="s">
        <v>4143</v>
      </c>
      <c r="J423" s="755">
        <v>44166.0</v>
      </c>
      <c r="K423" s="762" t="s">
        <v>3651</v>
      </c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54"/>
      <c r="AB423" s="754"/>
      <c r="AC423" s="754"/>
      <c r="AD423" s="754"/>
      <c r="AE423" s="754"/>
      <c r="AF423" s="754"/>
      <c r="AG423" s="754"/>
      <c r="AH423" s="754"/>
      <c r="AI423" s="754"/>
      <c r="AJ423" s="754"/>
      <c r="AK423" s="754"/>
      <c r="AL423" s="754"/>
      <c r="AM423" s="754"/>
      <c r="AN423" s="754"/>
      <c r="AO423" s="754"/>
      <c r="AP423" s="754"/>
      <c r="AQ423" s="754"/>
      <c r="AR423" s="754"/>
      <c r="AS423" s="754"/>
      <c r="AT423" s="754"/>
      <c r="AU423" s="754"/>
    </row>
    <row r="424" ht="15.75" customHeight="1">
      <c r="A424" s="755">
        <v>44378.0</v>
      </c>
      <c r="B424" s="756" t="s">
        <v>5963</v>
      </c>
      <c r="C424" s="745" t="s">
        <v>3642</v>
      </c>
      <c r="D424" s="745" t="s">
        <v>5902</v>
      </c>
      <c r="E424" s="757">
        <v>0.0</v>
      </c>
      <c r="F424" s="745" t="s">
        <v>4762</v>
      </c>
      <c r="G424" s="745" t="s">
        <v>18</v>
      </c>
      <c r="H424" s="745" t="s">
        <v>29</v>
      </c>
      <c r="I424" s="745" t="s">
        <v>4143</v>
      </c>
      <c r="J424" s="755">
        <v>44291.0</v>
      </c>
      <c r="K424" s="762" t="s">
        <v>3664</v>
      </c>
      <c r="L424" s="754"/>
      <c r="M424" s="754"/>
      <c r="N424" s="754"/>
      <c r="O424" s="754"/>
      <c r="P424" s="754"/>
      <c r="Q424" s="754"/>
      <c r="R424" s="754"/>
      <c r="S424" s="754"/>
      <c r="T424" s="754"/>
      <c r="U424" s="754"/>
      <c r="V424" s="754"/>
      <c r="W424" s="754"/>
      <c r="X424" s="754"/>
      <c r="Y424" s="754"/>
      <c r="Z424" s="754"/>
      <c r="AA424" s="754"/>
      <c r="AB424" s="754"/>
      <c r="AC424" s="754"/>
      <c r="AD424" s="754"/>
      <c r="AE424" s="754"/>
      <c r="AF424" s="754"/>
      <c r="AG424" s="754"/>
      <c r="AH424" s="754"/>
      <c r="AI424" s="754"/>
      <c r="AJ424" s="754"/>
      <c r="AK424" s="754"/>
      <c r="AL424" s="754"/>
      <c r="AM424" s="754"/>
      <c r="AN424" s="754"/>
      <c r="AO424" s="754"/>
      <c r="AP424" s="754"/>
      <c r="AQ424" s="754"/>
      <c r="AR424" s="754"/>
      <c r="AS424" s="754"/>
      <c r="AT424" s="754"/>
      <c r="AU424" s="754"/>
    </row>
    <row r="425" ht="15.75" customHeight="1">
      <c r="A425" s="755">
        <v>44378.0</v>
      </c>
      <c r="B425" s="756" t="s">
        <v>5964</v>
      </c>
      <c r="C425" s="745" t="s">
        <v>3642</v>
      </c>
      <c r="D425" s="745" t="s">
        <v>5902</v>
      </c>
      <c r="E425" s="757">
        <v>0.0</v>
      </c>
      <c r="F425" s="745" t="s">
        <v>5210</v>
      </c>
      <c r="G425" s="745" t="s">
        <v>18</v>
      </c>
      <c r="H425" s="745" t="s">
        <v>29</v>
      </c>
      <c r="I425" s="745" t="s">
        <v>4143</v>
      </c>
      <c r="J425" s="755">
        <v>44166.0</v>
      </c>
      <c r="K425" s="762" t="s">
        <v>3651</v>
      </c>
      <c r="L425" s="754"/>
      <c r="M425" s="754"/>
      <c r="N425" s="754"/>
      <c r="O425" s="754"/>
      <c r="P425" s="754"/>
      <c r="Q425" s="754"/>
      <c r="R425" s="754"/>
      <c r="S425" s="754"/>
      <c r="T425" s="754"/>
      <c r="U425" s="754"/>
      <c r="V425" s="754"/>
      <c r="W425" s="754"/>
      <c r="X425" s="754"/>
      <c r="Y425" s="754"/>
      <c r="Z425" s="754"/>
      <c r="AA425" s="754"/>
      <c r="AB425" s="754"/>
      <c r="AC425" s="754"/>
      <c r="AD425" s="754"/>
      <c r="AE425" s="754"/>
      <c r="AF425" s="754"/>
      <c r="AG425" s="754"/>
      <c r="AH425" s="754"/>
      <c r="AI425" s="754"/>
      <c r="AJ425" s="754"/>
      <c r="AK425" s="754"/>
      <c r="AL425" s="754"/>
      <c r="AM425" s="754"/>
      <c r="AN425" s="754"/>
      <c r="AO425" s="754"/>
      <c r="AP425" s="754"/>
      <c r="AQ425" s="754"/>
      <c r="AR425" s="754"/>
      <c r="AS425" s="754"/>
      <c r="AT425" s="754"/>
      <c r="AU425" s="754"/>
    </row>
    <row r="426" ht="15.75" customHeight="1">
      <c r="A426" s="759">
        <v>44378.0</v>
      </c>
      <c r="B426" s="760" t="s">
        <v>2558</v>
      </c>
      <c r="C426" s="761" t="s">
        <v>2376</v>
      </c>
      <c r="D426" s="745" t="s">
        <v>5903</v>
      </c>
      <c r="E426" s="757">
        <v>20000.0</v>
      </c>
      <c r="F426" s="745" t="s">
        <v>422</v>
      </c>
      <c r="G426" s="755" t="s">
        <v>18</v>
      </c>
      <c r="H426" s="755" t="s">
        <v>145</v>
      </c>
      <c r="I426" s="755" t="s">
        <v>146</v>
      </c>
      <c r="J426" s="755">
        <v>44358.0</v>
      </c>
      <c r="K426" s="758" t="s">
        <v>3651</v>
      </c>
      <c r="L426" s="754"/>
      <c r="M426" s="754"/>
      <c r="N426" s="754"/>
      <c r="O426" s="754"/>
      <c r="P426" s="754"/>
      <c r="Q426" s="754"/>
      <c r="R426" s="754"/>
      <c r="S426" s="754"/>
      <c r="T426" s="754"/>
      <c r="U426" s="754"/>
      <c r="V426" s="754"/>
      <c r="W426" s="754"/>
      <c r="X426" s="754"/>
      <c r="Y426" s="754"/>
      <c r="Z426" s="754"/>
      <c r="AA426" s="754"/>
      <c r="AB426" s="754"/>
      <c r="AC426" s="754"/>
      <c r="AD426" s="754"/>
      <c r="AE426" s="754"/>
      <c r="AF426" s="754"/>
      <c r="AG426" s="754"/>
      <c r="AH426" s="754"/>
      <c r="AI426" s="754"/>
      <c r="AJ426" s="754"/>
      <c r="AK426" s="754"/>
      <c r="AL426" s="754"/>
      <c r="AM426" s="754"/>
      <c r="AN426" s="754"/>
      <c r="AO426" s="754"/>
      <c r="AP426" s="754"/>
      <c r="AQ426" s="754"/>
      <c r="AR426" s="754"/>
      <c r="AS426" s="754"/>
      <c r="AT426" s="754"/>
      <c r="AU426" s="754"/>
    </row>
    <row r="427" ht="15.75" customHeight="1">
      <c r="A427" s="759">
        <v>44378.0</v>
      </c>
      <c r="B427" s="760" t="s">
        <v>5965</v>
      </c>
      <c r="C427" s="761" t="s">
        <v>3642</v>
      </c>
      <c r="D427" s="745" t="s">
        <v>5903</v>
      </c>
      <c r="E427" s="757">
        <v>50000.0</v>
      </c>
      <c r="F427" s="745" t="s">
        <v>4650</v>
      </c>
      <c r="G427" s="745" t="s">
        <v>86</v>
      </c>
      <c r="H427" s="745" t="s">
        <v>29</v>
      </c>
      <c r="I427" s="745" t="s">
        <v>3910</v>
      </c>
      <c r="J427" s="755">
        <v>44183.0</v>
      </c>
      <c r="K427" s="762" t="s">
        <v>3651</v>
      </c>
      <c r="L427" s="754"/>
      <c r="M427" s="754"/>
      <c r="N427" s="754"/>
      <c r="O427" s="754"/>
      <c r="P427" s="754"/>
      <c r="Q427" s="754"/>
      <c r="R427" s="754"/>
      <c r="S427" s="754"/>
      <c r="T427" s="754"/>
      <c r="U427" s="754"/>
      <c r="V427" s="754"/>
      <c r="W427" s="754"/>
      <c r="X427" s="754"/>
      <c r="Y427" s="754"/>
      <c r="Z427" s="754"/>
      <c r="AA427" s="754"/>
      <c r="AB427" s="754"/>
      <c r="AC427" s="754"/>
      <c r="AD427" s="754"/>
      <c r="AE427" s="754"/>
      <c r="AF427" s="754"/>
      <c r="AG427" s="754"/>
      <c r="AH427" s="754"/>
      <c r="AI427" s="754"/>
      <c r="AJ427" s="754"/>
      <c r="AK427" s="754"/>
      <c r="AL427" s="754"/>
      <c r="AM427" s="754"/>
      <c r="AN427" s="754"/>
      <c r="AO427" s="754"/>
      <c r="AP427" s="754"/>
      <c r="AQ427" s="754"/>
      <c r="AR427" s="754"/>
      <c r="AS427" s="754"/>
      <c r="AT427" s="754"/>
      <c r="AU427" s="754"/>
    </row>
    <row r="428" ht="15.75" customHeight="1">
      <c r="A428" s="759">
        <v>44378.0</v>
      </c>
      <c r="B428" s="760" t="s">
        <v>2735</v>
      </c>
      <c r="C428" s="761" t="s">
        <v>2376</v>
      </c>
      <c r="D428" s="745" t="s">
        <v>5903</v>
      </c>
      <c r="E428" s="757">
        <v>13000.0</v>
      </c>
      <c r="F428" s="745" t="s">
        <v>2734</v>
      </c>
      <c r="G428" s="755" t="s">
        <v>18</v>
      </c>
      <c r="H428" s="755" t="s">
        <v>145</v>
      </c>
      <c r="I428" s="755" t="s">
        <v>146</v>
      </c>
      <c r="J428" s="755">
        <v>44322.0</v>
      </c>
      <c r="K428" s="758" t="s">
        <v>3651</v>
      </c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54"/>
      <c r="AB428" s="754"/>
      <c r="AC428" s="754"/>
      <c r="AD428" s="754"/>
      <c r="AE428" s="754"/>
      <c r="AF428" s="754"/>
      <c r="AG428" s="754"/>
      <c r="AH428" s="754"/>
      <c r="AI428" s="754"/>
      <c r="AJ428" s="754"/>
      <c r="AK428" s="754"/>
      <c r="AL428" s="754"/>
      <c r="AM428" s="754"/>
      <c r="AN428" s="754"/>
      <c r="AO428" s="754"/>
      <c r="AP428" s="754"/>
      <c r="AQ428" s="754"/>
      <c r="AR428" s="754"/>
      <c r="AS428" s="754"/>
      <c r="AT428" s="754"/>
      <c r="AU428" s="754"/>
    </row>
    <row r="429" ht="15.75" customHeight="1">
      <c r="A429" s="759">
        <v>44378.0</v>
      </c>
      <c r="B429" s="760" t="s">
        <v>2676</v>
      </c>
      <c r="C429" s="761" t="s">
        <v>2376</v>
      </c>
      <c r="D429" s="745" t="s">
        <v>5903</v>
      </c>
      <c r="E429" s="757">
        <v>46000.0</v>
      </c>
      <c r="F429" s="745" t="s">
        <v>691</v>
      </c>
      <c r="G429" s="755" t="s">
        <v>18</v>
      </c>
      <c r="H429" s="755" t="s">
        <v>145</v>
      </c>
      <c r="I429" s="755" t="s">
        <v>146</v>
      </c>
      <c r="J429" s="755">
        <v>44321.0</v>
      </c>
      <c r="K429" s="758" t="s">
        <v>3651</v>
      </c>
      <c r="L429" s="754"/>
      <c r="M429" s="754"/>
      <c r="N429" s="754"/>
      <c r="O429" s="754"/>
      <c r="P429" s="754"/>
      <c r="Q429" s="754"/>
      <c r="R429" s="754"/>
      <c r="S429" s="754"/>
      <c r="T429" s="754"/>
      <c r="U429" s="754"/>
      <c r="V429" s="754"/>
      <c r="W429" s="754"/>
      <c r="X429" s="754"/>
      <c r="Y429" s="754"/>
      <c r="Z429" s="754"/>
      <c r="AA429" s="754"/>
      <c r="AB429" s="754"/>
      <c r="AC429" s="754"/>
      <c r="AD429" s="754"/>
      <c r="AE429" s="754"/>
      <c r="AF429" s="754"/>
      <c r="AG429" s="754"/>
      <c r="AH429" s="754"/>
      <c r="AI429" s="754"/>
      <c r="AJ429" s="754"/>
      <c r="AK429" s="754"/>
      <c r="AL429" s="754"/>
      <c r="AM429" s="754"/>
      <c r="AN429" s="754"/>
      <c r="AO429" s="754"/>
      <c r="AP429" s="754"/>
      <c r="AQ429" s="754"/>
      <c r="AR429" s="754"/>
      <c r="AS429" s="754"/>
      <c r="AT429" s="754"/>
      <c r="AU429" s="754"/>
    </row>
    <row r="430" ht="15.75" customHeight="1">
      <c r="A430" s="759">
        <v>44379.0</v>
      </c>
      <c r="B430" s="760" t="s">
        <v>3043</v>
      </c>
      <c r="C430" s="761" t="s">
        <v>2376</v>
      </c>
      <c r="D430" s="745" t="s">
        <v>5903</v>
      </c>
      <c r="E430" s="757">
        <v>60000.0</v>
      </c>
      <c r="F430" s="745" t="s">
        <v>3042</v>
      </c>
      <c r="G430" s="755" t="s">
        <v>18</v>
      </c>
      <c r="H430" s="755" t="s">
        <v>145</v>
      </c>
      <c r="I430" s="755" t="s">
        <v>171</v>
      </c>
      <c r="J430" s="755">
        <v>44322.0</v>
      </c>
      <c r="K430" s="758" t="s">
        <v>3651</v>
      </c>
      <c r="L430" s="754"/>
      <c r="M430" s="754"/>
      <c r="N430" s="754"/>
      <c r="O430" s="754"/>
      <c r="P430" s="754"/>
      <c r="Q430" s="754"/>
      <c r="R430" s="754"/>
      <c r="S430" s="754"/>
      <c r="T430" s="754"/>
      <c r="U430" s="754"/>
      <c r="V430" s="754"/>
      <c r="W430" s="754"/>
      <c r="X430" s="754"/>
      <c r="Y430" s="754"/>
      <c r="Z430" s="754"/>
      <c r="AA430" s="754"/>
      <c r="AB430" s="754"/>
      <c r="AC430" s="754"/>
      <c r="AD430" s="754"/>
      <c r="AE430" s="754"/>
      <c r="AF430" s="754"/>
      <c r="AG430" s="754"/>
      <c r="AH430" s="754"/>
      <c r="AI430" s="754"/>
      <c r="AJ430" s="754"/>
      <c r="AK430" s="754"/>
      <c r="AL430" s="754"/>
      <c r="AM430" s="754"/>
      <c r="AN430" s="754"/>
      <c r="AO430" s="754"/>
      <c r="AP430" s="754"/>
      <c r="AQ430" s="754"/>
      <c r="AR430" s="754"/>
      <c r="AS430" s="754"/>
      <c r="AT430" s="754"/>
      <c r="AU430" s="754"/>
    </row>
    <row r="431" ht="15.75" customHeight="1">
      <c r="A431" s="759">
        <v>44379.0</v>
      </c>
      <c r="B431" s="760" t="s">
        <v>5943</v>
      </c>
      <c r="C431" s="761" t="s">
        <v>3642</v>
      </c>
      <c r="D431" s="745" t="s">
        <v>5903</v>
      </c>
      <c r="E431" s="757">
        <v>100000.0</v>
      </c>
      <c r="F431" s="745" t="s">
        <v>5174</v>
      </c>
      <c r="G431" s="745" t="s">
        <v>86</v>
      </c>
      <c r="H431" s="745" t="s">
        <v>29</v>
      </c>
      <c r="I431" s="745" t="s">
        <v>3901</v>
      </c>
      <c r="J431" s="755">
        <v>44203.0</v>
      </c>
      <c r="K431" s="762" t="s">
        <v>3651</v>
      </c>
      <c r="L431" s="754"/>
      <c r="M431" s="754"/>
      <c r="N431" s="754"/>
      <c r="O431" s="754"/>
      <c r="P431" s="754"/>
      <c r="Q431" s="754"/>
      <c r="R431" s="754"/>
      <c r="S431" s="754"/>
      <c r="T431" s="754"/>
      <c r="U431" s="754"/>
      <c r="V431" s="754"/>
      <c r="W431" s="754"/>
      <c r="X431" s="754"/>
      <c r="Y431" s="754"/>
      <c r="Z431" s="754"/>
      <c r="AA431" s="754"/>
      <c r="AB431" s="754"/>
      <c r="AC431" s="754"/>
      <c r="AD431" s="754"/>
      <c r="AE431" s="754"/>
      <c r="AF431" s="754"/>
      <c r="AG431" s="754"/>
      <c r="AH431" s="754"/>
      <c r="AI431" s="754"/>
      <c r="AJ431" s="754"/>
      <c r="AK431" s="754"/>
      <c r="AL431" s="754"/>
      <c r="AM431" s="754"/>
      <c r="AN431" s="754"/>
      <c r="AO431" s="754"/>
      <c r="AP431" s="754"/>
      <c r="AQ431" s="754"/>
      <c r="AR431" s="754"/>
      <c r="AS431" s="754"/>
      <c r="AT431" s="754"/>
      <c r="AU431" s="754"/>
    </row>
    <row r="432" ht="15.75" customHeight="1">
      <c r="A432" s="759">
        <v>44383.0</v>
      </c>
      <c r="B432" s="760" t="s">
        <v>2811</v>
      </c>
      <c r="C432" s="761" t="s">
        <v>2376</v>
      </c>
      <c r="D432" s="745" t="s">
        <v>5903</v>
      </c>
      <c r="E432" s="757">
        <v>50000.0</v>
      </c>
      <c r="F432" s="745" t="s">
        <v>2810</v>
      </c>
      <c r="G432" s="755" t="s">
        <v>2379</v>
      </c>
      <c r="H432" s="755" t="s">
        <v>29</v>
      </c>
      <c r="I432" s="755" t="s">
        <v>2380</v>
      </c>
      <c r="J432" s="755">
        <v>43703.0</v>
      </c>
      <c r="K432" s="758" t="s">
        <v>4033</v>
      </c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54"/>
      <c r="AB432" s="754"/>
      <c r="AC432" s="754"/>
      <c r="AD432" s="754"/>
      <c r="AE432" s="754"/>
      <c r="AF432" s="754"/>
      <c r="AG432" s="754"/>
      <c r="AH432" s="754"/>
      <c r="AI432" s="754"/>
      <c r="AJ432" s="754"/>
      <c r="AK432" s="754"/>
      <c r="AL432" s="754"/>
      <c r="AM432" s="754"/>
      <c r="AN432" s="754"/>
      <c r="AO432" s="754"/>
      <c r="AP432" s="754"/>
      <c r="AQ432" s="754"/>
      <c r="AR432" s="754"/>
      <c r="AS432" s="754"/>
      <c r="AT432" s="754"/>
      <c r="AU432" s="754"/>
    </row>
    <row r="433" ht="15.75" customHeight="1">
      <c r="A433" s="759">
        <v>44383.0</v>
      </c>
      <c r="B433" s="760" t="s">
        <v>3043</v>
      </c>
      <c r="C433" s="761" t="s">
        <v>2376</v>
      </c>
      <c r="D433" s="745" t="s">
        <v>5903</v>
      </c>
      <c r="E433" s="757">
        <v>8000.0</v>
      </c>
      <c r="F433" s="745" t="s">
        <v>3042</v>
      </c>
      <c r="G433" s="755" t="s">
        <v>18</v>
      </c>
      <c r="H433" s="755" t="s">
        <v>145</v>
      </c>
      <c r="I433" s="755" t="s">
        <v>171</v>
      </c>
      <c r="J433" s="755">
        <v>44322.0</v>
      </c>
      <c r="K433" s="758" t="s">
        <v>3651</v>
      </c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54"/>
      <c r="AB433" s="754"/>
      <c r="AC433" s="754"/>
      <c r="AD433" s="754"/>
      <c r="AE433" s="754"/>
      <c r="AF433" s="754"/>
      <c r="AG433" s="754"/>
      <c r="AH433" s="754"/>
      <c r="AI433" s="754"/>
      <c r="AJ433" s="754"/>
      <c r="AK433" s="754"/>
      <c r="AL433" s="754"/>
      <c r="AM433" s="754"/>
      <c r="AN433" s="754"/>
      <c r="AO433" s="754"/>
      <c r="AP433" s="754"/>
      <c r="AQ433" s="754"/>
      <c r="AR433" s="754"/>
      <c r="AS433" s="754"/>
      <c r="AT433" s="754"/>
      <c r="AU433" s="754"/>
    </row>
    <row r="434" ht="15.75" customHeight="1">
      <c r="A434" s="755">
        <v>44384.0</v>
      </c>
      <c r="B434" s="756" t="s">
        <v>5966</v>
      </c>
      <c r="C434" s="745" t="s">
        <v>3642</v>
      </c>
      <c r="D434" s="745" t="s">
        <v>5902</v>
      </c>
      <c r="E434" s="757">
        <v>0.0</v>
      </c>
      <c r="F434" s="745" t="s">
        <v>4876</v>
      </c>
      <c r="G434" s="745" t="s">
        <v>18</v>
      </c>
      <c r="H434" s="745" t="s">
        <v>29</v>
      </c>
      <c r="I434" s="745" t="s">
        <v>5967</v>
      </c>
      <c r="J434" s="755">
        <v>44384.0</v>
      </c>
      <c r="K434" s="762" t="s">
        <v>3660</v>
      </c>
      <c r="L434" s="754"/>
      <c r="M434" s="754"/>
      <c r="N434" s="754"/>
      <c r="O434" s="754"/>
      <c r="P434" s="754"/>
      <c r="Q434" s="754"/>
      <c r="R434" s="754"/>
      <c r="S434" s="754"/>
      <c r="T434" s="754"/>
      <c r="U434" s="754"/>
      <c r="V434" s="754"/>
      <c r="W434" s="754"/>
      <c r="X434" s="754"/>
      <c r="Y434" s="754"/>
      <c r="Z434" s="754"/>
      <c r="AA434" s="754"/>
      <c r="AB434" s="754"/>
      <c r="AC434" s="754"/>
      <c r="AD434" s="754"/>
      <c r="AE434" s="754"/>
      <c r="AF434" s="754"/>
      <c r="AG434" s="754"/>
      <c r="AH434" s="754"/>
      <c r="AI434" s="754"/>
      <c r="AJ434" s="754"/>
      <c r="AK434" s="754"/>
      <c r="AL434" s="754"/>
      <c r="AM434" s="754"/>
      <c r="AN434" s="754"/>
      <c r="AO434" s="754"/>
      <c r="AP434" s="754"/>
      <c r="AQ434" s="754"/>
      <c r="AR434" s="754"/>
      <c r="AS434" s="754"/>
      <c r="AT434" s="754"/>
      <c r="AU434" s="754"/>
    </row>
    <row r="435" ht="15.75" customHeight="1">
      <c r="A435" s="759">
        <v>44385.0</v>
      </c>
      <c r="B435" s="760" t="s">
        <v>2398</v>
      </c>
      <c r="C435" s="761" t="s">
        <v>2376</v>
      </c>
      <c r="D435" s="745" t="s">
        <v>5903</v>
      </c>
      <c r="E435" s="757">
        <v>10000.0</v>
      </c>
      <c r="F435" s="745" t="s">
        <v>2397</v>
      </c>
      <c r="G435" s="755" t="s">
        <v>18</v>
      </c>
      <c r="H435" s="755" t="s">
        <v>145</v>
      </c>
      <c r="I435" s="755" t="s">
        <v>171</v>
      </c>
      <c r="J435" s="755">
        <v>44321.0</v>
      </c>
      <c r="K435" s="758" t="s">
        <v>3660</v>
      </c>
      <c r="L435" s="754"/>
      <c r="M435" s="754"/>
      <c r="N435" s="754"/>
      <c r="O435" s="754"/>
      <c r="P435" s="754"/>
      <c r="Q435" s="754"/>
      <c r="R435" s="754"/>
      <c r="S435" s="754"/>
      <c r="T435" s="754"/>
      <c r="U435" s="754"/>
      <c r="V435" s="754"/>
      <c r="W435" s="754"/>
      <c r="X435" s="754"/>
      <c r="Y435" s="754"/>
      <c r="Z435" s="754"/>
      <c r="AA435" s="754"/>
      <c r="AB435" s="754"/>
      <c r="AC435" s="754"/>
      <c r="AD435" s="754"/>
      <c r="AE435" s="754"/>
      <c r="AF435" s="754"/>
      <c r="AG435" s="754"/>
      <c r="AH435" s="754"/>
      <c r="AI435" s="754"/>
      <c r="AJ435" s="754"/>
      <c r="AK435" s="754"/>
      <c r="AL435" s="754"/>
      <c r="AM435" s="754"/>
      <c r="AN435" s="754"/>
      <c r="AO435" s="754"/>
      <c r="AP435" s="754"/>
      <c r="AQ435" s="754"/>
      <c r="AR435" s="754"/>
      <c r="AS435" s="754"/>
      <c r="AT435" s="754"/>
      <c r="AU435" s="754"/>
    </row>
    <row r="436" ht="15.75" customHeight="1">
      <c r="A436" s="759">
        <v>44386.0</v>
      </c>
      <c r="B436" s="760" t="s">
        <v>3482</v>
      </c>
      <c r="C436" s="761" t="s">
        <v>3458</v>
      </c>
      <c r="D436" s="745" t="s">
        <v>5903</v>
      </c>
      <c r="E436" s="757">
        <v>47000.0</v>
      </c>
      <c r="F436" s="745" t="s">
        <v>3481</v>
      </c>
      <c r="G436" s="755" t="s">
        <v>18</v>
      </c>
      <c r="H436" s="755" t="s">
        <v>29</v>
      </c>
      <c r="I436" s="755" t="s">
        <v>18</v>
      </c>
      <c r="J436" s="755">
        <v>44062.0</v>
      </c>
      <c r="K436" s="758" t="s">
        <v>3651</v>
      </c>
      <c r="L436" s="754"/>
      <c r="M436" s="754"/>
      <c r="N436" s="754"/>
      <c r="O436" s="754"/>
      <c r="P436" s="754"/>
      <c r="Q436" s="754"/>
      <c r="R436" s="754"/>
      <c r="S436" s="754"/>
      <c r="T436" s="754"/>
      <c r="U436" s="754"/>
      <c r="V436" s="754"/>
      <c r="W436" s="754"/>
      <c r="X436" s="754"/>
      <c r="Y436" s="754"/>
      <c r="Z436" s="754"/>
      <c r="AA436" s="754"/>
      <c r="AB436" s="754"/>
      <c r="AC436" s="754"/>
      <c r="AD436" s="754"/>
      <c r="AE436" s="754"/>
      <c r="AF436" s="754"/>
      <c r="AG436" s="754"/>
      <c r="AH436" s="754"/>
      <c r="AI436" s="754"/>
      <c r="AJ436" s="754"/>
      <c r="AK436" s="754"/>
      <c r="AL436" s="754"/>
      <c r="AM436" s="754"/>
      <c r="AN436" s="754"/>
      <c r="AO436" s="754"/>
      <c r="AP436" s="754"/>
      <c r="AQ436" s="754"/>
      <c r="AR436" s="754"/>
      <c r="AS436" s="754"/>
      <c r="AT436" s="754"/>
      <c r="AU436" s="754"/>
    </row>
    <row r="437" ht="15.75" customHeight="1">
      <c r="A437" s="759">
        <v>44386.0</v>
      </c>
      <c r="B437" s="760" t="s">
        <v>5957</v>
      </c>
      <c r="C437" s="761" t="s">
        <v>3642</v>
      </c>
      <c r="D437" s="745" t="s">
        <v>5903</v>
      </c>
      <c r="E437" s="757">
        <v>156000.0</v>
      </c>
      <c r="F437" s="783" t="s">
        <v>951</v>
      </c>
      <c r="G437" s="745" t="s">
        <v>86</v>
      </c>
      <c r="H437" s="745" t="s">
        <v>29</v>
      </c>
      <c r="I437" s="745" t="s">
        <v>3948</v>
      </c>
      <c r="J437" s="778">
        <v>44145.0</v>
      </c>
      <c r="K437" s="762" t="s">
        <v>3647</v>
      </c>
      <c r="L437" s="754"/>
      <c r="M437" s="754"/>
      <c r="N437" s="754"/>
      <c r="O437" s="754"/>
      <c r="P437" s="754"/>
      <c r="Q437" s="754"/>
      <c r="R437" s="754"/>
      <c r="S437" s="754"/>
      <c r="T437" s="754"/>
      <c r="U437" s="754"/>
      <c r="V437" s="754"/>
      <c r="W437" s="754"/>
      <c r="X437" s="754"/>
      <c r="Y437" s="754"/>
      <c r="Z437" s="754"/>
      <c r="AA437" s="754"/>
      <c r="AB437" s="754"/>
      <c r="AC437" s="754"/>
      <c r="AD437" s="754"/>
      <c r="AE437" s="754"/>
      <c r="AF437" s="754"/>
      <c r="AG437" s="754"/>
      <c r="AH437" s="754"/>
      <c r="AI437" s="754"/>
      <c r="AJ437" s="754"/>
      <c r="AK437" s="754"/>
      <c r="AL437" s="754"/>
      <c r="AM437" s="754"/>
      <c r="AN437" s="754"/>
      <c r="AO437" s="754"/>
      <c r="AP437" s="754"/>
      <c r="AQ437" s="754"/>
      <c r="AR437" s="754"/>
      <c r="AS437" s="754"/>
      <c r="AT437" s="754"/>
      <c r="AU437" s="754"/>
    </row>
    <row r="438" ht="15.75" customHeight="1">
      <c r="A438" s="759">
        <v>44389.0</v>
      </c>
      <c r="B438" s="760" t="s">
        <v>3128</v>
      </c>
      <c r="C438" s="761" t="s">
        <v>2376</v>
      </c>
      <c r="D438" s="745" t="s">
        <v>5903</v>
      </c>
      <c r="E438" s="757">
        <v>20000.0</v>
      </c>
      <c r="F438" s="745" t="s">
        <v>3127</v>
      </c>
      <c r="G438" s="755" t="s">
        <v>18</v>
      </c>
      <c r="H438" s="755" t="s">
        <v>145</v>
      </c>
      <c r="I438" s="755" t="s">
        <v>146</v>
      </c>
      <c r="J438" s="755">
        <v>44319.0</v>
      </c>
      <c r="K438" s="758" t="s">
        <v>3651</v>
      </c>
      <c r="L438" s="754"/>
      <c r="M438" s="754"/>
      <c r="N438" s="754"/>
      <c r="O438" s="754"/>
      <c r="P438" s="754"/>
      <c r="Q438" s="754"/>
      <c r="R438" s="754"/>
      <c r="S438" s="754"/>
      <c r="T438" s="754"/>
      <c r="U438" s="754"/>
      <c r="V438" s="754"/>
      <c r="W438" s="754"/>
      <c r="X438" s="754"/>
      <c r="Y438" s="754"/>
      <c r="Z438" s="754"/>
      <c r="AA438" s="754"/>
      <c r="AB438" s="754"/>
      <c r="AC438" s="754"/>
      <c r="AD438" s="754"/>
      <c r="AE438" s="754"/>
      <c r="AF438" s="754"/>
      <c r="AG438" s="754"/>
      <c r="AH438" s="754"/>
      <c r="AI438" s="754"/>
      <c r="AJ438" s="754"/>
      <c r="AK438" s="754"/>
      <c r="AL438" s="754"/>
      <c r="AM438" s="754"/>
      <c r="AN438" s="754"/>
      <c r="AO438" s="754"/>
      <c r="AP438" s="754"/>
      <c r="AQ438" s="754"/>
      <c r="AR438" s="754"/>
      <c r="AS438" s="754"/>
      <c r="AT438" s="754"/>
      <c r="AU438" s="754"/>
    </row>
    <row r="439" ht="15.75" customHeight="1">
      <c r="A439" s="759">
        <v>44389.0</v>
      </c>
      <c r="B439" s="760" t="s">
        <v>3090</v>
      </c>
      <c r="C439" s="761" t="s">
        <v>2376</v>
      </c>
      <c r="D439" s="745" t="s">
        <v>5903</v>
      </c>
      <c r="E439" s="757">
        <v>5000.0</v>
      </c>
      <c r="F439" s="745" t="s">
        <v>3089</v>
      </c>
      <c r="G439" s="755" t="s">
        <v>18</v>
      </c>
      <c r="H439" s="755" t="s">
        <v>145</v>
      </c>
      <c r="I439" s="755" t="s">
        <v>171</v>
      </c>
      <c r="J439" s="755">
        <v>44321.0</v>
      </c>
      <c r="K439" s="758" t="s">
        <v>3657</v>
      </c>
      <c r="L439" s="754"/>
      <c r="M439" s="754"/>
      <c r="N439" s="754"/>
      <c r="O439" s="754"/>
      <c r="P439" s="754"/>
      <c r="Q439" s="754"/>
      <c r="R439" s="754"/>
      <c r="S439" s="754"/>
      <c r="T439" s="754"/>
      <c r="U439" s="754"/>
      <c r="V439" s="754"/>
      <c r="W439" s="754"/>
      <c r="X439" s="754"/>
      <c r="Y439" s="754"/>
      <c r="Z439" s="754"/>
      <c r="AA439" s="754"/>
      <c r="AB439" s="754"/>
      <c r="AC439" s="754"/>
      <c r="AD439" s="754"/>
      <c r="AE439" s="754"/>
      <c r="AF439" s="754"/>
      <c r="AG439" s="754"/>
      <c r="AH439" s="754"/>
      <c r="AI439" s="754"/>
      <c r="AJ439" s="754"/>
      <c r="AK439" s="754"/>
      <c r="AL439" s="754"/>
      <c r="AM439" s="754"/>
      <c r="AN439" s="754"/>
      <c r="AO439" s="754"/>
      <c r="AP439" s="754"/>
      <c r="AQ439" s="754"/>
      <c r="AR439" s="754"/>
      <c r="AS439" s="754"/>
      <c r="AT439" s="754"/>
      <c r="AU439" s="754"/>
    </row>
    <row r="440" ht="15.75" customHeight="1">
      <c r="A440" s="759">
        <v>44389.0</v>
      </c>
      <c r="B440" s="760" t="s">
        <v>3304</v>
      </c>
      <c r="C440" s="761" t="s">
        <v>2376</v>
      </c>
      <c r="D440" s="745" t="s">
        <v>5903</v>
      </c>
      <c r="E440" s="757">
        <v>45000.0</v>
      </c>
      <c r="F440" s="745" t="s">
        <v>2014</v>
      </c>
      <c r="G440" s="755" t="s">
        <v>18</v>
      </c>
      <c r="H440" s="755" t="s">
        <v>145</v>
      </c>
      <c r="I440" s="755" t="s">
        <v>146</v>
      </c>
      <c r="J440" s="755">
        <v>44280.0</v>
      </c>
      <c r="K440" s="758" t="s">
        <v>3647</v>
      </c>
      <c r="L440" s="754"/>
      <c r="M440" s="754"/>
      <c r="N440" s="754"/>
      <c r="O440" s="754"/>
      <c r="P440" s="754"/>
      <c r="Q440" s="754"/>
      <c r="R440" s="754"/>
      <c r="S440" s="754"/>
      <c r="T440" s="754"/>
      <c r="U440" s="754"/>
      <c r="V440" s="754"/>
      <c r="W440" s="754"/>
      <c r="X440" s="754"/>
      <c r="Y440" s="754"/>
      <c r="Z440" s="754"/>
      <c r="AA440" s="754"/>
      <c r="AB440" s="754"/>
      <c r="AC440" s="754"/>
      <c r="AD440" s="754"/>
      <c r="AE440" s="754"/>
      <c r="AF440" s="754"/>
      <c r="AG440" s="754"/>
      <c r="AH440" s="754"/>
      <c r="AI440" s="754"/>
      <c r="AJ440" s="754"/>
      <c r="AK440" s="754"/>
      <c r="AL440" s="754"/>
      <c r="AM440" s="754"/>
      <c r="AN440" s="754"/>
      <c r="AO440" s="754"/>
      <c r="AP440" s="754"/>
      <c r="AQ440" s="754"/>
      <c r="AR440" s="754"/>
      <c r="AS440" s="754"/>
      <c r="AT440" s="754"/>
      <c r="AU440" s="754"/>
    </row>
    <row r="441" ht="15.75" customHeight="1">
      <c r="A441" s="755">
        <v>44390.0</v>
      </c>
      <c r="B441" s="756" t="s">
        <v>5968</v>
      </c>
      <c r="C441" s="745" t="s">
        <v>3642</v>
      </c>
      <c r="D441" s="745" t="s">
        <v>5902</v>
      </c>
      <c r="E441" s="757">
        <v>0.0</v>
      </c>
      <c r="F441" s="745" t="s">
        <v>4912</v>
      </c>
      <c r="G441" s="745" t="s">
        <v>18</v>
      </c>
      <c r="H441" s="745" t="s">
        <v>29</v>
      </c>
      <c r="I441" s="745" t="s">
        <v>3650</v>
      </c>
      <c r="J441" s="755">
        <v>44166.0</v>
      </c>
      <c r="K441" s="762" t="s">
        <v>3651</v>
      </c>
      <c r="L441" s="754"/>
      <c r="M441" s="754"/>
      <c r="N441" s="754"/>
      <c r="O441" s="754"/>
      <c r="P441" s="754"/>
      <c r="Q441" s="754"/>
      <c r="R441" s="754"/>
      <c r="S441" s="754"/>
      <c r="T441" s="754"/>
      <c r="U441" s="754"/>
      <c r="V441" s="754"/>
      <c r="W441" s="754"/>
      <c r="X441" s="754"/>
      <c r="Y441" s="754"/>
      <c r="Z441" s="754"/>
      <c r="AA441" s="754"/>
      <c r="AB441" s="754"/>
      <c r="AC441" s="754"/>
      <c r="AD441" s="754"/>
      <c r="AE441" s="754"/>
      <c r="AF441" s="754"/>
      <c r="AG441" s="754"/>
      <c r="AH441" s="754"/>
      <c r="AI441" s="754"/>
      <c r="AJ441" s="754"/>
      <c r="AK441" s="754"/>
      <c r="AL441" s="754"/>
      <c r="AM441" s="754"/>
      <c r="AN441" s="754"/>
      <c r="AO441" s="754"/>
      <c r="AP441" s="754"/>
      <c r="AQ441" s="754"/>
      <c r="AR441" s="754"/>
      <c r="AS441" s="754"/>
      <c r="AT441" s="754"/>
      <c r="AU441" s="754"/>
    </row>
    <row r="442" ht="15.75" customHeight="1">
      <c r="A442" s="759">
        <v>44390.0</v>
      </c>
      <c r="B442" s="760" t="s">
        <v>2919</v>
      </c>
      <c r="C442" s="761" t="s">
        <v>2376</v>
      </c>
      <c r="D442" s="745" t="s">
        <v>5903</v>
      </c>
      <c r="E442" s="757">
        <v>6000.0</v>
      </c>
      <c r="F442" s="745" t="s">
        <v>2918</v>
      </c>
      <c r="G442" s="755" t="s">
        <v>18</v>
      </c>
      <c r="H442" s="755" t="s">
        <v>145</v>
      </c>
      <c r="I442" s="755" t="s">
        <v>146</v>
      </c>
      <c r="J442" s="755">
        <v>44295.0</v>
      </c>
      <c r="K442" s="758" t="s">
        <v>3657</v>
      </c>
      <c r="L442" s="754"/>
      <c r="M442" s="754"/>
      <c r="N442" s="754"/>
      <c r="O442" s="754"/>
      <c r="P442" s="754"/>
      <c r="Q442" s="754"/>
      <c r="R442" s="754"/>
      <c r="S442" s="754"/>
      <c r="T442" s="754"/>
      <c r="U442" s="754"/>
      <c r="V442" s="754"/>
      <c r="W442" s="754"/>
      <c r="X442" s="754"/>
      <c r="Y442" s="754"/>
      <c r="Z442" s="754"/>
      <c r="AA442" s="754"/>
      <c r="AB442" s="754"/>
      <c r="AC442" s="754"/>
      <c r="AD442" s="754"/>
      <c r="AE442" s="754"/>
      <c r="AF442" s="754"/>
      <c r="AG442" s="754"/>
      <c r="AH442" s="754"/>
      <c r="AI442" s="754"/>
      <c r="AJ442" s="754"/>
      <c r="AK442" s="754"/>
      <c r="AL442" s="754"/>
      <c r="AM442" s="754"/>
      <c r="AN442" s="754"/>
      <c r="AO442" s="754"/>
      <c r="AP442" s="754"/>
      <c r="AQ442" s="754"/>
      <c r="AR442" s="754"/>
      <c r="AS442" s="754"/>
      <c r="AT442" s="754"/>
      <c r="AU442" s="754"/>
    </row>
    <row r="443" ht="15.75" customHeight="1">
      <c r="A443" s="759">
        <v>44391.0</v>
      </c>
      <c r="B443" s="760" t="s">
        <v>2564</v>
      </c>
      <c r="C443" s="761" t="s">
        <v>2376</v>
      </c>
      <c r="D443" s="745" t="s">
        <v>5903</v>
      </c>
      <c r="E443" s="757">
        <v>4000.0</v>
      </c>
      <c r="F443" s="745" t="s">
        <v>2563</v>
      </c>
      <c r="G443" s="755" t="s">
        <v>18</v>
      </c>
      <c r="H443" s="755" t="s">
        <v>145</v>
      </c>
      <c r="I443" s="755" t="s">
        <v>2464</v>
      </c>
      <c r="J443" s="755">
        <v>44260.0</v>
      </c>
      <c r="K443" s="758" t="s">
        <v>3651</v>
      </c>
      <c r="L443" s="754"/>
      <c r="M443" s="754"/>
      <c r="N443" s="754"/>
      <c r="O443" s="754"/>
      <c r="P443" s="754"/>
      <c r="Q443" s="754"/>
      <c r="R443" s="754"/>
      <c r="S443" s="754"/>
      <c r="T443" s="754"/>
      <c r="U443" s="754"/>
      <c r="V443" s="754"/>
      <c r="W443" s="754"/>
      <c r="X443" s="754"/>
      <c r="Y443" s="754"/>
      <c r="Z443" s="754"/>
      <c r="AA443" s="754"/>
      <c r="AB443" s="754"/>
      <c r="AC443" s="754"/>
      <c r="AD443" s="754"/>
      <c r="AE443" s="754"/>
      <c r="AF443" s="754"/>
      <c r="AG443" s="754"/>
      <c r="AH443" s="754"/>
      <c r="AI443" s="754"/>
      <c r="AJ443" s="754"/>
      <c r="AK443" s="754"/>
      <c r="AL443" s="754"/>
      <c r="AM443" s="754"/>
      <c r="AN443" s="754"/>
      <c r="AO443" s="754"/>
      <c r="AP443" s="754"/>
      <c r="AQ443" s="754"/>
      <c r="AR443" s="754"/>
      <c r="AS443" s="754"/>
      <c r="AT443" s="754"/>
      <c r="AU443" s="754"/>
    </row>
    <row r="444" ht="15.75" customHeight="1">
      <c r="A444" s="755">
        <v>44393.0</v>
      </c>
      <c r="B444" s="779" t="s">
        <v>2881</v>
      </c>
      <c r="C444" s="745" t="s">
        <v>2376</v>
      </c>
      <c r="D444" s="745" t="s">
        <v>5902</v>
      </c>
      <c r="E444" s="757">
        <v>156601.32</v>
      </c>
      <c r="F444" s="745" t="s">
        <v>2880</v>
      </c>
      <c r="G444" s="755" t="s">
        <v>18</v>
      </c>
      <c r="H444" s="755" t="s">
        <v>145</v>
      </c>
      <c r="I444" s="755" t="s">
        <v>171</v>
      </c>
      <c r="J444" s="755">
        <v>44280.0</v>
      </c>
      <c r="K444" s="758" t="s">
        <v>3651</v>
      </c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54"/>
      <c r="AB444" s="754"/>
      <c r="AC444" s="754"/>
      <c r="AD444" s="754"/>
      <c r="AE444" s="754"/>
      <c r="AF444" s="754"/>
      <c r="AG444" s="754"/>
      <c r="AH444" s="754"/>
      <c r="AI444" s="754"/>
      <c r="AJ444" s="754"/>
      <c r="AK444" s="754"/>
      <c r="AL444" s="754"/>
      <c r="AM444" s="754"/>
      <c r="AN444" s="754"/>
      <c r="AO444" s="754"/>
      <c r="AP444" s="754"/>
      <c r="AQ444" s="754"/>
      <c r="AR444" s="754"/>
      <c r="AS444" s="754"/>
      <c r="AT444" s="754"/>
      <c r="AU444" s="754"/>
    </row>
    <row r="445" ht="15.75" customHeight="1">
      <c r="A445" s="759">
        <v>44393.0</v>
      </c>
      <c r="B445" s="760" t="s">
        <v>2564</v>
      </c>
      <c r="C445" s="761" t="s">
        <v>2376</v>
      </c>
      <c r="D445" s="745" t="s">
        <v>5903</v>
      </c>
      <c r="E445" s="757">
        <v>107481.43</v>
      </c>
      <c r="F445" s="745" t="s">
        <v>2563</v>
      </c>
      <c r="G445" s="755" t="s">
        <v>18</v>
      </c>
      <c r="H445" s="755" t="s">
        <v>145</v>
      </c>
      <c r="I445" s="755" t="s">
        <v>2464</v>
      </c>
      <c r="J445" s="755">
        <v>44260.0</v>
      </c>
      <c r="K445" s="758" t="s">
        <v>3651</v>
      </c>
      <c r="L445" s="754"/>
      <c r="M445" s="754"/>
      <c r="N445" s="754"/>
      <c r="O445" s="754"/>
      <c r="P445" s="754"/>
      <c r="Q445" s="754"/>
      <c r="R445" s="754"/>
      <c r="S445" s="754"/>
      <c r="T445" s="754"/>
      <c r="U445" s="754"/>
      <c r="V445" s="754"/>
      <c r="W445" s="754"/>
      <c r="X445" s="754"/>
      <c r="Y445" s="754"/>
      <c r="Z445" s="754"/>
      <c r="AA445" s="754"/>
      <c r="AB445" s="754"/>
      <c r="AC445" s="754"/>
      <c r="AD445" s="754"/>
      <c r="AE445" s="754"/>
      <c r="AF445" s="754"/>
      <c r="AG445" s="754"/>
      <c r="AH445" s="754"/>
      <c r="AI445" s="754"/>
      <c r="AJ445" s="754"/>
      <c r="AK445" s="754"/>
      <c r="AL445" s="754"/>
      <c r="AM445" s="754"/>
      <c r="AN445" s="754"/>
      <c r="AO445" s="754"/>
      <c r="AP445" s="754"/>
      <c r="AQ445" s="754"/>
      <c r="AR445" s="754"/>
      <c r="AS445" s="754"/>
      <c r="AT445" s="754"/>
      <c r="AU445" s="754"/>
    </row>
    <row r="446" ht="15.75" customHeight="1">
      <c r="A446" s="759">
        <v>44393.0</v>
      </c>
      <c r="B446" s="760" t="s">
        <v>2881</v>
      </c>
      <c r="C446" s="761" t="s">
        <v>2376</v>
      </c>
      <c r="D446" s="745" t="s">
        <v>5903</v>
      </c>
      <c r="E446" s="757">
        <v>10000.0</v>
      </c>
      <c r="F446" s="745" t="s">
        <v>2880</v>
      </c>
      <c r="G446" s="755" t="s">
        <v>18</v>
      </c>
      <c r="H446" s="755" t="s">
        <v>145</v>
      </c>
      <c r="I446" s="755" t="s">
        <v>171</v>
      </c>
      <c r="J446" s="755">
        <v>44280.0</v>
      </c>
      <c r="K446" s="758" t="s">
        <v>3651</v>
      </c>
      <c r="L446" s="754"/>
      <c r="M446" s="754"/>
      <c r="N446" s="754"/>
      <c r="O446" s="754"/>
      <c r="P446" s="754"/>
      <c r="Q446" s="754"/>
      <c r="R446" s="754"/>
      <c r="S446" s="754"/>
      <c r="T446" s="754"/>
      <c r="U446" s="754"/>
      <c r="V446" s="754"/>
      <c r="W446" s="754"/>
      <c r="X446" s="754"/>
      <c r="Y446" s="754"/>
      <c r="Z446" s="754"/>
      <c r="AA446" s="754"/>
      <c r="AB446" s="754"/>
      <c r="AC446" s="754"/>
      <c r="AD446" s="754"/>
      <c r="AE446" s="754"/>
      <c r="AF446" s="754"/>
      <c r="AG446" s="754"/>
      <c r="AH446" s="754"/>
      <c r="AI446" s="754"/>
      <c r="AJ446" s="754"/>
      <c r="AK446" s="754"/>
      <c r="AL446" s="754"/>
      <c r="AM446" s="754"/>
      <c r="AN446" s="754"/>
      <c r="AO446" s="754"/>
      <c r="AP446" s="754"/>
      <c r="AQ446" s="754"/>
      <c r="AR446" s="754"/>
      <c r="AS446" s="754"/>
      <c r="AT446" s="754"/>
      <c r="AU446" s="754"/>
    </row>
    <row r="447" ht="15.75" customHeight="1">
      <c r="A447" s="759">
        <v>44393.0</v>
      </c>
      <c r="B447" s="760" t="s">
        <v>2983</v>
      </c>
      <c r="C447" s="761" t="s">
        <v>2376</v>
      </c>
      <c r="D447" s="745" t="s">
        <v>5903</v>
      </c>
      <c r="E447" s="757">
        <v>20000.0</v>
      </c>
      <c r="F447" s="745" t="s">
        <v>2982</v>
      </c>
      <c r="G447" s="755" t="s">
        <v>18</v>
      </c>
      <c r="H447" s="755" t="s">
        <v>145</v>
      </c>
      <c r="I447" s="755" t="s">
        <v>146</v>
      </c>
      <c r="J447" s="755">
        <v>44263.0</v>
      </c>
      <c r="K447" s="758" t="s">
        <v>3647</v>
      </c>
      <c r="L447" s="754"/>
      <c r="M447" s="754"/>
      <c r="N447" s="754"/>
      <c r="O447" s="754"/>
      <c r="P447" s="754"/>
      <c r="Q447" s="754"/>
      <c r="R447" s="754"/>
      <c r="S447" s="754"/>
      <c r="T447" s="754"/>
      <c r="U447" s="754"/>
      <c r="V447" s="754"/>
      <c r="W447" s="754"/>
      <c r="X447" s="754"/>
      <c r="Y447" s="754"/>
      <c r="Z447" s="754"/>
      <c r="AA447" s="754"/>
      <c r="AB447" s="754"/>
      <c r="AC447" s="754"/>
      <c r="AD447" s="754"/>
      <c r="AE447" s="754"/>
      <c r="AF447" s="754"/>
      <c r="AG447" s="754"/>
      <c r="AH447" s="754"/>
      <c r="AI447" s="754"/>
      <c r="AJ447" s="754"/>
      <c r="AK447" s="754"/>
      <c r="AL447" s="754"/>
      <c r="AM447" s="754"/>
      <c r="AN447" s="754"/>
      <c r="AO447" s="754"/>
      <c r="AP447" s="754"/>
      <c r="AQ447" s="754"/>
      <c r="AR447" s="754"/>
      <c r="AS447" s="754"/>
      <c r="AT447" s="754"/>
      <c r="AU447" s="754"/>
    </row>
    <row r="448" ht="15.75" customHeight="1">
      <c r="A448" s="759">
        <v>44393.0</v>
      </c>
      <c r="B448" s="760" t="s">
        <v>2811</v>
      </c>
      <c r="C448" s="761" t="s">
        <v>2376</v>
      </c>
      <c r="D448" s="745" t="s">
        <v>5903</v>
      </c>
      <c r="E448" s="757">
        <v>50000.0</v>
      </c>
      <c r="F448" s="745" t="s">
        <v>2810</v>
      </c>
      <c r="G448" s="755" t="s">
        <v>2379</v>
      </c>
      <c r="H448" s="755" t="s">
        <v>29</v>
      </c>
      <c r="I448" s="755" t="s">
        <v>2380</v>
      </c>
      <c r="J448" s="755">
        <v>43703.0</v>
      </c>
      <c r="K448" s="758" t="s">
        <v>4033</v>
      </c>
      <c r="L448" s="754"/>
      <c r="M448" s="754"/>
      <c r="N448" s="754"/>
      <c r="O448" s="754"/>
      <c r="P448" s="754"/>
      <c r="Q448" s="754"/>
      <c r="R448" s="754"/>
      <c r="S448" s="754"/>
      <c r="T448" s="754"/>
      <c r="U448" s="754"/>
      <c r="V448" s="754"/>
      <c r="W448" s="754"/>
      <c r="X448" s="754"/>
      <c r="Y448" s="754"/>
      <c r="Z448" s="754"/>
      <c r="AA448" s="754"/>
      <c r="AB448" s="754"/>
      <c r="AC448" s="754"/>
      <c r="AD448" s="754"/>
      <c r="AE448" s="754"/>
      <c r="AF448" s="754"/>
      <c r="AG448" s="754"/>
      <c r="AH448" s="754"/>
      <c r="AI448" s="754"/>
      <c r="AJ448" s="754"/>
      <c r="AK448" s="754"/>
      <c r="AL448" s="754"/>
      <c r="AM448" s="754"/>
      <c r="AN448" s="754"/>
      <c r="AO448" s="754"/>
      <c r="AP448" s="754"/>
      <c r="AQ448" s="754"/>
      <c r="AR448" s="754"/>
      <c r="AS448" s="754"/>
      <c r="AT448" s="754"/>
      <c r="AU448" s="754"/>
    </row>
    <row r="449" ht="15.75" customHeight="1">
      <c r="A449" s="755">
        <v>44396.0</v>
      </c>
      <c r="B449" s="756" t="s">
        <v>5969</v>
      </c>
      <c r="C449" s="745" t="s">
        <v>3642</v>
      </c>
      <c r="D449" s="745" t="s">
        <v>5902</v>
      </c>
      <c r="E449" s="757">
        <v>0.0</v>
      </c>
      <c r="F449" s="745" t="s">
        <v>3683</v>
      </c>
      <c r="G449" s="745" t="s">
        <v>86</v>
      </c>
      <c r="H449" s="745" t="s">
        <v>29</v>
      </c>
      <c r="I449" s="745" t="s">
        <v>3486</v>
      </c>
      <c r="J449" s="755">
        <v>44085.0</v>
      </c>
      <c r="K449" s="762" t="s">
        <v>3660</v>
      </c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54"/>
      <c r="AB449" s="754"/>
      <c r="AC449" s="754"/>
      <c r="AD449" s="754"/>
      <c r="AE449" s="754"/>
      <c r="AF449" s="754"/>
      <c r="AG449" s="754"/>
      <c r="AH449" s="754"/>
      <c r="AI449" s="754"/>
      <c r="AJ449" s="754"/>
      <c r="AK449" s="754"/>
      <c r="AL449" s="754"/>
      <c r="AM449" s="754"/>
      <c r="AN449" s="754"/>
      <c r="AO449" s="754"/>
      <c r="AP449" s="754"/>
      <c r="AQ449" s="754"/>
      <c r="AR449" s="754"/>
      <c r="AS449" s="754"/>
      <c r="AT449" s="754"/>
      <c r="AU449" s="754"/>
    </row>
    <row r="450" ht="15.75" customHeight="1">
      <c r="A450" s="759">
        <v>44396.0</v>
      </c>
      <c r="B450" s="760" t="s">
        <v>3073</v>
      </c>
      <c r="C450" s="761" t="s">
        <v>2376</v>
      </c>
      <c r="D450" s="745" t="s">
        <v>5903</v>
      </c>
      <c r="E450" s="757">
        <v>10000.0</v>
      </c>
      <c r="F450" s="745" t="s">
        <v>3072</v>
      </c>
      <c r="G450" s="755" t="s">
        <v>2379</v>
      </c>
      <c r="H450" s="755" t="s">
        <v>29</v>
      </c>
      <c r="I450" s="755" t="s">
        <v>2380</v>
      </c>
      <c r="J450" s="755">
        <v>43564.0</v>
      </c>
      <c r="K450" s="758" t="s">
        <v>3664</v>
      </c>
      <c r="L450" s="754"/>
      <c r="M450" s="754"/>
      <c r="N450" s="754"/>
      <c r="O450" s="754"/>
      <c r="P450" s="754"/>
      <c r="Q450" s="754"/>
      <c r="R450" s="754"/>
      <c r="S450" s="754"/>
      <c r="T450" s="754"/>
      <c r="U450" s="754"/>
      <c r="V450" s="754"/>
      <c r="W450" s="754"/>
      <c r="X450" s="754"/>
      <c r="Y450" s="754"/>
      <c r="Z450" s="754"/>
      <c r="AA450" s="754"/>
      <c r="AB450" s="754"/>
      <c r="AC450" s="754"/>
      <c r="AD450" s="754"/>
      <c r="AE450" s="754"/>
      <c r="AF450" s="754"/>
      <c r="AG450" s="754"/>
      <c r="AH450" s="754"/>
      <c r="AI450" s="754"/>
      <c r="AJ450" s="754"/>
      <c r="AK450" s="754"/>
      <c r="AL450" s="754"/>
      <c r="AM450" s="754"/>
      <c r="AN450" s="754"/>
      <c r="AO450" s="754"/>
      <c r="AP450" s="754"/>
      <c r="AQ450" s="754"/>
      <c r="AR450" s="754"/>
      <c r="AS450" s="754"/>
      <c r="AT450" s="754"/>
      <c r="AU450" s="754"/>
    </row>
    <row r="451" ht="15.75" customHeight="1">
      <c r="A451" s="759">
        <v>44396.0</v>
      </c>
      <c r="B451" s="760" t="s">
        <v>3043</v>
      </c>
      <c r="C451" s="761" t="s">
        <v>2376</v>
      </c>
      <c r="D451" s="745" t="s">
        <v>5903</v>
      </c>
      <c r="E451" s="757">
        <v>30000.0</v>
      </c>
      <c r="F451" s="745" t="s">
        <v>3042</v>
      </c>
      <c r="G451" s="755" t="s">
        <v>18</v>
      </c>
      <c r="H451" s="755" t="s">
        <v>145</v>
      </c>
      <c r="I451" s="755" t="s">
        <v>171</v>
      </c>
      <c r="J451" s="755">
        <v>44322.0</v>
      </c>
      <c r="K451" s="758" t="s">
        <v>3651</v>
      </c>
      <c r="L451" s="754"/>
      <c r="M451" s="754"/>
      <c r="N451" s="754"/>
      <c r="O451" s="754"/>
      <c r="P451" s="754"/>
      <c r="Q451" s="754"/>
      <c r="R451" s="754"/>
      <c r="S451" s="754"/>
      <c r="T451" s="754"/>
      <c r="U451" s="754"/>
      <c r="V451" s="754"/>
      <c r="W451" s="754"/>
      <c r="X451" s="754"/>
      <c r="Y451" s="754"/>
      <c r="Z451" s="754"/>
      <c r="AA451" s="754"/>
      <c r="AB451" s="754"/>
      <c r="AC451" s="754"/>
      <c r="AD451" s="754"/>
      <c r="AE451" s="754"/>
      <c r="AF451" s="754"/>
      <c r="AG451" s="754"/>
      <c r="AH451" s="754"/>
      <c r="AI451" s="754"/>
      <c r="AJ451" s="754"/>
      <c r="AK451" s="754"/>
      <c r="AL451" s="754"/>
      <c r="AM451" s="754"/>
      <c r="AN451" s="754"/>
      <c r="AO451" s="754"/>
      <c r="AP451" s="754"/>
      <c r="AQ451" s="754"/>
      <c r="AR451" s="754"/>
      <c r="AS451" s="754"/>
      <c r="AT451" s="754"/>
      <c r="AU451" s="754"/>
    </row>
    <row r="452" ht="15.75" customHeight="1">
      <c r="A452" s="759">
        <v>44397.0</v>
      </c>
      <c r="B452" s="760" t="s">
        <v>3235</v>
      </c>
      <c r="C452" s="761" t="s">
        <v>2376</v>
      </c>
      <c r="D452" s="745" t="s">
        <v>5903</v>
      </c>
      <c r="E452" s="757">
        <v>300000.0</v>
      </c>
      <c r="F452" s="745" t="s">
        <v>3234</v>
      </c>
      <c r="G452" s="755" t="s">
        <v>2379</v>
      </c>
      <c r="H452" s="755" t="s">
        <v>29</v>
      </c>
      <c r="I452" s="755" t="s">
        <v>2380</v>
      </c>
      <c r="J452" s="755">
        <v>43894.0</v>
      </c>
      <c r="K452" s="758" t="s">
        <v>3660</v>
      </c>
      <c r="L452" s="754"/>
      <c r="M452" s="754"/>
      <c r="N452" s="754"/>
      <c r="O452" s="754"/>
      <c r="P452" s="754"/>
      <c r="Q452" s="754"/>
      <c r="R452" s="754"/>
      <c r="S452" s="754"/>
      <c r="T452" s="754"/>
      <c r="U452" s="754"/>
      <c r="V452" s="754"/>
      <c r="W452" s="754"/>
      <c r="X452" s="754"/>
      <c r="Y452" s="754"/>
      <c r="Z452" s="754"/>
      <c r="AA452" s="754"/>
      <c r="AB452" s="754"/>
      <c r="AC452" s="754"/>
      <c r="AD452" s="754"/>
      <c r="AE452" s="754"/>
      <c r="AF452" s="754"/>
      <c r="AG452" s="754"/>
      <c r="AH452" s="754"/>
      <c r="AI452" s="754"/>
      <c r="AJ452" s="754"/>
      <c r="AK452" s="754"/>
      <c r="AL452" s="754"/>
      <c r="AM452" s="754"/>
      <c r="AN452" s="754"/>
      <c r="AO452" s="754"/>
      <c r="AP452" s="754"/>
      <c r="AQ452" s="754"/>
      <c r="AR452" s="754"/>
      <c r="AS452" s="754"/>
      <c r="AT452" s="754"/>
      <c r="AU452" s="754"/>
    </row>
    <row r="453" ht="15.75" customHeight="1">
      <c r="A453" s="759">
        <v>44397.0</v>
      </c>
      <c r="B453" s="760" t="s">
        <v>2919</v>
      </c>
      <c r="C453" s="761" t="s">
        <v>2376</v>
      </c>
      <c r="D453" s="745" t="s">
        <v>5903</v>
      </c>
      <c r="E453" s="757">
        <v>10000.0</v>
      </c>
      <c r="F453" s="745" t="s">
        <v>2918</v>
      </c>
      <c r="G453" s="755" t="s">
        <v>18</v>
      </c>
      <c r="H453" s="755" t="s">
        <v>145</v>
      </c>
      <c r="I453" s="755" t="s">
        <v>146</v>
      </c>
      <c r="J453" s="755">
        <v>44295.0</v>
      </c>
      <c r="K453" s="758" t="s">
        <v>3657</v>
      </c>
      <c r="L453" s="754"/>
      <c r="M453" s="754"/>
      <c r="N453" s="754"/>
      <c r="O453" s="754"/>
      <c r="P453" s="754"/>
      <c r="Q453" s="754"/>
      <c r="R453" s="754"/>
      <c r="S453" s="754"/>
      <c r="T453" s="754"/>
      <c r="U453" s="754"/>
      <c r="V453" s="754"/>
      <c r="W453" s="754"/>
      <c r="X453" s="754"/>
      <c r="Y453" s="754"/>
      <c r="Z453" s="754"/>
      <c r="AA453" s="754"/>
      <c r="AB453" s="754"/>
      <c r="AC453" s="754"/>
      <c r="AD453" s="754"/>
      <c r="AE453" s="754"/>
      <c r="AF453" s="754"/>
      <c r="AG453" s="754"/>
      <c r="AH453" s="754"/>
      <c r="AI453" s="754"/>
      <c r="AJ453" s="754"/>
      <c r="AK453" s="754"/>
      <c r="AL453" s="754"/>
      <c r="AM453" s="754"/>
      <c r="AN453" s="754"/>
      <c r="AO453" s="754"/>
      <c r="AP453" s="754"/>
      <c r="AQ453" s="754"/>
      <c r="AR453" s="754"/>
      <c r="AS453" s="754"/>
      <c r="AT453" s="754"/>
      <c r="AU453" s="754"/>
    </row>
    <row r="454" ht="15.75" customHeight="1">
      <c r="A454" s="759">
        <v>44398.0</v>
      </c>
      <c r="B454" s="760" t="s">
        <v>3043</v>
      </c>
      <c r="C454" s="761" t="s">
        <v>2376</v>
      </c>
      <c r="D454" s="745" t="s">
        <v>5903</v>
      </c>
      <c r="E454" s="757">
        <v>468601.48</v>
      </c>
      <c r="F454" s="745" t="s">
        <v>3042</v>
      </c>
      <c r="G454" s="755" t="s">
        <v>18</v>
      </c>
      <c r="H454" s="755" t="s">
        <v>145</v>
      </c>
      <c r="I454" s="755" t="s">
        <v>171</v>
      </c>
      <c r="J454" s="755">
        <v>44322.0</v>
      </c>
      <c r="K454" s="758" t="s">
        <v>3651</v>
      </c>
      <c r="L454" s="754"/>
      <c r="M454" s="754"/>
      <c r="N454" s="754"/>
      <c r="O454" s="754"/>
      <c r="P454" s="754"/>
      <c r="Q454" s="754"/>
      <c r="R454" s="754"/>
      <c r="S454" s="754"/>
      <c r="T454" s="754"/>
      <c r="U454" s="754"/>
      <c r="V454" s="754"/>
      <c r="W454" s="754"/>
      <c r="X454" s="754"/>
      <c r="Y454" s="754"/>
      <c r="Z454" s="754"/>
      <c r="AA454" s="754"/>
      <c r="AB454" s="754"/>
      <c r="AC454" s="754"/>
      <c r="AD454" s="754"/>
      <c r="AE454" s="754"/>
      <c r="AF454" s="754"/>
      <c r="AG454" s="754"/>
      <c r="AH454" s="754"/>
      <c r="AI454" s="754"/>
      <c r="AJ454" s="754"/>
      <c r="AK454" s="754"/>
      <c r="AL454" s="754"/>
      <c r="AM454" s="754"/>
      <c r="AN454" s="754"/>
      <c r="AO454" s="754"/>
      <c r="AP454" s="754"/>
      <c r="AQ454" s="754"/>
      <c r="AR454" s="754"/>
      <c r="AS454" s="754"/>
      <c r="AT454" s="754"/>
      <c r="AU454" s="754"/>
    </row>
    <row r="455" ht="15.75" customHeight="1">
      <c r="A455" s="759">
        <v>44398.0</v>
      </c>
      <c r="B455" s="760" t="s">
        <v>3101</v>
      </c>
      <c r="C455" s="761" t="s">
        <v>2376</v>
      </c>
      <c r="D455" s="745" t="s">
        <v>5903</v>
      </c>
      <c r="E455" s="764">
        <v>2200.0</v>
      </c>
      <c r="F455" s="745" t="s">
        <v>1587</v>
      </c>
      <c r="G455" s="755" t="s">
        <v>18</v>
      </c>
      <c r="H455" s="755" t="s">
        <v>145</v>
      </c>
      <c r="I455" s="755" t="s">
        <v>146</v>
      </c>
      <c r="J455" s="755">
        <v>44322.0</v>
      </c>
      <c r="K455" s="758" t="s">
        <v>3651</v>
      </c>
      <c r="L455" s="754"/>
      <c r="M455" s="754"/>
      <c r="N455" s="754"/>
      <c r="O455" s="754"/>
      <c r="P455" s="754"/>
      <c r="Q455" s="754"/>
      <c r="R455" s="754"/>
      <c r="S455" s="754"/>
      <c r="T455" s="754"/>
      <c r="U455" s="754"/>
      <c r="V455" s="754"/>
      <c r="W455" s="754"/>
      <c r="X455" s="754"/>
      <c r="Y455" s="754"/>
      <c r="Z455" s="754"/>
      <c r="AA455" s="754"/>
      <c r="AB455" s="754"/>
      <c r="AC455" s="754"/>
      <c r="AD455" s="754"/>
      <c r="AE455" s="754"/>
      <c r="AF455" s="754"/>
      <c r="AG455" s="754"/>
      <c r="AH455" s="754"/>
      <c r="AI455" s="754"/>
      <c r="AJ455" s="754"/>
      <c r="AK455" s="754"/>
      <c r="AL455" s="754"/>
      <c r="AM455" s="754"/>
      <c r="AN455" s="754"/>
      <c r="AO455" s="754"/>
      <c r="AP455" s="754"/>
      <c r="AQ455" s="754"/>
      <c r="AR455" s="754"/>
      <c r="AS455" s="754"/>
      <c r="AT455" s="754"/>
      <c r="AU455" s="754"/>
    </row>
    <row r="456" ht="15.75" customHeight="1">
      <c r="A456" s="759">
        <v>44399.0</v>
      </c>
      <c r="B456" s="760" t="s">
        <v>3043</v>
      </c>
      <c r="C456" s="761" t="s">
        <v>2376</v>
      </c>
      <c r="D456" s="745" t="s">
        <v>5903</v>
      </c>
      <c r="E456" s="757">
        <v>20000.0</v>
      </c>
      <c r="F456" s="745" t="s">
        <v>3042</v>
      </c>
      <c r="G456" s="755" t="s">
        <v>18</v>
      </c>
      <c r="H456" s="755" t="s">
        <v>145</v>
      </c>
      <c r="I456" s="755" t="s">
        <v>171</v>
      </c>
      <c r="J456" s="755">
        <v>44322.0</v>
      </c>
      <c r="K456" s="758" t="s">
        <v>3651</v>
      </c>
      <c r="L456" s="754"/>
      <c r="M456" s="754"/>
      <c r="N456" s="754"/>
      <c r="O456" s="754"/>
      <c r="P456" s="754"/>
      <c r="Q456" s="754"/>
      <c r="R456" s="754"/>
      <c r="S456" s="754"/>
      <c r="T456" s="754"/>
      <c r="U456" s="754"/>
      <c r="V456" s="754"/>
      <c r="W456" s="754"/>
      <c r="X456" s="754"/>
      <c r="Y456" s="754"/>
      <c r="Z456" s="754"/>
      <c r="AA456" s="754"/>
      <c r="AB456" s="754"/>
      <c r="AC456" s="754"/>
      <c r="AD456" s="754"/>
      <c r="AE456" s="754"/>
      <c r="AF456" s="754"/>
      <c r="AG456" s="754"/>
      <c r="AH456" s="754"/>
      <c r="AI456" s="754"/>
      <c r="AJ456" s="754"/>
      <c r="AK456" s="754"/>
      <c r="AL456" s="754"/>
      <c r="AM456" s="754"/>
      <c r="AN456" s="754"/>
      <c r="AO456" s="754"/>
      <c r="AP456" s="754"/>
      <c r="AQ456" s="754"/>
      <c r="AR456" s="754"/>
      <c r="AS456" s="754"/>
      <c r="AT456" s="754"/>
      <c r="AU456" s="754"/>
    </row>
    <row r="457" ht="15.75" customHeight="1">
      <c r="A457" s="759">
        <v>44400.0</v>
      </c>
      <c r="B457" s="760" t="s">
        <v>2824</v>
      </c>
      <c r="C457" s="761" t="s">
        <v>2376</v>
      </c>
      <c r="D457" s="745" t="s">
        <v>5903</v>
      </c>
      <c r="E457" s="757">
        <v>15000.0</v>
      </c>
      <c r="F457" s="745" t="s">
        <v>2823</v>
      </c>
      <c r="G457" s="755" t="s">
        <v>2379</v>
      </c>
      <c r="H457" s="755" t="s">
        <v>29</v>
      </c>
      <c r="I457" s="755" t="s">
        <v>2392</v>
      </c>
      <c r="J457" s="755">
        <v>43752.0</v>
      </c>
      <c r="K457" s="758" t="s">
        <v>3651</v>
      </c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54"/>
      <c r="AB457" s="754"/>
      <c r="AC457" s="754"/>
      <c r="AD457" s="754"/>
      <c r="AE457" s="754"/>
      <c r="AF457" s="754"/>
      <c r="AG457" s="754"/>
      <c r="AH457" s="754"/>
      <c r="AI457" s="754"/>
      <c r="AJ457" s="754"/>
      <c r="AK457" s="754"/>
      <c r="AL457" s="754"/>
      <c r="AM457" s="754"/>
      <c r="AN457" s="754"/>
      <c r="AO457" s="754"/>
      <c r="AP457" s="754"/>
      <c r="AQ457" s="754"/>
      <c r="AR457" s="754"/>
      <c r="AS457" s="754"/>
      <c r="AT457" s="754"/>
      <c r="AU457" s="754"/>
    </row>
    <row r="458" ht="15.75" customHeight="1">
      <c r="A458" s="759">
        <v>44403.0</v>
      </c>
      <c r="B458" s="760" t="s">
        <v>2398</v>
      </c>
      <c r="C458" s="761" t="s">
        <v>2376</v>
      </c>
      <c r="D458" s="745" t="s">
        <v>5903</v>
      </c>
      <c r="E458" s="757">
        <v>30000.0</v>
      </c>
      <c r="F458" s="745" t="s">
        <v>2397</v>
      </c>
      <c r="G458" s="755" t="s">
        <v>18</v>
      </c>
      <c r="H458" s="755" t="s">
        <v>145</v>
      </c>
      <c r="I458" s="755" t="s">
        <v>171</v>
      </c>
      <c r="J458" s="755">
        <v>44321.0</v>
      </c>
      <c r="K458" s="758" t="s">
        <v>3660</v>
      </c>
      <c r="L458" s="754"/>
      <c r="M458" s="754"/>
      <c r="N458" s="754"/>
      <c r="O458" s="754"/>
      <c r="P458" s="754"/>
      <c r="Q458" s="754"/>
      <c r="R458" s="754"/>
      <c r="S458" s="754"/>
      <c r="T458" s="754"/>
      <c r="U458" s="754"/>
      <c r="V458" s="754"/>
      <c r="W458" s="754"/>
      <c r="X458" s="754"/>
      <c r="Y458" s="754"/>
      <c r="Z458" s="754"/>
      <c r="AA458" s="754"/>
      <c r="AB458" s="754"/>
      <c r="AC458" s="754"/>
      <c r="AD458" s="754"/>
      <c r="AE458" s="754"/>
      <c r="AF458" s="754"/>
      <c r="AG458" s="754"/>
      <c r="AH458" s="754"/>
      <c r="AI458" s="754"/>
      <c r="AJ458" s="754"/>
      <c r="AK458" s="754"/>
      <c r="AL458" s="754"/>
      <c r="AM458" s="754"/>
      <c r="AN458" s="754"/>
      <c r="AO458" s="754"/>
      <c r="AP458" s="754"/>
      <c r="AQ458" s="754"/>
      <c r="AR458" s="754"/>
      <c r="AS458" s="754"/>
      <c r="AT458" s="754"/>
      <c r="AU458" s="754"/>
    </row>
    <row r="459" ht="15.75" customHeight="1">
      <c r="A459" s="759">
        <v>44403.0</v>
      </c>
      <c r="B459" s="760" t="s">
        <v>2773</v>
      </c>
      <c r="C459" s="761" t="s">
        <v>2376</v>
      </c>
      <c r="D459" s="745" t="s">
        <v>5903</v>
      </c>
      <c r="E459" s="757">
        <v>40000.0</v>
      </c>
      <c r="F459" s="745" t="s">
        <v>2772</v>
      </c>
      <c r="G459" s="755" t="s">
        <v>18</v>
      </c>
      <c r="H459" s="755" t="s">
        <v>145</v>
      </c>
      <c r="I459" s="755" t="s">
        <v>146</v>
      </c>
      <c r="J459" s="755">
        <v>44272.0</v>
      </c>
      <c r="K459" s="758" t="s">
        <v>5924</v>
      </c>
      <c r="L459" s="754"/>
      <c r="M459" s="754"/>
      <c r="N459" s="754"/>
      <c r="O459" s="754"/>
      <c r="P459" s="754"/>
      <c r="Q459" s="754"/>
      <c r="R459" s="754"/>
      <c r="S459" s="754"/>
      <c r="T459" s="754"/>
      <c r="U459" s="754"/>
      <c r="V459" s="754"/>
      <c r="W459" s="754"/>
      <c r="X459" s="754"/>
      <c r="Y459" s="754"/>
      <c r="Z459" s="754"/>
      <c r="AA459" s="754"/>
      <c r="AB459" s="754"/>
      <c r="AC459" s="754"/>
      <c r="AD459" s="754"/>
      <c r="AE459" s="754"/>
      <c r="AF459" s="754"/>
      <c r="AG459" s="754"/>
      <c r="AH459" s="754"/>
      <c r="AI459" s="754"/>
      <c r="AJ459" s="754"/>
      <c r="AK459" s="754"/>
      <c r="AL459" s="754"/>
      <c r="AM459" s="754"/>
      <c r="AN459" s="754"/>
      <c r="AO459" s="754"/>
      <c r="AP459" s="754"/>
      <c r="AQ459" s="754"/>
      <c r="AR459" s="754"/>
      <c r="AS459" s="754"/>
      <c r="AT459" s="754"/>
      <c r="AU459" s="754"/>
    </row>
    <row r="460" ht="15.75" customHeight="1">
      <c r="A460" s="759">
        <v>44404.0</v>
      </c>
      <c r="B460" s="760" t="s">
        <v>5970</v>
      </c>
      <c r="C460" s="745" t="s">
        <v>3642</v>
      </c>
      <c r="D460" s="745" t="s">
        <v>5902</v>
      </c>
      <c r="E460" s="757">
        <v>0.0</v>
      </c>
      <c r="F460" s="745" t="s">
        <v>4255</v>
      </c>
      <c r="G460" s="745" t="s">
        <v>18</v>
      </c>
      <c r="H460" s="745" t="s">
        <v>19</v>
      </c>
      <c r="I460" s="745" t="s">
        <v>230</v>
      </c>
      <c r="J460" s="755"/>
      <c r="K460" s="762" t="s">
        <v>3651</v>
      </c>
      <c r="L460" s="754"/>
      <c r="M460" s="754"/>
      <c r="N460" s="754"/>
      <c r="O460" s="754"/>
      <c r="P460" s="754"/>
      <c r="Q460" s="754"/>
      <c r="R460" s="754"/>
      <c r="S460" s="754"/>
      <c r="T460" s="754"/>
      <c r="U460" s="754"/>
      <c r="V460" s="754"/>
      <c r="W460" s="754"/>
      <c r="X460" s="754"/>
      <c r="Y460" s="754"/>
      <c r="Z460" s="754"/>
      <c r="AA460" s="754"/>
      <c r="AB460" s="754"/>
      <c r="AC460" s="754"/>
      <c r="AD460" s="754"/>
      <c r="AE460" s="754"/>
      <c r="AF460" s="754"/>
      <c r="AG460" s="754"/>
      <c r="AH460" s="754"/>
      <c r="AI460" s="754"/>
      <c r="AJ460" s="754"/>
      <c r="AK460" s="754"/>
      <c r="AL460" s="754"/>
      <c r="AM460" s="754"/>
      <c r="AN460" s="754"/>
      <c r="AO460" s="754"/>
      <c r="AP460" s="754"/>
      <c r="AQ460" s="754"/>
      <c r="AR460" s="754"/>
      <c r="AS460" s="754"/>
      <c r="AT460" s="754"/>
      <c r="AU460" s="754"/>
    </row>
    <row r="461" ht="15.75" customHeight="1">
      <c r="A461" s="759">
        <v>44405.0</v>
      </c>
      <c r="B461" s="760" t="s">
        <v>3267</v>
      </c>
      <c r="C461" s="761" t="s">
        <v>2376</v>
      </c>
      <c r="D461" s="745" t="s">
        <v>5903</v>
      </c>
      <c r="E461" s="757">
        <v>100000.0</v>
      </c>
      <c r="F461" s="745" t="s">
        <v>3266</v>
      </c>
      <c r="G461" s="755" t="s">
        <v>18</v>
      </c>
      <c r="H461" s="755" t="s">
        <v>145</v>
      </c>
      <c r="I461" s="755" t="s">
        <v>171</v>
      </c>
      <c r="J461" s="755">
        <v>44319.0</v>
      </c>
      <c r="K461" s="758" t="s">
        <v>3651</v>
      </c>
      <c r="L461" s="754"/>
      <c r="M461" s="754"/>
      <c r="N461" s="754"/>
      <c r="O461" s="754"/>
      <c r="P461" s="754"/>
      <c r="Q461" s="754"/>
      <c r="R461" s="754"/>
      <c r="S461" s="754"/>
      <c r="T461" s="754"/>
      <c r="U461" s="754"/>
      <c r="V461" s="754"/>
      <c r="W461" s="754"/>
      <c r="X461" s="754"/>
      <c r="Y461" s="754"/>
      <c r="Z461" s="754"/>
      <c r="AA461" s="754"/>
      <c r="AB461" s="754"/>
      <c r="AC461" s="754"/>
      <c r="AD461" s="754"/>
      <c r="AE461" s="754"/>
      <c r="AF461" s="754"/>
      <c r="AG461" s="754"/>
      <c r="AH461" s="754"/>
      <c r="AI461" s="754"/>
      <c r="AJ461" s="754"/>
      <c r="AK461" s="754"/>
      <c r="AL461" s="754"/>
      <c r="AM461" s="754"/>
      <c r="AN461" s="754"/>
      <c r="AO461" s="754"/>
      <c r="AP461" s="754"/>
      <c r="AQ461" s="754"/>
      <c r="AR461" s="754"/>
      <c r="AS461" s="754"/>
      <c r="AT461" s="754"/>
      <c r="AU461" s="754"/>
    </row>
    <row r="462" ht="15.75" customHeight="1">
      <c r="A462" s="759">
        <v>44406.0</v>
      </c>
      <c r="B462" s="760" t="s">
        <v>2794</v>
      </c>
      <c r="C462" s="761" t="s">
        <v>2376</v>
      </c>
      <c r="D462" s="745" t="s">
        <v>2387</v>
      </c>
      <c r="E462" s="757">
        <v>15000.0</v>
      </c>
      <c r="F462" s="745" t="s">
        <v>2793</v>
      </c>
      <c r="G462" s="755" t="s">
        <v>2379</v>
      </c>
      <c r="H462" s="755" t="s">
        <v>29</v>
      </c>
      <c r="I462" s="755" t="s">
        <v>2380</v>
      </c>
      <c r="J462" s="755">
        <v>43859.0</v>
      </c>
      <c r="K462" s="758" t="s">
        <v>3660</v>
      </c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54"/>
      <c r="AB462" s="754"/>
      <c r="AC462" s="754"/>
      <c r="AD462" s="754"/>
      <c r="AE462" s="754"/>
      <c r="AF462" s="754"/>
      <c r="AG462" s="754"/>
      <c r="AH462" s="754"/>
      <c r="AI462" s="754"/>
      <c r="AJ462" s="754"/>
      <c r="AK462" s="754"/>
      <c r="AL462" s="754"/>
      <c r="AM462" s="754"/>
      <c r="AN462" s="754"/>
      <c r="AO462" s="754"/>
      <c r="AP462" s="754"/>
      <c r="AQ462" s="754"/>
      <c r="AR462" s="754"/>
      <c r="AS462" s="754"/>
      <c r="AT462" s="754"/>
      <c r="AU462" s="754"/>
    </row>
    <row r="463" ht="15.75" customHeight="1">
      <c r="A463" s="759">
        <v>44407.0</v>
      </c>
      <c r="B463" s="760" t="s">
        <v>5971</v>
      </c>
      <c r="C463" s="761" t="s">
        <v>3642</v>
      </c>
      <c r="D463" s="745" t="s">
        <v>5903</v>
      </c>
      <c r="E463" s="757">
        <v>3440319.83</v>
      </c>
      <c r="F463" s="745" t="s">
        <v>4193</v>
      </c>
      <c r="G463" s="745" t="s">
        <v>18</v>
      </c>
      <c r="H463" s="745" t="s">
        <v>29</v>
      </c>
      <c r="I463" s="745" t="s">
        <v>3533</v>
      </c>
      <c r="J463" s="755"/>
      <c r="K463" s="762" t="s">
        <v>3664</v>
      </c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54"/>
      <c r="AB463" s="754"/>
      <c r="AC463" s="754"/>
      <c r="AD463" s="754"/>
      <c r="AE463" s="754"/>
      <c r="AF463" s="754"/>
      <c r="AG463" s="754"/>
      <c r="AH463" s="754"/>
      <c r="AI463" s="754"/>
      <c r="AJ463" s="754"/>
      <c r="AK463" s="754"/>
      <c r="AL463" s="754"/>
      <c r="AM463" s="754"/>
      <c r="AN463" s="754"/>
      <c r="AO463" s="754"/>
      <c r="AP463" s="754"/>
      <c r="AQ463" s="754"/>
      <c r="AR463" s="754"/>
      <c r="AS463" s="754"/>
      <c r="AT463" s="754"/>
      <c r="AU463" s="754"/>
    </row>
    <row r="464" ht="15.75" customHeight="1">
      <c r="A464" s="759">
        <v>44407.0</v>
      </c>
      <c r="B464" s="760" t="s">
        <v>3043</v>
      </c>
      <c r="C464" s="761" t="s">
        <v>2376</v>
      </c>
      <c r="D464" s="745" t="s">
        <v>5903</v>
      </c>
      <c r="E464" s="757">
        <v>10000.0</v>
      </c>
      <c r="F464" s="745" t="s">
        <v>3042</v>
      </c>
      <c r="G464" s="755" t="s">
        <v>18</v>
      </c>
      <c r="H464" s="755" t="s">
        <v>145</v>
      </c>
      <c r="I464" s="755" t="s">
        <v>171</v>
      </c>
      <c r="J464" s="755">
        <v>44322.0</v>
      </c>
      <c r="K464" s="758" t="s">
        <v>3651</v>
      </c>
      <c r="L464" s="754"/>
      <c r="M464" s="754"/>
      <c r="N464" s="754"/>
      <c r="O464" s="754"/>
      <c r="P464" s="754"/>
      <c r="Q464" s="754"/>
      <c r="R464" s="754"/>
      <c r="S464" s="754"/>
      <c r="T464" s="754"/>
      <c r="U464" s="754"/>
      <c r="V464" s="754"/>
      <c r="W464" s="754"/>
      <c r="X464" s="754"/>
      <c r="Y464" s="754"/>
      <c r="Z464" s="754"/>
      <c r="AA464" s="754"/>
      <c r="AB464" s="754"/>
      <c r="AC464" s="754"/>
      <c r="AD464" s="754"/>
      <c r="AE464" s="754"/>
      <c r="AF464" s="754"/>
      <c r="AG464" s="754"/>
      <c r="AH464" s="754"/>
      <c r="AI464" s="754"/>
      <c r="AJ464" s="754"/>
      <c r="AK464" s="754"/>
      <c r="AL464" s="754"/>
      <c r="AM464" s="754"/>
      <c r="AN464" s="754"/>
      <c r="AO464" s="754"/>
      <c r="AP464" s="754"/>
      <c r="AQ464" s="754"/>
      <c r="AR464" s="754"/>
      <c r="AS464" s="754"/>
      <c r="AT464" s="754"/>
      <c r="AU464" s="754"/>
    </row>
    <row r="465" ht="15.75" customHeight="1">
      <c r="A465" s="759">
        <v>44407.0</v>
      </c>
      <c r="B465" s="760" t="s">
        <v>5941</v>
      </c>
      <c r="C465" s="761" t="s">
        <v>3642</v>
      </c>
      <c r="D465" s="745" t="s">
        <v>5903</v>
      </c>
      <c r="E465" s="757">
        <v>155000.0</v>
      </c>
      <c r="F465" s="745" t="s">
        <v>4928</v>
      </c>
      <c r="G465" s="734" t="s">
        <v>86</v>
      </c>
      <c r="H465" s="745" t="s">
        <v>29</v>
      </c>
      <c r="I465" s="734" t="s">
        <v>4314</v>
      </c>
      <c r="J465" s="778">
        <v>44180.0</v>
      </c>
      <c r="K465" s="762" t="s">
        <v>3651</v>
      </c>
      <c r="L465" s="754"/>
      <c r="M465" s="754"/>
      <c r="N465" s="754"/>
      <c r="O465" s="754"/>
      <c r="P465" s="754"/>
      <c r="Q465" s="754"/>
      <c r="R465" s="754"/>
      <c r="S465" s="754"/>
      <c r="T465" s="754"/>
      <c r="U465" s="754"/>
      <c r="V465" s="754"/>
      <c r="W465" s="754"/>
      <c r="X465" s="754"/>
      <c r="Y465" s="754"/>
      <c r="Z465" s="754"/>
      <c r="AA465" s="754"/>
      <c r="AB465" s="754"/>
      <c r="AC465" s="754"/>
      <c r="AD465" s="754"/>
      <c r="AE465" s="754"/>
      <c r="AF465" s="754"/>
      <c r="AG465" s="754"/>
      <c r="AH465" s="754"/>
      <c r="AI465" s="754"/>
      <c r="AJ465" s="754"/>
      <c r="AK465" s="754"/>
      <c r="AL465" s="754"/>
      <c r="AM465" s="754"/>
      <c r="AN465" s="754"/>
      <c r="AO465" s="754"/>
      <c r="AP465" s="754"/>
      <c r="AQ465" s="754"/>
      <c r="AR465" s="754"/>
      <c r="AS465" s="754"/>
      <c r="AT465" s="754"/>
      <c r="AU465" s="754"/>
    </row>
    <row r="466" ht="15.75" customHeight="1">
      <c r="A466" s="784">
        <v>44407.0</v>
      </c>
      <c r="B466" s="785" t="s">
        <v>5972</v>
      </c>
      <c r="C466" s="786" t="s">
        <v>3642</v>
      </c>
      <c r="D466" s="787" t="s">
        <v>5903</v>
      </c>
      <c r="E466" s="788">
        <v>5000.0</v>
      </c>
      <c r="F466" s="787" t="s">
        <v>544</v>
      </c>
      <c r="G466" s="787" t="s">
        <v>18</v>
      </c>
      <c r="H466" s="787" t="s">
        <v>19</v>
      </c>
      <c r="I466" s="787" t="s">
        <v>230</v>
      </c>
      <c r="J466" s="789">
        <v>44407.0</v>
      </c>
      <c r="K466" s="790" t="s">
        <v>3647</v>
      </c>
      <c r="L466" s="754"/>
      <c r="M466" s="754"/>
      <c r="N466" s="754"/>
      <c r="O466" s="754"/>
      <c r="P466" s="754"/>
      <c r="Q466" s="754"/>
      <c r="R466" s="754"/>
      <c r="S466" s="754"/>
      <c r="T466" s="754"/>
      <c r="U466" s="754"/>
      <c r="V466" s="754"/>
      <c r="W466" s="754"/>
      <c r="X466" s="754"/>
      <c r="Y466" s="754"/>
      <c r="Z466" s="754"/>
      <c r="AA466" s="754"/>
      <c r="AB466" s="754"/>
      <c r="AC466" s="754"/>
      <c r="AD466" s="754"/>
      <c r="AE466" s="754"/>
      <c r="AF466" s="754"/>
      <c r="AG466" s="754"/>
      <c r="AH466" s="754"/>
      <c r="AI466" s="754"/>
      <c r="AJ466" s="754"/>
      <c r="AK466" s="754"/>
      <c r="AL466" s="754"/>
      <c r="AM466" s="754"/>
      <c r="AN466" s="754"/>
      <c r="AO466" s="754"/>
      <c r="AP466" s="754"/>
      <c r="AQ466" s="754"/>
      <c r="AR466" s="754"/>
      <c r="AS466" s="754"/>
      <c r="AT466" s="754"/>
      <c r="AU466" s="754"/>
    </row>
    <row r="467" ht="15.75" customHeight="1">
      <c r="A467" s="755">
        <v>44408.0</v>
      </c>
      <c r="B467" s="756" t="s">
        <v>5955</v>
      </c>
      <c r="C467" s="745" t="s">
        <v>3642</v>
      </c>
      <c r="D467" s="745" t="s">
        <v>5902</v>
      </c>
      <c r="E467" s="757">
        <v>0.0</v>
      </c>
      <c r="F467" s="745" t="s">
        <v>4796</v>
      </c>
      <c r="G467" s="745" t="s">
        <v>86</v>
      </c>
      <c r="H467" s="745" t="s">
        <v>29</v>
      </c>
      <c r="I467" s="745" t="s">
        <v>3486</v>
      </c>
      <c r="J467" s="755">
        <v>44090.0</v>
      </c>
      <c r="K467" s="762" t="s">
        <v>3660</v>
      </c>
      <c r="L467" s="754"/>
      <c r="M467" s="754"/>
      <c r="N467" s="754"/>
      <c r="O467" s="754"/>
      <c r="P467" s="754"/>
      <c r="Q467" s="754"/>
      <c r="R467" s="754"/>
      <c r="S467" s="754"/>
      <c r="T467" s="754"/>
      <c r="U467" s="754"/>
      <c r="V467" s="754"/>
      <c r="W467" s="754"/>
      <c r="X467" s="754"/>
      <c r="Y467" s="754"/>
      <c r="Z467" s="754"/>
      <c r="AA467" s="754"/>
      <c r="AB467" s="754"/>
      <c r="AC467" s="754"/>
      <c r="AD467" s="754"/>
      <c r="AE467" s="754"/>
      <c r="AF467" s="754"/>
      <c r="AG467" s="754"/>
      <c r="AH467" s="754"/>
      <c r="AI467" s="754"/>
      <c r="AJ467" s="754"/>
      <c r="AK467" s="754"/>
      <c r="AL467" s="754"/>
      <c r="AM467" s="754"/>
      <c r="AN467" s="754"/>
      <c r="AO467" s="754"/>
      <c r="AP467" s="754"/>
      <c r="AQ467" s="754"/>
      <c r="AR467" s="754"/>
      <c r="AS467" s="754"/>
      <c r="AT467" s="754"/>
      <c r="AU467" s="754"/>
    </row>
    <row r="468" ht="15.75" customHeight="1">
      <c r="A468" s="759">
        <v>44410.0</v>
      </c>
      <c r="B468" s="760" t="s">
        <v>2496</v>
      </c>
      <c r="C468" s="761" t="s">
        <v>2376</v>
      </c>
      <c r="D468" s="745" t="s">
        <v>5903</v>
      </c>
      <c r="E468" s="757">
        <v>150000.0</v>
      </c>
      <c r="F468" s="745" t="s">
        <v>2495</v>
      </c>
      <c r="G468" s="755" t="s">
        <v>18</v>
      </c>
      <c r="H468" s="755" t="s">
        <v>145</v>
      </c>
      <c r="I468" s="755" t="s">
        <v>171</v>
      </c>
      <c r="J468" s="755">
        <v>44295.0</v>
      </c>
      <c r="K468" s="758" t="s">
        <v>3647</v>
      </c>
      <c r="L468" s="754"/>
      <c r="M468" s="754"/>
      <c r="N468" s="754"/>
      <c r="O468" s="754"/>
      <c r="P468" s="754"/>
      <c r="Q468" s="754"/>
      <c r="R468" s="754"/>
      <c r="S468" s="754"/>
      <c r="T468" s="754"/>
      <c r="U468" s="754"/>
      <c r="V468" s="754"/>
      <c r="W468" s="754"/>
      <c r="X468" s="754"/>
      <c r="Y468" s="754"/>
      <c r="Z468" s="754"/>
      <c r="AA468" s="754"/>
      <c r="AB468" s="754"/>
      <c r="AC468" s="754"/>
      <c r="AD468" s="754"/>
      <c r="AE468" s="754"/>
      <c r="AF468" s="754"/>
      <c r="AG468" s="754"/>
      <c r="AH468" s="754"/>
      <c r="AI468" s="754"/>
      <c r="AJ468" s="754"/>
      <c r="AK468" s="754"/>
      <c r="AL468" s="754"/>
      <c r="AM468" s="754"/>
      <c r="AN468" s="754"/>
      <c r="AO468" s="754"/>
      <c r="AP468" s="754"/>
      <c r="AQ468" s="754"/>
      <c r="AR468" s="754"/>
      <c r="AS468" s="754"/>
      <c r="AT468" s="754"/>
      <c r="AU468" s="754"/>
    </row>
    <row r="469" ht="15.75" customHeight="1">
      <c r="A469" s="759">
        <v>44410.0</v>
      </c>
      <c r="B469" s="760" t="s">
        <v>2676</v>
      </c>
      <c r="C469" s="761" t="s">
        <v>2376</v>
      </c>
      <c r="D469" s="745" t="s">
        <v>5903</v>
      </c>
      <c r="E469" s="757">
        <v>13000.0</v>
      </c>
      <c r="F469" s="745" t="s">
        <v>691</v>
      </c>
      <c r="G469" s="755" t="s">
        <v>18</v>
      </c>
      <c r="H469" s="755" t="s">
        <v>145</v>
      </c>
      <c r="I469" s="755" t="s">
        <v>146</v>
      </c>
      <c r="J469" s="755">
        <v>44321.0</v>
      </c>
      <c r="K469" s="758" t="s">
        <v>3651</v>
      </c>
      <c r="L469" s="754"/>
      <c r="M469" s="754"/>
      <c r="N469" s="754"/>
      <c r="O469" s="754"/>
      <c r="P469" s="754"/>
      <c r="Q469" s="754"/>
      <c r="R469" s="754"/>
      <c r="S469" s="754"/>
      <c r="T469" s="754"/>
      <c r="U469" s="754"/>
      <c r="V469" s="754"/>
      <c r="W469" s="754"/>
      <c r="X469" s="754"/>
      <c r="Y469" s="754"/>
      <c r="Z469" s="754"/>
      <c r="AA469" s="754"/>
      <c r="AB469" s="754"/>
      <c r="AC469" s="754"/>
      <c r="AD469" s="754"/>
      <c r="AE469" s="754"/>
      <c r="AF469" s="754"/>
      <c r="AG469" s="754"/>
      <c r="AH469" s="754"/>
      <c r="AI469" s="754"/>
      <c r="AJ469" s="754"/>
      <c r="AK469" s="754"/>
      <c r="AL469" s="754"/>
      <c r="AM469" s="754"/>
      <c r="AN469" s="754"/>
      <c r="AO469" s="754"/>
      <c r="AP469" s="754"/>
      <c r="AQ469" s="754"/>
      <c r="AR469" s="754"/>
      <c r="AS469" s="754"/>
      <c r="AT469" s="754"/>
      <c r="AU469" s="754"/>
    </row>
    <row r="470" ht="15.75" customHeight="1">
      <c r="A470" s="759">
        <v>44410.0</v>
      </c>
      <c r="B470" s="760" t="s">
        <v>5973</v>
      </c>
      <c r="C470" s="761" t="s">
        <v>3642</v>
      </c>
      <c r="D470" s="745" t="s">
        <v>5903</v>
      </c>
      <c r="E470" s="757">
        <v>199844.32</v>
      </c>
      <c r="F470" s="745" t="s">
        <v>4232</v>
      </c>
      <c r="G470" s="745" t="s">
        <v>86</v>
      </c>
      <c r="H470" s="745" t="s">
        <v>29</v>
      </c>
      <c r="I470" s="745" t="s">
        <v>3486</v>
      </c>
      <c r="J470" s="755">
        <v>44228.0</v>
      </c>
      <c r="K470" s="762" t="s">
        <v>3647</v>
      </c>
      <c r="L470" s="754"/>
      <c r="M470" s="754"/>
      <c r="N470" s="754"/>
      <c r="O470" s="754"/>
      <c r="P470" s="754"/>
      <c r="Q470" s="754"/>
      <c r="R470" s="754"/>
      <c r="S470" s="754"/>
      <c r="T470" s="754"/>
      <c r="U470" s="754"/>
      <c r="V470" s="754"/>
      <c r="W470" s="754"/>
      <c r="X470" s="754"/>
      <c r="Y470" s="754"/>
      <c r="Z470" s="754"/>
      <c r="AA470" s="754"/>
      <c r="AB470" s="754"/>
      <c r="AC470" s="754"/>
      <c r="AD470" s="754"/>
      <c r="AE470" s="754"/>
      <c r="AF470" s="754"/>
      <c r="AG470" s="754"/>
      <c r="AH470" s="754"/>
      <c r="AI470" s="754"/>
      <c r="AJ470" s="754"/>
      <c r="AK470" s="754"/>
      <c r="AL470" s="754"/>
      <c r="AM470" s="754"/>
      <c r="AN470" s="754"/>
      <c r="AO470" s="754"/>
      <c r="AP470" s="754"/>
      <c r="AQ470" s="754"/>
      <c r="AR470" s="754"/>
      <c r="AS470" s="754"/>
      <c r="AT470" s="754"/>
      <c r="AU470" s="754"/>
    </row>
    <row r="471" ht="15.75" customHeight="1">
      <c r="A471" s="759">
        <v>44410.0</v>
      </c>
      <c r="B471" s="760" t="s">
        <v>3043</v>
      </c>
      <c r="C471" s="761" t="s">
        <v>2376</v>
      </c>
      <c r="D471" s="745" t="s">
        <v>5903</v>
      </c>
      <c r="E471" s="757">
        <v>10000.0</v>
      </c>
      <c r="F471" s="745" t="s">
        <v>3042</v>
      </c>
      <c r="G471" s="755" t="s">
        <v>18</v>
      </c>
      <c r="H471" s="755" t="s">
        <v>145</v>
      </c>
      <c r="I471" s="755" t="s">
        <v>171</v>
      </c>
      <c r="J471" s="755">
        <v>44322.0</v>
      </c>
      <c r="K471" s="758" t="s">
        <v>3651</v>
      </c>
      <c r="L471" s="754"/>
      <c r="M471" s="754"/>
      <c r="N471" s="754"/>
      <c r="O471" s="754"/>
      <c r="P471" s="754"/>
      <c r="Q471" s="754"/>
      <c r="R471" s="754"/>
      <c r="S471" s="754"/>
      <c r="T471" s="754"/>
      <c r="U471" s="754"/>
      <c r="V471" s="754"/>
      <c r="W471" s="754"/>
      <c r="X471" s="754"/>
      <c r="Y471" s="754"/>
      <c r="Z471" s="754"/>
      <c r="AA471" s="754"/>
      <c r="AB471" s="754"/>
      <c r="AC471" s="754"/>
      <c r="AD471" s="754"/>
      <c r="AE471" s="754"/>
      <c r="AF471" s="754"/>
      <c r="AG471" s="754"/>
      <c r="AH471" s="754"/>
      <c r="AI471" s="754"/>
      <c r="AJ471" s="754"/>
      <c r="AK471" s="754"/>
      <c r="AL471" s="754"/>
      <c r="AM471" s="754"/>
      <c r="AN471" s="754"/>
      <c r="AO471" s="754"/>
      <c r="AP471" s="754"/>
      <c r="AQ471" s="754"/>
      <c r="AR471" s="754"/>
      <c r="AS471" s="754"/>
      <c r="AT471" s="754"/>
      <c r="AU471" s="754"/>
    </row>
    <row r="472" ht="15.75" customHeight="1">
      <c r="A472" s="759">
        <v>44411.0</v>
      </c>
      <c r="B472" s="760" t="s">
        <v>2773</v>
      </c>
      <c r="C472" s="761" t="s">
        <v>2376</v>
      </c>
      <c r="D472" s="745" t="s">
        <v>2387</v>
      </c>
      <c r="E472" s="757">
        <v>30000.0</v>
      </c>
      <c r="F472" s="745" t="s">
        <v>2772</v>
      </c>
      <c r="G472" s="755" t="s">
        <v>18</v>
      </c>
      <c r="H472" s="755" t="s">
        <v>145</v>
      </c>
      <c r="I472" s="755" t="s">
        <v>146</v>
      </c>
      <c r="J472" s="755">
        <v>44272.0</v>
      </c>
      <c r="K472" s="758" t="s">
        <v>5924</v>
      </c>
      <c r="L472" s="754"/>
      <c r="M472" s="754"/>
      <c r="N472" s="754"/>
      <c r="O472" s="754"/>
      <c r="P472" s="754"/>
      <c r="Q472" s="754"/>
      <c r="R472" s="754"/>
      <c r="S472" s="754"/>
      <c r="T472" s="754"/>
      <c r="U472" s="754"/>
      <c r="V472" s="754"/>
      <c r="W472" s="754"/>
      <c r="X472" s="754"/>
      <c r="Y472" s="754"/>
      <c r="Z472" s="754"/>
      <c r="AA472" s="754"/>
      <c r="AB472" s="754"/>
      <c r="AC472" s="754"/>
      <c r="AD472" s="754"/>
      <c r="AE472" s="754"/>
      <c r="AF472" s="754"/>
      <c r="AG472" s="754"/>
      <c r="AH472" s="754"/>
      <c r="AI472" s="754"/>
      <c r="AJ472" s="754"/>
      <c r="AK472" s="754"/>
      <c r="AL472" s="754"/>
      <c r="AM472" s="754"/>
      <c r="AN472" s="754"/>
      <c r="AO472" s="754"/>
      <c r="AP472" s="754"/>
      <c r="AQ472" s="754"/>
      <c r="AR472" s="754"/>
      <c r="AS472" s="754"/>
      <c r="AT472" s="754"/>
      <c r="AU472" s="754"/>
    </row>
    <row r="473" ht="15.75" customHeight="1">
      <c r="A473" s="755">
        <v>44412.0</v>
      </c>
      <c r="B473" s="756" t="s">
        <v>5974</v>
      </c>
      <c r="C473" s="745" t="s">
        <v>3642</v>
      </c>
      <c r="D473" s="745" t="s">
        <v>5902</v>
      </c>
      <c r="E473" s="757">
        <v>0.0</v>
      </c>
      <c r="F473" s="745" t="s">
        <v>3881</v>
      </c>
      <c r="G473" s="745" t="s">
        <v>18</v>
      </c>
      <c r="H473" s="745" t="s">
        <v>29</v>
      </c>
      <c r="I473" s="745" t="s">
        <v>3650</v>
      </c>
      <c r="J473" s="755">
        <v>44141.0</v>
      </c>
      <c r="K473" s="762" t="s">
        <v>3651</v>
      </c>
      <c r="L473" s="754"/>
      <c r="M473" s="754"/>
      <c r="N473" s="754"/>
      <c r="O473" s="754"/>
      <c r="P473" s="754"/>
      <c r="Q473" s="754"/>
      <c r="R473" s="754"/>
      <c r="S473" s="754"/>
      <c r="T473" s="754"/>
      <c r="U473" s="754"/>
      <c r="V473" s="754"/>
      <c r="W473" s="754"/>
      <c r="X473" s="754"/>
      <c r="Y473" s="754"/>
      <c r="Z473" s="754"/>
      <c r="AA473" s="754"/>
      <c r="AB473" s="754"/>
      <c r="AC473" s="754"/>
      <c r="AD473" s="754"/>
      <c r="AE473" s="754"/>
      <c r="AF473" s="754"/>
      <c r="AG473" s="754"/>
      <c r="AH473" s="754"/>
      <c r="AI473" s="754"/>
      <c r="AJ473" s="754"/>
      <c r="AK473" s="754"/>
      <c r="AL473" s="754"/>
      <c r="AM473" s="754"/>
      <c r="AN473" s="754"/>
      <c r="AO473" s="754"/>
      <c r="AP473" s="754"/>
      <c r="AQ473" s="754"/>
      <c r="AR473" s="754"/>
      <c r="AS473" s="754"/>
      <c r="AT473" s="754"/>
      <c r="AU473" s="754"/>
    </row>
    <row r="474" ht="15.75" customHeight="1">
      <c r="A474" s="759">
        <v>44412.0</v>
      </c>
      <c r="B474" s="760" t="s">
        <v>2811</v>
      </c>
      <c r="C474" s="761" t="s">
        <v>2376</v>
      </c>
      <c r="D474" s="745" t="s">
        <v>5903</v>
      </c>
      <c r="E474" s="757">
        <v>6000.0</v>
      </c>
      <c r="F474" s="745" t="s">
        <v>2810</v>
      </c>
      <c r="G474" s="755" t="s">
        <v>2379</v>
      </c>
      <c r="H474" s="755" t="s">
        <v>29</v>
      </c>
      <c r="I474" s="755" t="s">
        <v>2380</v>
      </c>
      <c r="J474" s="755">
        <v>43703.0</v>
      </c>
      <c r="K474" s="758" t="s">
        <v>4033</v>
      </c>
      <c r="L474" s="754"/>
      <c r="M474" s="754"/>
      <c r="N474" s="754"/>
      <c r="O474" s="754"/>
      <c r="P474" s="754"/>
      <c r="Q474" s="754"/>
      <c r="R474" s="754"/>
      <c r="S474" s="754"/>
      <c r="T474" s="754"/>
      <c r="U474" s="754"/>
      <c r="V474" s="754"/>
      <c r="W474" s="754"/>
      <c r="X474" s="754"/>
      <c r="Y474" s="754"/>
      <c r="Z474" s="754"/>
      <c r="AA474" s="754"/>
      <c r="AB474" s="754"/>
      <c r="AC474" s="754"/>
      <c r="AD474" s="754"/>
      <c r="AE474" s="754"/>
      <c r="AF474" s="754"/>
      <c r="AG474" s="754"/>
      <c r="AH474" s="754"/>
      <c r="AI474" s="754"/>
      <c r="AJ474" s="754"/>
      <c r="AK474" s="754"/>
      <c r="AL474" s="754"/>
      <c r="AM474" s="754"/>
      <c r="AN474" s="754"/>
      <c r="AO474" s="754"/>
      <c r="AP474" s="754"/>
      <c r="AQ474" s="754"/>
      <c r="AR474" s="754"/>
      <c r="AS474" s="754"/>
      <c r="AT474" s="754"/>
      <c r="AU474" s="754"/>
    </row>
    <row r="475" ht="15.75" customHeight="1">
      <c r="A475" s="759">
        <v>44412.0</v>
      </c>
      <c r="B475" s="760" t="s">
        <v>5975</v>
      </c>
      <c r="C475" s="761" t="s">
        <v>3642</v>
      </c>
      <c r="D475" s="745" t="s">
        <v>5903</v>
      </c>
      <c r="E475" s="757">
        <v>20000.0</v>
      </c>
      <c r="F475" s="745" t="s">
        <v>3877</v>
      </c>
      <c r="G475" s="745" t="s">
        <v>2379</v>
      </c>
      <c r="H475" s="745" t="s">
        <v>29</v>
      </c>
      <c r="I475" s="745" t="s">
        <v>2379</v>
      </c>
      <c r="J475" s="755">
        <v>44235.0</v>
      </c>
      <c r="K475" s="762" t="s">
        <v>3651</v>
      </c>
      <c r="L475" s="754"/>
      <c r="M475" s="754"/>
      <c r="N475" s="754"/>
      <c r="O475" s="754"/>
      <c r="P475" s="754"/>
      <c r="Q475" s="754"/>
      <c r="R475" s="754"/>
      <c r="S475" s="754"/>
      <c r="T475" s="754"/>
      <c r="U475" s="754"/>
      <c r="V475" s="754"/>
      <c r="W475" s="754"/>
      <c r="X475" s="754"/>
      <c r="Y475" s="754"/>
      <c r="Z475" s="754"/>
      <c r="AA475" s="754"/>
      <c r="AB475" s="754"/>
      <c r="AC475" s="754"/>
      <c r="AD475" s="754"/>
      <c r="AE475" s="754"/>
      <c r="AF475" s="754"/>
      <c r="AG475" s="754"/>
      <c r="AH475" s="754"/>
      <c r="AI475" s="754"/>
      <c r="AJ475" s="754"/>
      <c r="AK475" s="754"/>
      <c r="AL475" s="754"/>
      <c r="AM475" s="754"/>
      <c r="AN475" s="754"/>
      <c r="AO475" s="754"/>
      <c r="AP475" s="754"/>
      <c r="AQ475" s="754"/>
      <c r="AR475" s="754"/>
      <c r="AS475" s="754"/>
      <c r="AT475" s="754"/>
      <c r="AU475" s="754"/>
    </row>
    <row r="476" ht="15.75" customHeight="1">
      <c r="A476" s="759">
        <v>44412.0</v>
      </c>
      <c r="B476" s="760" t="s">
        <v>3416</v>
      </c>
      <c r="C476" s="761" t="s">
        <v>2376</v>
      </c>
      <c r="D476" s="745" t="s">
        <v>5903</v>
      </c>
      <c r="E476" s="757">
        <v>16000.0</v>
      </c>
      <c r="F476" s="745" t="s">
        <v>3415</v>
      </c>
      <c r="G476" s="755" t="s">
        <v>2379</v>
      </c>
      <c r="H476" s="755" t="s">
        <v>29</v>
      </c>
      <c r="I476" s="755" t="s">
        <v>2380</v>
      </c>
      <c r="J476" s="755">
        <v>43567.0</v>
      </c>
      <c r="K476" s="758" t="s">
        <v>3651</v>
      </c>
      <c r="L476" s="754"/>
      <c r="M476" s="754"/>
      <c r="N476" s="754"/>
      <c r="O476" s="754"/>
      <c r="P476" s="754"/>
      <c r="Q476" s="754"/>
      <c r="R476" s="754"/>
      <c r="S476" s="754"/>
      <c r="T476" s="754"/>
      <c r="U476" s="754"/>
      <c r="V476" s="754"/>
      <c r="W476" s="754"/>
      <c r="X476" s="754"/>
      <c r="Y476" s="754"/>
      <c r="Z476" s="754"/>
      <c r="AA476" s="754"/>
      <c r="AB476" s="754"/>
      <c r="AC476" s="754"/>
      <c r="AD476" s="754"/>
      <c r="AE476" s="754"/>
      <c r="AF476" s="754"/>
      <c r="AG476" s="754"/>
      <c r="AH476" s="754"/>
      <c r="AI476" s="754"/>
      <c r="AJ476" s="754"/>
      <c r="AK476" s="754"/>
      <c r="AL476" s="754"/>
      <c r="AM476" s="754"/>
      <c r="AN476" s="754"/>
      <c r="AO476" s="754"/>
      <c r="AP476" s="754"/>
      <c r="AQ476" s="754"/>
      <c r="AR476" s="754"/>
      <c r="AS476" s="754"/>
      <c r="AT476" s="754"/>
      <c r="AU476" s="754"/>
    </row>
    <row r="477" ht="15.75" customHeight="1">
      <c r="A477" s="755">
        <v>44413.0</v>
      </c>
      <c r="B477" s="756" t="s">
        <v>5976</v>
      </c>
      <c r="C477" s="745" t="s">
        <v>3642</v>
      </c>
      <c r="D477" s="745" t="s">
        <v>5902</v>
      </c>
      <c r="E477" s="757">
        <v>0.0</v>
      </c>
      <c r="F477" s="745" t="s">
        <v>3817</v>
      </c>
      <c r="G477" s="745" t="s">
        <v>86</v>
      </c>
      <c r="H477" s="745" t="s">
        <v>29</v>
      </c>
      <c r="I477" s="745" t="s">
        <v>3818</v>
      </c>
      <c r="J477" s="755">
        <v>44120.0</v>
      </c>
      <c r="K477" s="762" t="s">
        <v>3651</v>
      </c>
      <c r="L477" s="754"/>
      <c r="M477" s="754"/>
      <c r="N477" s="754"/>
      <c r="O477" s="754"/>
      <c r="P477" s="754"/>
      <c r="Q477" s="754"/>
      <c r="R477" s="754"/>
      <c r="S477" s="754"/>
      <c r="T477" s="754"/>
      <c r="U477" s="754"/>
      <c r="V477" s="754"/>
      <c r="W477" s="754"/>
      <c r="X477" s="754"/>
      <c r="Y477" s="754"/>
      <c r="Z477" s="754"/>
      <c r="AA477" s="754"/>
      <c r="AB477" s="754"/>
      <c r="AC477" s="754"/>
      <c r="AD477" s="754"/>
      <c r="AE477" s="754"/>
      <c r="AF477" s="754"/>
      <c r="AG477" s="754"/>
      <c r="AH477" s="754"/>
      <c r="AI477" s="754"/>
      <c r="AJ477" s="754"/>
      <c r="AK477" s="754"/>
      <c r="AL477" s="754"/>
      <c r="AM477" s="754"/>
      <c r="AN477" s="754"/>
      <c r="AO477" s="754"/>
      <c r="AP477" s="754"/>
      <c r="AQ477" s="754"/>
      <c r="AR477" s="754"/>
      <c r="AS477" s="754"/>
      <c r="AT477" s="754"/>
      <c r="AU477" s="754"/>
    </row>
    <row r="478" ht="15.75" customHeight="1">
      <c r="A478" s="759">
        <v>44413.0</v>
      </c>
      <c r="B478" s="760" t="s">
        <v>2628</v>
      </c>
      <c r="C478" s="761" t="s">
        <v>2376</v>
      </c>
      <c r="D478" s="745" t="s">
        <v>5903</v>
      </c>
      <c r="E478" s="757">
        <v>500.0</v>
      </c>
      <c r="F478" s="745" t="s">
        <v>582</v>
      </c>
      <c r="G478" s="755" t="s">
        <v>18</v>
      </c>
      <c r="H478" s="755" t="s">
        <v>145</v>
      </c>
      <c r="I478" s="755" t="s">
        <v>146</v>
      </c>
      <c r="J478" s="755">
        <v>44280.0</v>
      </c>
      <c r="K478" s="758" t="s">
        <v>3651</v>
      </c>
      <c r="L478" s="754"/>
      <c r="M478" s="754"/>
      <c r="N478" s="754"/>
      <c r="O478" s="754"/>
      <c r="P478" s="754"/>
      <c r="Q478" s="754"/>
      <c r="R478" s="754"/>
      <c r="S478" s="754"/>
      <c r="T478" s="754"/>
      <c r="U478" s="754"/>
      <c r="V478" s="754"/>
      <c r="W478" s="754"/>
      <c r="X478" s="754"/>
      <c r="Y478" s="754"/>
      <c r="Z478" s="754"/>
      <c r="AA478" s="754"/>
      <c r="AB478" s="754"/>
      <c r="AC478" s="754"/>
      <c r="AD478" s="754"/>
      <c r="AE478" s="754"/>
      <c r="AF478" s="754"/>
      <c r="AG478" s="754"/>
      <c r="AH478" s="754"/>
      <c r="AI478" s="754"/>
      <c r="AJ478" s="754"/>
      <c r="AK478" s="754"/>
      <c r="AL478" s="754"/>
      <c r="AM478" s="754"/>
      <c r="AN478" s="754"/>
      <c r="AO478" s="754"/>
      <c r="AP478" s="754"/>
      <c r="AQ478" s="754"/>
      <c r="AR478" s="754"/>
      <c r="AS478" s="754"/>
      <c r="AT478" s="754"/>
      <c r="AU478" s="754"/>
    </row>
    <row r="479" ht="15.75" customHeight="1">
      <c r="A479" s="759">
        <v>44413.0</v>
      </c>
      <c r="B479" s="760" t="s">
        <v>5976</v>
      </c>
      <c r="C479" s="761" t="s">
        <v>3642</v>
      </c>
      <c r="D479" s="745" t="s">
        <v>2387</v>
      </c>
      <c r="E479" s="757">
        <v>200000.0</v>
      </c>
      <c r="F479" s="745" t="s">
        <v>3817</v>
      </c>
      <c r="G479" s="745" t="s">
        <v>86</v>
      </c>
      <c r="H479" s="745" t="s">
        <v>29</v>
      </c>
      <c r="I479" s="745" t="s">
        <v>3818</v>
      </c>
      <c r="J479" s="755">
        <v>44120.0</v>
      </c>
      <c r="K479" s="762" t="s">
        <v>3651</v>
      </c>
      <c r="L479" s="754"/>
      <c r="M479" s="754"/>
      <c r="N479" s="754"/>
      <c r="O479" s="754"/>
      <c r="P479" s="754"/>
      <c r="Q479" s="754"/>
      <c r="R479" s="754"/>
      <c r="S479" s="754"/>
      <c r="T479" s="754"/>
      <c r="U479" s="754"/>
      <c r="V479" s="754"/>
      <c r="W479" s="754"/>
      <c r="X479" s="754"/>
      <c r="Y479" s="754"/>
      <c r="Z479" s="754"/>
      <c r="AA479" s="754"/>
      <c r="AB479" s="754"/>
      <c r="AC479" s="754"/>
      <c r="AD479" s="754"/>
      <c r="AE479" s="754"/>
      <c r="AF479" s="754"/>
      <c r="AG479" s="754"/>
      <c r="AH479" s="754"/>
      <c r="AI479" s="754"/>
      <c r="AJ479" s="754"/>
      <c r="AK479" s="754"/>
      <c r="AL479" s="754"/>
      <c r="AM479" s="754"/>
      <c r="AN479" s="754"/>
      <c r="AO479" s="754"/>
      <c r="AP479" s="754"/>
      <c r="AQ479" s="754"/>
      <c r="AR479" s="754"/>
      <c r="AS479" s="754"/>
      <c r="AT479" s="754"/>
      <c r="AU479" s="754"/>
    </row>
    <row r="480" ht="15.75" customHeight="1">
      <c r="A480" s="759">
        <v>44413.0</v>
      </c>
      <c r="B480" s="760" t="s">
        <v>2683</v>
      </c>
      <c r="C480" s="761" t="s">
        <v>2376</v>
      </c>
      <c r="D480" s="745" t="s">
        <v>5903</v>
      </c>
      <c r="E480" s="757">
        <v>12000.0</v>
      </c>
      <c r="F480" s="745" t="s">
        <v>756</v>
      </c>
      <c r="G480" s="755" t="s">
        <v>18</v>
      </c>
      <c r="H480" s="755" t="s">
        <v>145</v>
      </c>
      <c r="I480" s="755" t="s">
        <v>171</v>
      </c>
      <c r="J480" s="755">
        <v>44328.0</v>
      </c>
      <c r="K480" s="758" t="s">
        <v>3647</v>
      </c>
      <c r="L480" s="754"/>
      <c r="M480" s="754"/>
      <c r="N480" s="754"/>
      <c r="O480" s="754"/>
      <c r="P480" s="754"/>
      <c r="Q480" s="754"/>
      <c r="R480" s="754"/>
      <c r="S480" s="754"/>
      <c r="T480" s="754"/>
      <c r="U480" s="754"/>
      <c r="V480" s="754"/>
      <c r="W480" s="754"/>
      <c r="X480" s="754"/>
      <c r="Y480" s="754"/>
      <c r="Z480" s="754"/>
      <c r="AA480" s="754"/>
      <c r="AB480" s="754"/>
      <c r="AC480" s="754"/>
      <c r="AD480" s="754"/>
      <c r="AE480" s="754"/>
      <c r="AF480" s="754"/>
      <c r="AG480" s="754"/>
      <c r="AH480" s="754"/>
      <c r="AI480" s="754"/>
      <c r="AJ480" s="754"/>
      <c r="AK480" s="754"/>
      <c r="AL480" s="754"/>
      <c r="AM480" s="754"/>
      <c r="AN480" s="754"/>
      <c r="AO480" s="754"/>
      <c r="AP480" s="754"/>
      <c r="AQ480" s="754"/>
      <c r="AR480" s="754"/>
      <c r="AS480" s="754"/>
      <c r="AT480" s="754"/>
      <c r="AU480" s="754"/>
    </row>
    <row r="481" ht="15.75" customHeight="1">
      <c r="A481" s="759">
        <v>44414.0</v>
      </c>
      <c r="B481" s="760" t="s">
        <v>5977</v>
      </c>
      <c r="C481" s="761" t="s">
        <v>3642</v>
      </c>
      <c r="D481" s="745" t="s">
        <v>5903</v>
      </c>
      <c r="E481" s="757">
        <v>30000.0</v>
      </c>
      <c r="F481" s="745" t="s">
        <v>4567</v>
      </c>
      <c r="G481" s="745" t="s">
        <v>86</v>
      </c>
      <c r="H481" s="745" t="s">
        <v>29</v>
      </c>
      <c r="I481" s="791" t="s">
        <v>4568</v>
      </c>
      <c r="J481" s="755">
        <v>44130.0</v>
      </c>
      <c r="K481" s="762" t="s">
        <v>3651</v>
      </c>
      <c r="L481" s="754"/>
      <c r="M481" s="754"/>
      <c r="N481" s="754"/>
      <c r="O481" s="754"/>
      <c r="P481" s="754"/>
      <c r="Q481" s="754"/>
      <c r="R481" s="754"/>
      <c r="S481" s="754"/>
      <c r="T481" s="754"/>
      <c r="U481" s="754"/>
      <c r="V481" s="754"/>
      <c r="W481" s="754"/>
      <c r="X481" s="754"/>
      <c r="Y481" s="754"/>
      <c r="Z481" s="754"/>
      <c r="AA481" s="754"/>
      <c r="AB481" s="754"/>
      <c r="AC481" s="754"/>
      <c r="AD481" s="754"/>
      <c r="AE481" s="754"/>
      <c r="AF481" s="754"/>
      <c r="AG481" s="754"/>
      <c r="AH481" s="754"/>
      <c r="AI481" s="754"/>
      <c r="AJ481" s="754"/>
      <c r="AK481" s="754"/>
      <c r="AL481" s="754"/>
      <c r="AM481" s="754"/>
      <c r="AN481" s="754"/>
      <c r="AO481" s="754"/>
      <c r="AP481" s="754"/>
      <c r="AQ481" s="754"/>
      <c r="AR481" s="754"/>
      <c r="AS481" s="754"/>
      <c r="AT481" s="754"/>
      <c r="AU481" s="754"/>
    </row>
    <row r="482" ht="15.75" customHeight="1">
      <c r="A482" s="759">
        <v>44417.0</v>
      </c>
      <c r="B482" s="760" t="s">
        <v>2811</v>
      </c>
      <c r="C482" s="761" t="s">
        <v>2376</v>
      </c>
      <c r="D482" s="745" t="s">
        <v>5903</v>
      </c>
      <c r="E482" s="757">
        <v>2000.0</v>
      </c>
      <c r="F482" s="745" t="s">
        <v>2810</v>
      </c>
      <c r="G482" s="755" t="s">
        <v>2379</v>
      </c>
      <c r="H482" s="755" t="s">
        <v>29</v>
      </c>
      <c r="I482" s="755" t="s">
        <v>2380</v>
      </c>
      <c r="J482" s="755">
        <v>43703.0</v>
      </c>
      <c r="K482" s="758" t="s">
        <v>4033</v>
      </c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54"/>
      <c r="AB482" s="754"/>
      <c r="AC482" s="754"/>
      <c r="AD482" s="754"/>
      <c r="AE482" s="754"/>
      <c r="AF482" s="754"/>
      <c r="AG482" s="754"/>
      <c r="AH482" s="754"/>
      <c r="AI482" s="754"/>
      <c r="AJ482" s="754"/>
      <c r="AK482" s="754"/>
      <c r="AL482" s="754"/>
      <c r="AM482" s="754"/>
      <c r="AN482" s="754"/>
      <c r="AO482" s="754"/>
      <c r="AP482" s="754"/>
      <c r="AQ482" s="754"/>
      <c r="AR482" s="754"/>
      <c r="AS482" s="754"/>
      <c r="AT482" s="754"/>
      <c r="AU482" s="754"/>
    </row>
    <row r="483" ht="15.75" customHeight="1">
      <c r="A483" s="759">
        <v>44417.0</v>
      </c>
      <c r="B483" s="760" t="s">
        <v>2919</v>
      </c>
      <c r="C483" s="761" t="s">
        <v>2376</v>
      </c>
      <c r="D483" s="745" t="s">
        <v>5903</v>
      </c>
      <c r="E483" s="757">
        <v>15000.0</v>
      </c>
      <c r="F483" s="745" t="s">
        <v>2918</v>
      </c>
      <c r="G483" s="755" t="s">
        <v>18</v>
      </c>
      <c r="H483" s="755" t="s">
        <v>145</v>
      </c>
      <c r="I483" s="755" t="s">
        <v>146</v>
      </c>
      <c r="J483" s="755">
        <v>44295.0</v>
      </c>
      <c r="K483" s="758" t="s">
        <v>3657</v>
      </c>
      <c r="L483" s="754"/>
      <c r="M483" s="754"/>
      <c r="N483" s="754"/>
      <c r="O483" s="754"/>
      <c r="P483" s="754"/>
      <c r="Q483" s="754"/>
      <c r="R483" s="754"/>
      <c r="S483" s="754"/>
      <c r="T483" s="754"/>
      <c r="U483" s="754"/>
      <c r="V483" s="754"/>
      <c r="W483" s="754"/>
      <c r="X483" s="754"/>
      <c r="Y483" s="754"/>
      <c r="Z483" s="754"/>
      <c r="AA483" s="754"/>
      <c r="AB483" s="754"/>
      <c r="AC483" s="754"/>
      <c r="AD483" s="754"/>
      <c r="AE483" s="754"/>
      <c r="AF483" s="754"/>
      <c r="AG483" s="754"/>
      <c r="AH483" s="754"/>
      <c r="AI483" s="754"/>
      <c r="AJ483" s="754"/>
      <c r="AK483" s="754"/>
      <c r="AL483" s="754"/>
      <c r="AM483" s="754"/>
      <c r="AN483" s="754"/>
      <c r="AO483" s="754"/>
      <c r="AP483" s="754"/>
      <c r="AQ483" s="754"/>
      <c r="AR483" s="754"/>
      <c r="AS483" s="754"/>
      <c r="AT483" s="754"/>
      <c r="AU483" s="754"/>
    </row>
    <row r="484" ht="15.75" customHeight="1">
      <c r="A484" s="759">
        <v>44417.0</v>
      </c>
      <c r="B484" s="760" t="s">
        <v>2888</v>
      </c>
      <c r="C484" s="761" t="s">
        <v>2376</v>
      </c>
      <c r="D484" s="745" t="s">
        <v>5903</v>
      </c>
      <c r="E484" s="757">
        <v>2000.0</v>
      </c>
      <c r="F484" s="745" t="s">
        <v>2887</v>
      </c>
      <c r="G484" s="755" t="s">
        <v>18</v>
      </c>
      <c r="H484" s="755" t="s">
        <v>145</v>
      </c>
      <c r="I484" s="755" t="s">
        <v>2464</v>
      </c>
      <c r="J484" s="755">
        <v>44266.0</v>
      </c>
      <c r="K484" s="758" t="s">
        <v>3660</v>
      </c>
      <c r="L484" s="754"/>
      <c r="M484" s="754"/>
      <c r="N484" s="754"/>
      <c r="O484" s="754"/>
      <c r="P484" s="754"/>
      <c r="Q484" s="754"/>
      <c r="R484" s="754"/>
      <c r="S484" s="754"/>
      <c r="T484" s="754"/>
      <c r="U484" s="754"/>
      <c r="V484" s="754"/>
      <c r="W484" s="754"/>
      <c r="X484" s="754"/>
      <c r="Y484" s="754"/>
      <c r="Z484" s="754"/>
      <c r="AA484" s="754"/>
      <c r="AB484" s="754"/>
      <c r="AC484" s="754"/>
      <c r="AD484" s="754"/>
      <c r="AE484" s="754"/>
      <c r="AF484" s="754"/>
      <c r="AG484" s="754"/>
      <c r="AH484" s="754"/>
      <c r="AI484" s="754"/>
      <c r="AJ484" s="754"/>
      <c r="AK484" s="754"/>
      <c r="AL484" s="754"/>
      <c r="AM484" s="754"/>
      <c r="AN484" s="754"/>
      <c r="AO484" s="754"/>
      <c r="AP484" s="754"/>
      <c r="AQ484" s="754"/>
      <c r="AR484" s="754"/>
      <c r="AS484" s="754"/>
      <c r="AT484" s="754"/>
      <c r="AU484" s="754"/>
    </row>
    <row r="485" ht="15.75" customHeight="1">
      <c r="A485" s="759">
        <v>44417.0</v>
      </c>
      <c r="B485" s="760" t="s">
        <v>2514</v>
      </c>
      <c r="C485" s="761" t="s">
        <v>2376</v>
      </c>
      <c r="D485" s="745" t="s">
        <v>5903</v>
      </c>
      <c r="E485" s="757">
        <v>1000000.0</v>
      </c>
      <c r="F485" s="745" t="s">
        <v>319</v>
      </c>
      <c r="G485" s="755" t="s">
        <v>18</v>
      </c>
      <c r="H485" s="755" t="s">
        <v>145</v>
      </c>
      <c r="I485" s="755" t="s">
        <v>146</v>
      </c>
      <c r="J485" s="755">
        <v>44263.0</v>
      </c>
      <c r="K485" s="758" t="s">
        <v>3651</v>
      </c>
      <c r="L485" s="754"/>
      <c r="M485" s="754"/>
      <c r="N485" s="754"/>
      <c r="O485" s="754"/>
      <c r="P485" s="754"/>
      <c r="Q485" s="754"/>
      <c r="R485" s="754"/>
      <c r="S485" s="754"/>
      <c r="T485" s="754"/>
      <c r="U485" s="754"/>
      <c r="V485" s="754"/>
      <c r="W485" s="754"/>
      <c r="X485" s="754"/>
      <c r="Y485" s="754"/>
      <c r="Z485" s="754"/>
      <c r="AA485" s="754"/>
      <c r="AB485" s="754"/>
      <c r="AC485" s="754"/>
      <c r="AD485" s="754"/>
      <c r="AE485" s="754"/>
      <c r="AF485" s="754"/>
      <c r="AG485" s="754"/>
      <c r="AH485" s="754"/>
      <c r="AI485" s="754"/>
      <c r="AJ485" s="754"/>
      <c r="AK485" s="754"/>
      <c r="AL485" s="754"/>
      <c r="AM485" s="754"/>
      <c r="AN485" s="754"/>
      <c r="AO485" s="754"/>
      <c r="AP485" s="754"/>
      <c r="AQ485" s="754"/>
      <c r="AR485" s="754"/>
      <c r="AS485" s="754"/>
      <c r="AT485" s="754"/>
      <c r="AU485" s="754"/>
    </row>
    <row r="486" ht="15.75" customHeight="1">
      <c r="A486" s="755">
        <v>44418.0</v>
      </c>
      <c r="B486" s="760" t="s">
        <v>5978</v>
      </c>
      <c r="C486" s="745" t="s">
        <v>3642</v>
      </c>
      <c r="D486" s="745" t="s">
        <v>5902</v>
      </c>
      <c r="E486" s="757">
        <v>0.0</v>
      </c>
      <c r="F486" s="745" t="s">
        <v>4643</v>
      </c>
      <c r="G486" s="745" t="s">
        <v>86</v>
      </c>
      <c r="H486" s="745" t="s">
        <v>29</v>
      </c>
      <c r="I486" s="745" t="s">
        <v>3910</v>
      </c>
      <c r="J486" s="755">
        <v>44775.0</v>
      </c>
      <c r="K486" s="762" t="s">
        <v>3664</v>
      </c>
      <c r="L486" s="754"/>
      <c r="M486" s="754"/>
      <c r="N486" s="754"/>
      <c r="O486" s="754"/>
      <c r="P486" s="754"/>
      <c r="Q486" s="754"/>
      <c r="R486" s="754"/>
      <c r="S486" s="754"/>
      <c r="T486" s="754"/>
      <c r="U486" s="754"/>
      <c r="V486" s="754"/>
      <c r="W486" s="754"/>
      <c r="X486" s="754"/>
      <c r="Y486" s="754"/>
      <c r="Z486" s="754"/>
      <c r="AA486" s="754"/>
      <c r="AB486" s="754"/>
      <c r="AC486" s="754"/>
      <c r="AD486" s="754"/>
      <c r="AE486" s="754"/>
      <c r="AF486" s="754"/>
      <c r="AG486" s="754"/>
      <c r="AH486" s="754"/>
      <c r="AI486" s="754"/>
      <c r="AJ486" s="754"/>
      <c r="AK486" s="754"/>
      <c r="AL486" s="754"/>
      <c r="AM486" s="754"/>
      <c r="AN486" s="754"/>
      <c r="AO486" s="754"/>
      <c r="AP486" s="754"/>
      <c r="AQ486" s="754"/>
      <c r="AR486" s="754"/>
      <c r="AS486" s="754"/>
      <c r="AT486" s="754"/>
      <c r="AU486" s="754"/>
    </row>
    <row r="487" ht="15.75" customHeight="1">
      <c r="A487" s="755">
        <v>44418.0</v>
      </c>
      <c r="B487" s="756" t="s">
        <v>2794</v>
      </c>
      <c r="C487" s="745" t="s">
        <v>2376</v>
      </c>
      <c r="D487" s="745" t="s">
        <v>5902</v>
      </c>
      <c r="E487" s="757">
        <v>467689.84</v>
      </c>
      <c r="F487" s="745" t="s">
        <v>2793</v>
      </c>
      <c r="G487" s="755" t="s">
        <v>2379</v>
      </c>
      <c r="H487" s="755" t="s">
        <v>29</v>
      </c>
      <c r="I487" s="755" t="s">
        <v>2380</v>
      </c>
      <c r="J487" s="755">
        <v>43859.0</v>
      </c>
      <c r="K487" s="758" t="s">
        <v>3660</v>
      </c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54"/>
      <c r="AB487" s="754"/>
      <c r="AC487" s="754"/>
      <c r="AD487" s="754"/>
      <c r="AE487" s="754"/>
      <c r="AF487" s="754"/>
      <c r="AG487" s="754"/>
      <c r="AH487" s="754"/>
      <c r="AI487" s="754"/>
      <c r="AJ487" s="754"/>
      <c r="AK487" s="754"/>
      <c r="AL487" s="754"/>
      <c r="AM487" s="754"/>
      <c r="AN487" s="754"/>
      <c r="AO487" s="754"/>
      <c r="AP487" s="754"/>
      <c r="AQ487" s="754"/>
      <c r="AR487" s="754"/>
      <c r="AS487" s="754"/>
      <c r="AT487" s="754"/>
      <c r="AU487" s="754"/>
    </row>
    <row r="488" ht="15.75" customHeight="1">
      <c r="A488" s="755">
        <v>44418.0</v>
      </c>
      <c r="B488" s="756" t="s">
        <v>5949</v>
      </c>
      <c r="C488" s="745" t="s">
        <v>3642</v>
      </c>
      <c r="D488" s="745" t="s">
        <v>5902</v>
      </c>
      <c r="E488" s="757">
        <v>0.0</v>
      </c>
      <c r="F488" s="745" t="s">
        <v>3866</v>
      </c>
      <c r="G488" s="745" t="s">
        <v>86</v>
      </c>
      <c r="H488" s="745" t="s">
        <v>29</v>
      </c>
      <c r="I488" s="745" t="s">
        <v>3486</v>
      </c>
      <c r="J488" s="755">
        <v>44228.0</v>
      </c>
      <c r="K488" s="762" t="s">
        <v>3647</v>
      </c>
      <c r="L488" s="754"/>
      <c r="M488" s="754"/>
      <c r="N488" s="754"/>
      <c r="O488" s="754"/>
      <c r="P488" s="754"/>
      <c r="Q488" s="754"/>
      <c r="R488" s="754"/>
      <c r="S488" s="754"/>
      <c r="T488" s="754"/>
      <c r="U488" s="754"/>
      <c r="V488" s="754"/>
      <c r="W488" s="754"/>
      <c r="X488" s="754"/>
      <c r="Y488" s="754"/>
      <c r="Z488" s="754"/>
      <c r="AA488" s="754"/>
      <c r="AB488" s="754"/>
      <c r="AC488" s="754"/>
      <c r="AD488" s="754"/>
      <c r="AE488" s="754"/>
      <c r="AF488" s="754"/>
      <c r="AG488" s="754"/>
      <c r="AH488" s="754"/>
      <c r="AI488" s="754"/>
      <c r="AJ488" s="754"/>
      <c r="AK488" s="754"/>
      <c r="AL488" s="754"/>
      <c r="AM488" s="754"/>
      <c r="AN488" s="754"/>
      <c r="AO488" s="754"/>
      <c r="AP488" s="754"/>
      <c r="AQ488" s="754"/>
      <c r="AR488" s="754"/>
      <c r="AS488" s="754"/>
      <c r="AT488" s="754"/>
      <c r="AU488" s="754"/>
    </row>
    <row r="489" ht="15.75" customHeight="1">
      <c r="A489" s="759">
        <v>44418.0</v>
      </c>
      <c r="B489" s="760" t="s">
        <v>5979</v>
      </c>
      <c r="C489" s="761" t="s">
        <v>3642</v>
      </c>
      <c r="D489" s="745" t="s">
        <v>5903</v>
      </c>
      <c r="E489" s="757">
        <v>387869.72</v>
      </c>
      <c r="F489" s="745" t="s">
        <v>5980</v>
      </c>
      <c r="G489" s="745" t="s">
        <v>2379</v>
      </c>
      <c r="H489" s="745" t="s">
        <v>29</v>
      </c>
      <c r="I489" s="745" t="s">
        <v>2379</v>
      </c>
      <c r="J489" s="755">
        <v>44195.0</v>
      </c>
      <c r="K489" s="762" t="s">
        <v>3660</v>
      </c>
      <c r="L489" s="754"/>
      <c r="M489" s="754"/>
      <c r="N489" s="754"/>
      <c r="O489" s="754"/>
      <c r="P489" s="754"/>
      <c r="Q489" s="754"/>
      <c r="R489" s="754"/>
      <c r="S489" s="754"/>
      <c r="T489" s="754"/>
      <c r="U489" s="754"/>
      <c r="V489" s="754"/>
      <c r="W489" s="754"/>
      <c r="X489" s="754"/>
      <c r="Y489" s="754"/>
      <c r="Z489" s="754"/>
      <c r="AA489" s="754"/>
      <c r="AB489" s="754"/>
      <c r="AC489" s="754"/>
      <c r="AD489" s="754"/>
      <c r="AE489" s="754"/>
      <c r="AF489" s="754"/>
      <c r="AG489" s="754"/>
      <c r="AH489" s="754"/>
      <c r="AI489" s="754"/>
      <c r="AJ489" s="754"/>
      <c r="AK489" s="754"/>
      <c r="AL489" s="754"/>
      <c r="AM489" s="754"/>
      <c r="AN489" s="754"/>
      <c r="AO489" s="754"/>
      <c r="AP489" s="754"/>
      <c r="AQ489" s="754"/>
      <c r="AR489" s="754"/>
      <c r="AS489" s="754"/>
      <c r="AT489" s="754"/>
      <c r="AU489" s="754"/>
    </row>
    <row r="490" ht="15.75" customHeight="1">
      <c r="A490" s="759">
        <v>44420.0</v>
      </c>
      <c r="B490" s="760" t="s">
        <v>5941</v>
      </c>
      <c r="C490" s="761" t="s">
        <v>3642</v>
      </c>
      <c r="D490" s="745" t="s">
        <v>5903</v>
      </c>
      <c r="E490" s="757">
        <v>169129.47</v>
      </c>
      <c r="F490" s="745" t="s">
        <v>4928</v>
      </c>
      <c r="G490" s="745" t="s">
        <v>86</v>
      </c>
      <c r="H490" s="745" t="s">
        <v>29</v>
      </c>
      <c r="I490" s="745" t="s">
        <v>4314</v>
      </c>
      <c r="J490" s="755">
        <v>44180.0</v>
      </c>
      <c r="K490" s="762" t="s">
        <v>3651</v>
      </c>
      <c r="L490" s="754"/>
      <c r="M490" s="754"/>
      <c r="N490" s="754"/>
      <c r="O490" s="754"/>
      <c r="P490" s="754"/>
      <c r="Q490" s="754"/>
      <c r="R490" s="754"/>
      <c r="S490" s="754"/>
      <c r="T490" s="754"/>
      <c r="U490" s="754"/>
      <c r="V490" s="754"/>
      <c r="W490" s="754"/>
      <c r="X490" s="754"/>
      <c r="Y490" s="754"/>
      <c r="Z490" s="754"/>
      <c r="AA490" s="754"/>
      <c r="AB490" s="754"/>
      <c r="AC490" s="754"/>
      <c r="AD490" s="754"/>
      <c r="AE490" s="754"/>
      <c r="AF490" s="754"/>
      <c r="AG490" s="754"/>
      <c r="AH490" s="754"/>
      <c r="AI490" s="754"/>
      <c r="AJ490" s="754"/>
      <c r="AK490" s="754"/>
      <c r="AL490" s="754"/>
      <c r="AM490" s="754"/>
      <c r="AN490" s="754"/>
      <c r="AO490" s="754"/>
      <c r="AP490" s="754"/>
      <c r="AQ490" s="754"/>
      <c r="AR490" s="754"/>
      <c r="AS490" s="754"/>
      <c r="AT490" s="754"/>
      <c r="AU490" s="754"/>
    </row>
    <row r="491" ht="15.75" customHeight="1">
      <c r="A491" s="759">
        <v>44421.0</v>
      </c>
      <c r="B491" s="760" t="s">
        <v>5981</v>
      </c>
      <c r="C491" s="761" t="s">
        <v>3642</v>
      </c>
      <c r="D491" s="745" t="s">
        <v>5903</v>
      </c>
      <c r="E491" s="757">
        <v>300000.0</v>
      </c>
      <c r="F491" s="745" t="s">
        <v>5192</v>
      </c>
      <c r="G491" s="745" t="s">
        <v>86</v>
      </c>
      <c r="H491" s="745" t="s">
        <v>29</v>
      </c>
      <c r="I491" s="745" t="s">
        <v>4293</v>
      </c>
      <c r="J491" s="755">
        <v>44397.0</v>
      </c>
      <c r="K491" s="762" t="s">
        <v>3660</v>
      </c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54"/>
      <c r="AB491" s="754"/>
      <c r="AC491" s="754"/>
      <c r="AD491" s="754"/>
      <c r="AE491" s="754"/>
      <c r="AF491" s="754"/>
      <c r="AG491" s="754"/>
      <c r="AH491" s="754"/>
      <c r="AI491" s="754"/>
      <c r="AJ491" s="754"/>
      <c r="AK491" s="754"/>
      <c r="AL491" s="754"/>
      <c r="AM491" s="754"/>
      <c r="AN491" s="754"/>
      <c r="AO491" s="754"/>
      <c r="AP491" s="754"/>
      <c r="AQ491" s="754"/>
      <c r="AR491" s="754"/>
      <c r="AS491" s="754"/>
      <c r="AT491" s="754"/>
      <c r="AU491" s="754"/>
    </row>
    <row r="492" ht="15.75" customHeight="1">
      <c r="A492" s="759">
        <v>44421.0</v>
      </c>
      <c r="B492" s="760" t="s">
        <v>2870</v>
      </c>
      <c r="C492" s="761" t="s">
        <v>2376</v>
      </c>
      <c r="D492" s="745" t="s">
        <v>5903</v>
      </c>
      <c r="E492" s="757">
        <v>15000.0</v>
      </c>
      <c r="F492" s="745" t="s">
        <v>2869</v>
      </c>
      <c r="G492" s="755" t="s">
        <v>2379</v>
      </c>
      <c r="H492" s="755" t="s">
        <v>29</v>
      </c>
      <c r="I492" s="755" t="s">
        <v>2380</v>
      </c>
      <c r="J492" s="755">
        <v>43605.0</v>
      </c>
      <c r="K492" s="758" t="s">
        <v>3660</v>
      </c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54"/>
      <c r="AB492" s="754"/>
      <c r="AC492" s="754"/>
      <c r="AD492" s="754"/>
      <c r="AE492" s="754"/>
      <c r="AF492" s="754"/>
      <c r="AG492" s="754"/>
      <c r="AH492" s="754"/>
      <c r="AI492" s="754"/>
      <c r="AJ492" s="754"/>
      <c r="AK492" s="754"/>
      <c r="AL492" s="754"/>
      <c r="AM492" s="754"/>
      <c r="AN492" s="754"/>
      <c r="AO492" s="754"/>
      <c r="AP492" s="754"/>
      <c r="AQ492" s="754"/>
      <c r="AR492" s="754"/>
      <c r="AS492" s="754"/>
      <c r="AT492" s="754"/>
      <c r="AU492" s="754"/>
    </row>
    <row r="493" ht="15.75" customHeight="1">
      <c r="A493" s="759">
        <v>44421.0</v>
      </c>
      <c r="B493" s="760" t="s">
        <v>3043</v>
      </c>
      <c r="C493" s="761" t="s">
        <v>2376</v>
      </c>
      <c r="D493" s="745" t="s">
        <v>5903</v>
      </c>
      <c r="E493" s="757">
        <v>36000.0</v>
      </c>
      <c r="F493" s="745" t="s">
        <v>3042</v>
      </c>
      <c r="G493" s="755" t="s">
        <v>18</v>
      </c>
      <c r="H493" s="755" t="s">
        <v>145</v>
      </c>
      <c r="I493" s="755" t="s">
        <v>171</v>
      </c>
      <c r="J493" s="755">
        <v>44322.0</v>
      </c>
      <c r="K493" s="758" t="s">
        <v>3651</v>
      </c>
      <c r="L493" s="754"/>
      <c r="M493" s="754"/>
      <c r="N493" s="754"/>
      <c r="O493" s="754"/>
      <c r="P493" s="754"/>
      <c r="Q493" s="754"/>
      <c r="R493" s="754"/>
      <c r="S493" s="754"/>
      <c r="T493" s="754"/>
      <c r="U493" s="754"/>
      <c r="V493" s="754"/>
      <c r="W493" s="754"/>
      <c r="X493" s="754"/>
      <c r="Y493" s="754"/>
      <c r="Z493" s="754"/>
      <c r="AA493" s="754"/>
      <c r="AB493" s="754"/>
      <c r="AC493" s="754"/>
      <c r="AD493" s="754"/>
      <c r="AE493" s="754"/>
      <c r="AF493" s="754"/>
      <c r="AG493" s="754"/>
      <c r="AH493" s="754"/>
      <c r="AI493" s="754"/>
      <c r="AJ493" s="754"/>
      <c r="AK493" s="754"/>
      <c r="AL493" s="754"/>
      <c r="AM493" s="754"/>
      <c r="AN493" s="754"/>
      <c r="AO493" s="754"/>
      <c r="AP493" s="754"/>
      <c r="AQ493" s="754"/>
      <c r="AR493" s="754"/>
      <c r="AS493" s="754"/>
      <c r="AT493" s="754"/>
      <c r="AU493" s="754"/>
    </row>
    <row r="494" ht="15.75" customHeight="1">
      <c r="A494" s="755">
        <v>44424.0</v>
      </c>
      <c r="B494" s="756" t="s">
        <v>5982</v>
      </c>
      <c r="C494" s="745" t="s">
        <v>3642</v>
      </c>
      <c r="D494" s="745" t="s">
        <v>5902</v>
      </c>
      <c r="E494" s="757">
        <v>0.0</v>
      </c>
      <c r="F494" s="745" t="s">
        <v>4971</v>
      </c>
      <c r="G494" s="745" t="s">
        <v>86</v>
      </c>
      <c r="H494" s="745" t="s">
        <v>29</v>
      </c>
      <c r="I494" s="745" t="s">
        <v>3818</v>
      </c>
      <c r="J494" s="755">
        <v>44078.0</v>
      </c>
      <c r="K494" s="762" t="s">
        <v>3647</v>
      </c>
      <c r="L494" s="754"/>
      <c r="M494" s="754"/>
      <c r="N494" s="754"/>
      <c r="O494" s="754"/>
      <c r="P494" s="754"/>
      <c r="Q494" s="754"/>
      <c r="R494" s="754"/>
      <c r="S494" s="754"/>
      <c r="T494" s="754"/>
      <c r="U494" s="754"/>
      <c r="V494" s="754"/>
      <c r="W494" s="754"/>
      <c r="X494" s="754"/>
      <c r="Y494" s="754"/>
      <c r="Z494" s="754"/>
      <c r="AA494" s="754"/>
      <c r="AB494" s="754"/>
      <c r="AC494" s="754"/>
      <c r="AD494" s="754"/>
      <c r="AE494" s="754"/>
      <c r="AF494" s="754"/>
      <c r="AG494" s="754"/>
      <c r="AH494" s="754"/>
      <c r="AI494" s="754"/>
      <c r="AJ494" s="754"/>
      <c r="AK494" s="754"/>
      <c r="AL494" s="754"/>
      <c r="AM494" s="754"/>
      <c r="AN494" s="754"/>
      <c r="AO494" s="754"/>
      <c r="AP494" s="754"/>
      <c r="AQ494" s="754"/>
      <c r="AR494" s="754"/>
      <c r="AS494" s="754"/>
      <c r="AT494" s="754"/>
      <c r="AU494" s="754"/>
    </row>
    <row r="495" ht="15.75" customHeight="1">
      <c r="A495" s="759">
        <v>44424.0</v>
      </c>
      <c r="B495" s="760" t="s">
        <v>3235</v>
      </c>
      <c r="C495" s="761" t="s">
        <v>2376</v>
      </c>
      <c r="D495" s="745" t="s">
        <v>5903</v>
      </c>
      <c r="E495" s="757">
        <v>29127.62</v>
      </c>
      <c r="F495" s="745" t="s">
        <v>3234</v>
      </c>
      <c r="G495" s="755" t="s">
        <v>2379</v>
      </c>
      <c r="H495" s="755" t="s">
        <v>29</v>
      </c>
      <c r="I495" s="755" t="s">
        <v>2380</v>
      </c>
      <c r="J495" s="755">
        <v>43894.0</v>
      </c>
      <c r="K495" s="758" t="s">
        <v>3660</v>
      </c>
      <c r="L495" s="754"/>
      <c r="M495" s="754"/>
      <c r="N495" s="754"/>
      <c r="O495" s="754"/>
      <c r="P495" s="754"/>
      <c r="Q495" s="754"/>
      <c r="R495" s="754"/>
      <c r="S495" s="754"/>
      <c r="T495" s="754"/>
      <c r="U495" s="754"/>
      <c r="V495" s="754"/>
      <c r="W495" s="754"/>
      <c r="X495" s="754"/>
      <c r="Y495" s="754"/>
      <c r="Z495" s="754"/>
      <c r="AA495" s="754"/>
      <c r="AB495" s="754"/>
      <c r="AC495" s="754"/>
      <c r="AD495" s="754"/>
      <c r="AE495" s="754"/>
      <c r="AF495" s="754"/>
      <c r="AG495" s="754"/>
      <c r="AH495" s="754"/>
      <c r="AI495" s="754"/>
      <c r="AJ495" s="754"/>
      <c r="AK495" s="754"/>
      <c r="AL495" s="754"/>
      <c r="AM495" s="754"/>
      <c r="AN495" s="754"/>
      <c r="AO495" s="754"/>
      <c r="AP495" s="754"/>
      <c r="AQ495" s="754"/>
      <c r="AR495" s="754"/>
      <c r="AS495" s="754"/>
      <c r="AT495" s="754"/>
      <c r="AU495" s="754"/>
    </row>
    <row r="496" ht="15.75" customHeight="1">
      <c r="A496" s="759">
        <v>44424.0</v>
      </c>
      <c r="B496" s="760" t="s">
        <v>2719</v>
      </c>
      <c r="C496" s="761" t="s">
        <v>2376</v>
      </c>
      <c r="D496" s="745" t="s">
        <v>5903</v>
      </c>
      <c r="E496" s="757">
        <v>4000.0</v>
      </c>
      <c r="F496" s="745" t="s">
        <v>2718</v>
      </c>
      <c r="G496" s="755" t="s">
        <v>18</v>
      </c>
      <c r="H496" s="755" t="s">
        <v>145</v>
      </c>
      <c r="I496" s="755" t="s">
        <v>171</v>
      </c>
      <c r="J496" s="755">
        <v>44291.0</v>
      </c>
      <c r="K496" s="758" t="s">
        <v>3651</v>
      </c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54"/>
      <c r="AB496" s="754"/>
      <c r="AC496" s="754"/>
      <c r="AD496" s="754"/>
      <c r="AE496" s="754"/>
      <c r="AF496" s="754"/>
      <c r="AG496" s="754"/>
      <c r="AH496" s="754"/>
      <c r="AI496" s="754"/>
      <c r="AJ496" s="754"/>
      <c r="AK496" s="754"/>
      <c r="AL496" s="754"/>
      <c r="AM496" s="754"/>
      <c r="AN496" s="754"/>
      <c r="AO496" s="754"/>
      <c r="AP496" s="754"/>
      <c r="AQ496" s="754"/>
      <c r="AR496" s="754"/>
      <c r="AS496" s="754"/>
      <c r="AT496" s="754"/>
      <c r="AU496" s="754"/>
    </row>
    <row r="497" ht="15.75" customHeight="1">
      <c r="A497" s="759">
        <v>44424.0</v>
      </c>
      <c r="B497" s="760" t="s">
        <v>5981</v>
      </c>
      <c r="C497" s="761" t="s">
        <v>3642</v>
      </c>
      <c r="D497" s="745" t="s">
        <v>2387</v>
      </c>
      <c r="E497" s="757">
        <v>83704.06</v>
      </c>
      <c r="F497" s="745" t="s">
        <v>5983</v>
      </c>
      <c r="G497" s="745" t="s">
        <v>86</v>
      </c>
      <c r="H497" s="745" t="s">
        <v>29</v>
      </c>
      <c r="I497" s="745" t="s">
        <v>4293</v>
      </c>
      <c r="J497" s="755">
        <v>44397.0</v>
      </c>
      <c r="K497" s="762" t="s">
        <v>3660</v>
      </c>
      <c r="L497" s="754"/>
      <c r="M497" s="754"/>
      <c r="N497" s="754"/>
      <c r="O497" s="754"/>
      <c r="P497" s="754"/>
      <c r="Q497" s="754"/>
      <c r="R497" s="754"/>
      <c r="S497" s="754"/>
      <c r="T497" s="754"/>
      <c r="U497" s="754"/>
      <c r="V497" s="754"/>
      <c r="W497" s="754"/>
      <c r="X497" s="754"/>
      <c r="Y497" s="754"/>
      <c r="Z497" s="754"/>
      <c r="AA497" s="754"/>
      <c r="AB497" s="754"/>
      <c r="AC497" s="754"/>
      <c r="AD497" s="754"/>
      <c r="AE497" s="754"/>
      <c r="AF497" s="754"/>
      <c r="AG497" s="754"/>
      <c r="AH497" s="754"/>
      <c r="AI497" s="754"/>
      <c r="AJ497" s="754"/>
      <c r="AK497" s="754"/>
      <c r="AL497" s="754"/>
      <c r="AM497" s="754"/>
      <c r="AN497" s="754"/>
      <c r="AO497" s="754"/>
      <c r="AP497" s="754"/>
      <c r="AQ497" s="754"/>
      <c r="AR497" s="754"/>
      <c r="AS497" s="754"/>
      <c r="AT497" s="754"/>
      <c r="AU497" s="754"/>
    </row>
    <row r="498" ht="15.75" customHeight="1">
      <c r="A498" s="759">
        <v>44424.0</v>
      </c>
      <c r="B498" s="760" t="s">
        <v>5984</v>
      </c>
      <c r="C498" s="761" t="s">
        <v>3642</v>
      </c>
      <c r="D498" s="745" t="s">
        <v>2387</v>
      </c>
      <c r="E498" s="757">
        <v>5000.0</v>
      </c>
      <c r="F498" s="745" t="s">
        <v>4011</v>
      </c>
      <c r="G498" s="745" t="s">
        <v>18</v>
      </c>
      <c r="H498" s="745" t="s">
        <v>29</v>
      </c>
      <c r="I498" s="745" t="s">
        <v>4012</v>
      </c>
      <c r="J498" s="755">
        <v>44305.0</v>
      </c>
      <c r="K498" s="762" t="s">
        <v>3664</v>
      </c>
      <c r="L498" s="754"/>
      <c r="M498" s="754"/>
      <c r="N498" s="754"/>
      <c r="O498" s="754"/>
      <c r="P498" s="754"/>
      <c r="Q498" s="754"/>
      <c r="R498" s="754"/>
      <c r="S498" s="754"/>
      <c r="T498" s="754"/>
      <c r="U498" s="754"/>
      <c r="V498" s="754"/>
      <c r="W498" s="754"/>
      <c r="X498" s="754"/>
      <c r="Y498" s="754"/>
      <c r="Z498" s="754"/>
      <c r="AA498" s="754"/>
      <c r="AB498" s="754"/>
      <c r="AC498" s="754"/>
      <c r="AD498" s="754"/>
      <c r="AE498" s="754"/>
      <c r="AF498" s="754"/>
      <c r="AG498" s="754"/>
      <c r="AH498" s="754"/>
      <c r="AI498" s="754"/>
      <c r="AJ498" s="754"/>
      <c r="AK498" s="754"/>
      <c r="AL498" s="754"/>
      <c r="AM498" s="754"/>
      <c r="AN498" s="754"/>
      <c r="AO498" s="754"/>
      <c r="AP498" s="754"/>
      <c r="AQ498" s="754"/>
      <c r="AR498" s="754"/>
      <c r="AS498" s="754"/>
      <c r="AT498" s="754"/>
      <c r="AU498" s="754"/>
    </row>
    <row r="499" ht="15.75" customHeight="1">
      <c r="A499" s="755">
        <v>44425.0</v>
      </c>
      <c r="B499" s="756" t="s">
        <v>3297</v>
      </c>
      <c r="C499" s="745" t="s">
        <v>2376</v>
      </c>
      <c r="D499" s="745" t="s">
        <v>5902</v>
      </c>
      <c r="E499" s="757">
        <v>110571.37</v>
      </c>
      <c r="F499" s="745" t="s">
        <v>3296</v>
      </c>
      <c r="G499" s="755" t="s">
        <v>2489</v>
      </c>
      <c r="H499" s="755" t="s">
        <v>29</v>
      </c>
      <c r="I499" s="755" t="s">
        <v>2489</v>
      </c>
      <c r="J499" s="755">
        <v>43990.0</v>
      </c>
      <c r="K499" s="758" t="s">
        <v>3664</v>
      </c>
      <c r="L499" s="754"/>
      <c r="M499" s="754"/>
      <c r="N499" s="754"/>
      <c r="O499" s="754"/>
      <c r="P499" s="754"/>
      <c r="Q499" s="754"/>
      <c r="R499" s="754"/>
      <c r="S499" s="754"/>
      <c r="T499" s="754"/>
      <c r="U499" s="754"/>
      <c r="V499" s="754"/>
      <c r="W499" s="754"/>
      <c r="X499" s="754"/>
      <c r="Y499" s="754"/>
      <c r="Z499" s="754"/>
      <c r="AA499" s="754"/>
      <c r="AB499" s="754"/>
      <c r="AC499" s="754"/>
      <c r="AD499" s="754"/>
      <c r="AE499" s="754"/>
      <c r="AF499" s="754"/>
      <c r="AG499" s="754"/>
      <c r="AH499" s="754"/>
      <c r="AI499" s="754"/>
      <c r="AJ499" s="754"/>
      <c r="AK499" s="754"/>
      <c r="AL499" s="754"/>
      <c r="AM499" s="754"/>
      <c r="AN499" s="754"/>
      <c r="AO499" s="754"/>
      <c r="AP499" s="754"/>
      <c r="AQ499" s="754"/>
      <c r="AR499" s="754"/>
      <c r="AS499" s="754"/>
      <c r="AT499" s="754"/>
      <c r="AU499" s="754"/>
    </row>
    <row r="500" ht="15.75" customHeight="1">
      <c r="A500" s="755">
        <v>44425.0</v>
      </c>
      <c r="B500" s="756" t="s">
        <v>5985</v>
      </c>
      <c r="C500" s="745" t="s">
        <v>3642</v>
      </c>
      <c r="D500" s="745" t="s">
        <v>5902</v>
      </c>
      <c r="E500" s="757">
        <v>0.0</v>
      </c>
      <c r="F500" s="745" t="s">
        <v>4991</v>
      </c>
      <c r="G500" s="745" t="s">
        <v>18</v>
      </c>
      <c r="H500" s="745" t="s">
        <v>29</v>
      </c>
      <c r="I500" s="745" t="s">
        <v>3650</v>
      </c>
      <c r="J500" s="755">
        <v>44148.0</v>
      </c>
      <c r="K500" s="762" t="s">
        <v>3651</v>
      </c>
      <c r="L500" s="754"/>
      <c r="M500" s="754"/>
      <c r="N500" s="754"/>
      <c r="O500" s="754"/>
      <c r="P500" s="754"/>
      <c r="Q500" s="754"/>
      <c r="R500" s="754"/>
      <c r="S500" s="754"/>
      <c r="T500" s="754"/>
      <c r="U500" s="754"/>
      <c r="V500" s="754"/>
      <c r="W500" s="754"/>
      <c r="X500" s="754"/>
      <c r="Y500" s="754"/>
      <c r="Z500" s="754"/>
      <c r="AA500" s="754"/>
      <c r="AB500" s="754"/>
      <c r="AC500" s="754"/>
      <c r="AD500" s="754"/>
      <c r="AE500" s="754"/>
      <c r="AF500" s="754"/>
      <c r="AG500" s="754"/>
      <c r="AH500" s="754"/>
      <c r="AI500" s="754"/>
      <c r="AJ500" s="754"/>
      <c r="AK500" s="754"/>
      <c r="AL500" s="754"/>
      <c r="AM500" s="754"/>
      <c r="AN500" s="754"/>
      <c r="AO500" s="754"/>
      <c r="AP500" s="754"/>
      <c r="AQ500" s="754"/>
      <c r="AR500" s="754"/>
      <c r="AS500" s="754"/>
      <c r="AT500" s="754"/>
      <c r="AU500" s="754"/>
    </row>
    <row r="501" ht="15.75" customHeight="1">
      <c r="A501" s="759">
        <v>44425.0</v>
      </c>
      <c r="B501" s="760" t="s">
        <v>2398</v>
      </c>
      <c r="C501" s="761" t="s">
        <v>2376</v>
      </c>
      <c r="D501" s="745" t="s">
        <v>5903</v>
      </c>
      <c r="E501" s="757">
        <v>3000.0</v>
      </c>
      <c r="F501" s="745" t="s">
        <v>2397</v>
      </c>
      <c r="G501" s="755" t="s">
        <v>18</v>
      </c>
      <c r="H501" s="755" t="s">
        <v>145</v>
      </c>
      <c r="I501" s="755" t="s">
        <v>171</v>
      </c>
      <c r="J501" s="755">
        <v>44321.0</v>
      </c>
      <c r="K501" s="758" t="s">
        <v>3660</v>
      </c>
      <c r="L501" s="754"/>
      <c r="M501" s="754"/>
      <c r="N501" s="754"/>
      <c r="O501" s="754"/>
      <c r="P501" s="754"/>
      <c r="Q501" s="754"/>
      <c r="R501" s="754"/>
      <c r="S501" s="754"/>
      <c r="T501" s="754"/>
      <c r="U501" s="754"/>
      <c r="V501" s="754"/>
      <c r="W501" s="754"/>
      <c r="X501" s="754"/>
      <c r="Y501" s="754"/>
      <c r="Z501" s="754"/>
      <c r="AA501" s="754"/>
      <c r="AB501" s="754"/>
      <c r="AC501" s="754"/>
      <c r="AD501" s="754"/>
      <c r="AE501" s="754"/>
      <c r="AF501" s="754"/>
      <c r="AG501" s="754"/>
      <c r="AH501" s="754"/>
      <c r="AI501" s="754"/>
      <c r="AJ501" s="754"/>
      <c r="AK501" s="754"/>
      <c r="AL501" s="754"/>
      <c r="AM501" s="754"/>
      <c r="AN501" s="754"/>
      <c r="AO501" s="754"/>
      <c r="AP501" s="754"/>
      <c r="AQ501" s="754"/>
      <c r="AR501" s="754"/>
      <c r="AS501" s="754"/>
      <c r="AT501" s="754"/>
      <c r="AU501" s="754"/>
    </row>
    <row r="502" ht="15.75" customHeight="1">
      <c r="A502" s="759">
        <v>44426.0</v>
      </c>
      <c r="B502" s="760" t="s">
        <v>3043</v>
      </c>
      <c r="C502" s="761" t="s">
        <v>2376</v>
      </c>
      <c r="D502" s="745" t="s">
        <v>5903</v>
      </c>
      <c r="E502" s="757">
        <v>9000.0</v>
      </c>
      <c r="F502" s="745" t="s">
        <v>3042</v>
      </c>
      <c r="G502" s="755" t="s">
        <v>18</v>
      </c>
      <c r="H502" s="755" t="s">
        <v>145</v>
      </c>
      <c r="I502" s="755" t="s">
        <v>171</v>
      </c>
      <c r="J502" s="755">
        <v>44322.0</v>
      </c>
      <c r="K502" s="758" t="s">
        <v>3651</v>
      </c>
      <c r="L502" s="754"/>
      <c r="M502" s="754"/>
      <c r="N502" s="754"/>
      <c r="O502" s="754"/>
      <c r="P502" s="754"/>
      <c r="Q502" s="754"/>
      <c r="R502" s="754"/>
      <c r="S502" s="754"/>
      <c r="T502" s="754"/>
      <c r="U502" s="754"/>
      <c r="V502" s="754"/>
      <c r="W502" s="754"/>
      <c r="X502" s="754"/>
      <c r="Y502" s="754"/>
      <c r="Z502" s="754"/>
      <c r="AA502" s="754"/>
      <c r="AB502" s="754"/>
      <c r="AC502" s="754"/>
      <c r="AD502" s="754"/>
      <c r="AE502" s="754"/>
      <c r="AF502" s="754"/>
      <c r="AG502" s="754"/>
      <c r="AH502" s="754"/>
      <c r="AI502" s="754"/>
      <c r="AJ502" s="754"/>
      <c r="AK502" s="754"/>
      <c r="AL502" s="754"/>
      <c r="AM502" s="754"/>
      <c r="AN502" s="754"/>
      <c r="AO502" s="754"/>
      <c r="AP502" s="754"/>
      <c r="AQ502" s="754"/>
      <c r="AR502" s="754"/>
      <c r="AS502" s="754"/>
      <c r="AT502" s="754"/>
      <c r="AU502" s="754"/>
    </row>
    <row r="503" ht="15.75" customHeight="1">
      <c r="A503" s="759">
        <v>44426.0</v>
      </c>
      <c r="B503" s="760" t="s">
        <v>5986</v>
      </c>
      <c r="C503" s="761" t="s">
        <v>3642</v>
      </c>
      <c r="D503" s="745" t="s">
        <v>5903</v>
      </c>
      <c r="E503" s="757">
        <v>10000.0</v>
      </c>
      <c r="F503" s="745" t="s">
        <v>4947</v>
      </c>
      <c r="G503" s="745" t="s">
        <v>18</v>
      </c>
      <c r="H503" s="745" t="s">
        <v>29</v>
      </c>
      <c r="I503" s="745" t="s">
        <v>3650</v>
      </c>
      <c r="J503" s="755">
        <v>44133.0</v>
      </c>
      <c r="K503" s="762" t="s">
        <v>3660</v>
      </c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54"/>
      <c r="AB503" s="754"/>
      <c r="AC503" s="754"/>
      <c r="AD503" s="754"/>
      <c r="AE503" s="754"/>
      <c r="AF503" s="754"/>
      <c r="AG503" s="754"/>
      <c r="AH503" s="754"/>
      <c r="AI503" s="754"/>
      <c r="AJ503" s="754"/>
      <c r="AK503" s="754"/>
      <c r="AL503" s="754"/>
      <c r="AM503" s="754"/>
      <c r="AN503" s="754"/>
      <c r="AO503" s="754"/>
      <c r="AP503" s="754"/>
      <c r="AQ503" s="754"/>
      <c r="AR503" s="754"/>
      <c r="AS503" s="754"/>
      <c r="AT503" s="754"/>
      <c r="AU503" s="754"/>
    </row>
    <row r="504" ht="15.75" customHeight="1">
      <c r="A504" s="759">
        <v>44427.0</v>
      </c>
      <c r="B504" s="760" t="s">
        <v>5987</v>
      </c>
      <c r="C504" s="761" t="s">
        <v>3642</v>
      </c>
      <c r="D504" s="745" t="s">
        <v>2387</v>
      </c>
      <c r="E504" s="757">
        <v>117509.41</v>
      </c>
      <c r="F504" s="745" t="s">
        <v>4021</v>
      </c>
      <c r="G504" s="745" t="s">
        <v>2379</v>
      </c>
      <c r="H504" s="745" t="s">
        <v>29</v>
      </c>
      <c r="I504" s="745" t="s">
        <v>2379</v>
      </c>
      <c r="J504" s="755">
        <v>44368.0</v>
      </c>
      <c r="K504" s="762" t="s">
        <v>3651</v>
      </c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54"/>
      <c r="AB504" s="754"/>
      <c r="AC504" s="754"/>
      <c r="AD504" s="754"/>
      <c r="AE504" s="754"/>
      <c r="AF504" s="754"/>
      <c r="AG504" s="754"/>
      <c r="AH504" s="754"/>
      <c r="AI504" s="754"/>
      <c r="AJ504" s="754"/>
      <c r="AK504" s="754"/>
      <c r="AL504" s="754"/>
      <c r="AM504" s="754"/>
      <c r="AN504" s="754"/>
      <c r="AO504" s="754"/>
      <c r="AP504" s="754"/>
      <c r="AQ504" s="754"/>
      <c r="AR504" s="754"/>
      <c r="AS504" s="754"/>
      <c r="AT504" s="754"/>
      <c r="AU504" s="754"/>
    </row>
    <row r="505" ht="15.75" customHeight="1">
      <c r="A505" s="755">
        <v>44428.0</v>
      </c>
      <c r="B505" s="756" t="s">
        <v>5988</v>
      </c>
      <c r="C505" s="745" t="s">
        <v>3642</v>
      </c>
      <c r="D505" s="745" t="s">
        <v>5902</v>
      </c>
      <c r="E505" s="757">
        <v>0.0</v>
      </c>
      <c r="F505" s="745" t="s">
        <v>4805</v>
      </c>
      <c r="G505" s="745" t="s">
        <v>18</v>
      </c>
      <c r="H505" s="745" t="s">
        <v>29</v>
      </c>
      <c r="I505" s="745" t="s">
        <v>3650</v>
      </c>
      <c r="J505" s="755">
        <v>44196.0</v>
      </c>
      <c r="K505" s="762" t="s">
        <v>3657</v>
      </c>
      <c r="L505" s="754"/>
      <c r="M505" s="754"/>
      <c r="N505" s="754"/>
      <c r="O505" s="754"/>
      <c r="P505" s="754"/>
      <c r="Q505" s="754"/>
      <c r="R505" s="754"/>
      <c r="S505" s="754"/>
      <c r="T505" s="754"/>
      <c r="U505" s="754"/>
      <c r="V505" s="754"/>
      <c r="W505" s="754"/>
      <c r="X505" s="754"/>
      <c r="Y505" s="754"/>
      <c r="Z505" s="754"/>
      <c r="AA505" s="754"/>
      <c r="AB505" s="754"/>
      <c r="AC505" s="754"/>
      <c r="AD505" s="754"/>
      <c r="AE505" s="754"/>
      <c r="AF505" s="754"/>
      <c r="AG505" s="754"/>
      <c r="AH505" s="754"/>
      <c r="AI505" s="754"/>
      <c r="AJ505" s="754"/>
      <c r="AK505" s="754"/>
      <c r="AL505" s="754"/>
      <c r="AM505" s="754"/>
      <c r="AN505" s="754"/>
      <c r="AO505" s="754"/>
      <c r="AP505" s="754"/>
      <c r="AQ505" s="754"/>
      <c r="AR505" s="754"/>
      <c r="AS505" s="754"/>
      <c r="AT505" s="754"/>
      <c r="AU505" s="754"/>
    </row>
    <row r="506" ht="15.75" customHeight="1">
      <c r="A506" s="759">
        <v>44428.0</v>
      </c>
      <c r="B506" s="760" t="s">
        <v>2811</v>
      </c>
      <c r="C506" s="761" t="s">
        <v>2376</v>
      </c>
      <c r="D506" s="745" t="s">
        <v>5903</v>
      </c>
      <c r="E506" s="757">
        <v>70000.0</v>
      </c>
      <c r="F506" s="745" t="s">
        <v>2810</v>
      </c>
      <c r="G506" s="755" t="s">
        <v>2379</v>
      </c>
      <c r="H506" s="755" t="s">
        <v>29</v>
      </c>
      <c r="I506" s="755" t="s">
        <v>2380</v>
      </c>
      <c r="J506" s="755">
        <v>43703.0</v>
      </c>
      <c r="K506" s="758" t="s">
        <v>4033</v>
      </c>
      <c r="L506" s="754"/>
      <c r="M506" s="754"/>
      <c r="N506" s="754"/>
      <c r="O506" s="754"/>
      <c r="P506" s="754"/>
      <c r="Q506" s="754"/>
      <c r="R506" s="754"/>
      <c r="S506" s="754"/>
      <c r="T506" s="754"/>
      <c r="U506" s="754"/>
      <c r="V506" s="754"/>
      <c r="W506" s="754"/>
      <c r="X506" s="754"/>
      <c r="Y506" s="754"/>
      <c r="Z506" s="754"/>
      <c r="AA506" s="754"/>
      <c r="AB506" s="754"/>
      <c r="AC506" s="754"/>
      <c r="AD506" s="754"/>
      <c r="AE506" s="754"/>
      <c r="AF506" s="754"/>
      <c r="AG506" s="754"/>
      <c r="AH506" s="754"/>
      <c r="AI506" s="754"/>
      <c r="AJ506" s="754"/>
      <c r="AK506" s="754"/>
      <c r="AL506" s="754"/>
      <c r="AM506" s="754"/>
      <c r="AN506" s="754"/>
      <c r="AO506" s="754"/>
      <c r="AP506" s="754"/>
      <c r="AQ506" s="754"/>
      <c r="AR506" s="754"/>
      <c r="AS506" s="754"/>
      <c r="AT506" s="754"/>
      <c r="AU506" s="754"/>
    </row>
    <row r="507" ht="15.75" customHeight="1">
      <c r="A507" s="759">
        <v>44428.0</v>
      </c>
      <c r="B507" s="760" t="s">
        <v>5952</v>
      </c>
      <c r="C507" s="761" t="s">
        <v>3642</v>
      </c>
      <c r="D507" s="745" t="s">
        <v>2387</v>
      </c>
      <c r="E507" s="757">
        <v>56000.0</v>
      </c>
      <c r="F507" s="745" t="s">
        <v>5104</v>
      </c>
      <c r="G507" s="745" t="s">
        <v>18</v>
      </c>
      <c r="H507" s="745" t="s">
        <v>19</v>
      </c>
      <c r="I507" s="745" t="s">
        <v>230</v>
      </c>
      <c r="J507" s="755">
        <v>44291.0</v>
      </c>
      <c r="K507" s="762" t="s">
        <v>3664</v>
      </c>
      <c r="L507" s="754"/>
      <c r="M507" s="754"/>
      <c r="N507" s="754"/>
      <c r="O507" s="754"/>
      <c r="P507" s="754"/>
      <c r="Q507" s="754"/>
      <c r="R507" s="754"/>
      <c r="S507" s="754"/>
      <c r="T507" s="754"/>
      <c r="U507" s="754"/>
      <c r="V507" s="754"/>
      <c r="W507" s="754"/>
      <c r="X507" s="754"/>
      <c r="Y507" s="754"/>
      <c r="Z507" s="754"/>
      <c r="AA507" s="754"/>
      <c r="AB507" s="754"/>
      <c r="AC507" s="754"/>
      <c r="AD507" s="754"/>
      <c r="AE507" s="754"/>
      <c r="AF507" s="754"/>
      <c r="AG507" s="754"/>
      <c r="AH507" s="754"/>
      <c r="AI507" s="754"/>
      <c r="AJ507" s="754"/>
      <c r="AK507" s="754"/>
      <c r="AL507" s="754"/>
      <c r="AM507" s="754"/>
      <c r="AN507" s="754"/>
      <c r="AO507" s="754"/>
      <c r="AP507" s="754"/>
      <c r="AQ507" s="754"/>
      <c r="AR507" s="754"/>
      <c r="AS507" s="754"/>
      <c r="AT507" s="754"/>
      <c r="AU507" s="754"/>
    </row>
    <row r="508" ht="15.75" customHeight="1">
      <c r="A508" s="759">
        <v>44431.0</v>
      </c>
      <c r="B508" s="760" t="s">
        <v>3411</v>
      </c>
      <c r="C508" s="761" t="s">
        <v>2376</v>
      </c>
      <c r="D508" s="745" t="s">
        <v>5903</v>
      </c>
      <c r="E508" s="757">
        <v>86000.0</v>
      </c>
      <c r="F508" s="745" t="s">
        <v>3410</v>
      </c>
      <c r="G508" s="755" t="s">
        <v>18</v>
      </c>
      <c r="H508" s="755" t="s">
        <v>145</v>
      </c>
      <c r="I508" s="755" t="s">
        <v>2464</v>
      </c>
      <c r="J508" s="755">
        <v>44267.0</v>
      </c>
      <c r="K508" s="758" t="s">
        <v>3651</v>
      </c>
      <c r="L508" s="754"/>
      <c r="M508" s="754"/>
      <c r="N508" s="754"/>
      <c r="O508" s="754"/>
      <c r="P508" s="754"/>
      <c r="Q508" s="754"/>
      <c r="R508" s="754"/>
      <c r="S508" s="754"/>
      <c r="T508" s="754"/>
      <c r="U508" s="754"/>
      <c r="V508" s="754"/>
      <c r="W508" s="754"/>
      <c r="X508" s="754"/>
      <c r="Y508" s="754"/>
      <c r="Z508" s="754"/>
      <c r="AA508" s="754"/>
      <c r="AB508" s="754"/>
      <c r="AC508" s="754"/>
      <c r="AD508" s="754"/>
      <c r="AE508" s="754"/>
      <c r="AF508" s="754"/>
      <c r="AG508" s="754"/>
      <c r="AH508" s="754"/>
      <c r="AI508" s="754"/>
      <c r="AJ508" s="754"/>
      <c r="AK508" s="754"/>
      <c r="AL508" s="754"/>
      <c r="AM508" s="754"/>
      <c r="AN508" s="754"/>
      <c r="AO508" s="754"/>
      <c r="AP508" s="754"/>
      <c r="AQ508" s="754"/>
      <c r="AR508" s="754"/>
      <c r="AS508" s="754"/>
      <c r="AT508" s="754"/>
      <c r="AU508" s="754"/>
    </row>
    <row r="509" ht="15.75" customHeight="1">
      <c r="A509" s="759">
        <v>44431.0</v>
      </c>
      <c r="B509" s="760" t="s">
        <v>3235</v>
      </c>
      <c r="C509" s="761" t="s">
        <v>2376</v>
      </c>
      <c r="D509" s="745" t="s">
        <v>5903</v>
      </c>
      <c r="E509" s="757">
        <v>1000.0</v>
      </c>
      <c r="F509" s="745" t="s">
        <v>3234</v>
      </c>
      <c r="G509" s="755" t="s">
        <v>2379</v>
      </c>
      <c r="H509" s="755" t="s">
        <v>29</v>
      </c>
      <c r="I509" s="755" t="s">
        <v>2380</v>
      </c>
      <c r="J509" s="755">
        <v>43894.0</v>
      </c>
      <c r="K509" s="758" t="s">
        <v>3660</v>
      </c>
      <c r="L509" s="754"/>
      <c r="M509" s="754"/>
      <c r="N509" s="754"/>
      <c r="O509" s="754"/>
      <c r="P509" s="754"/>
      <c r="Q509" s="754"/>
      <c r="R509" s="754"/>
      <c r="S509" s="754"/>
      <c r="T509" s="754"/>
      <c r="U509" s="754"/>
      <c r="V509" s="754"/>
      <c r="W509" s="754"/>
      <c r="X509" s="754"/>
      <c r="Y509" s="754"/>
      <c r="Z509" s="754"/>
      <c r="AA509" s="754"/>
      <c r="AB509" s="754"/>
      <c r="AC509" s="754"/>
      <c r="AD509" s="754"/>
      <c r="AE509" s="754"/>
      <c r="AF509" s="754"/>
      <c r="AG509" s="754"/>
      <c r="AH509" s="754"/>
      <c r="AI509" s="754"/>
      <c r="AJ509" s="754"/>
      <c r="AK509" s="754"/>
      <c r="AL509" s="754"/>
      <c r="AM509" s="754"/>
      <c r="AN509" s="754"/>
      <c r="AO509" s="754"/>
      <c r="AP509" s="754"/>
      <c r="AQ509" s="754"/>
      <c r="AR509" s="754"/>
      <c r="AS509" s="754"/>
      <c r="AT509" s="754"/>
      <c r="AU509" s="754"/>
    </row>
    <row r="510" ht="15.75" customHeight="1">
      <c r="A510" s="759">
        <v>44431.0</v>
      </c>
      <c r="B510" s="760" t="s">
        <v>5928</v>
      </c>
      <c r="C510" s="761" t="s">
        <v>3642</v>
      </c>
      <c r="D510" s="745" t="s">
        <v>5903</v>
      </c>
      <c r="E510" s="757">
        <v>10000.0</v>
      </c>
      <c r="F510" s="745" t="s">
        <v>3986</v>
      </c>
      <c r="G510" s="745" t="s">
        <v>18</v>
      </c>
      <c r="H510" s="745" t="s">
        <v>29</v>
      </c>
      <c r="I510" s="745" t="s">
        <v>3987</v>
      </c>
      <c r="J510" s="755">
        <v>44089.0</v>
      </c>
      <c r="K510" s="762" t="s">
        <v>3657</v>
      </c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54"/>
      <c r="AB510" s="754"/>
      <c r="AC510" s="754"/>
      <c r="AD510" s="754"/>
      <c r="AE510" s="754"/>
      <c r="AF510" s="754"/>
      <c r="AG510" s="754"/>
      <c r="AH510" s="754"/>
      <c r="AI510" s="754"/>
      <c r="AJ510" s="754"/>
      <c r="AK510" s="754"/>
      <c r="AL510" s="754"/>
      <c r="AM510" s="754"/>
      <c r="AN510" s="754"/>
      <c r="AO510" s="754"/>
      <c r="AP510" s="754"/>
      <c r="AQ510" s="754"/>
      <c r="AR510" s="754"/>
      <c r="AS510" s="754"/>
      <c r="AT510" s="754"/>
      <c r="AU510" s="754"/>
    </row>
    <row r="511" ht="15.75" customHeight="1">
      <c r="A511" s="759">
        <v>44432.0</v>
      </c>
      <c r="B511" s="760" t="s">
        <v>3267</v>
      </c>
      <c r="C511" s="761" t="s">
        <v>2376</v>
      </c>
      <c r="D511" s="745" t="s">
        <v>5903</v>
      </c>
      <c r="E511" s="757">
        <v>15000.0</v>
      </c>
      <c r="F511" s="745" t="s">
        <v>3266</v>
      </c>
      <c r="G511" s="755" t="s">
        <v>18</v>
      </c>
      <c r="H511" s="755" t="s">
        <v>145</v>
      </c>
      <c r="I511" s="755" t="s">
        <v>171</v>
      </c>
      <c r="J511" s="755">
        <v>44319.0</v>
      </c>
      <c r="K511" s="758" t="s">
        <v>3651</v>
      </c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54"/>
      <c r="AB511" s="754"/>
      <c r="AC511" s="754"/>
      <c r="AD511" s="754"/>
      <c r="AE511" s="754"/>
      <c r="AF511" s="754"/>
      <c r="AG511" s="754"/>
      <c r="AH511" s="754"/>
      <c r="AI511" s="754"/>
      <c r="AJ511" s="754"/>
      <c r="AK511" s="754"/>
      <c r="AL511" s="754"/>
      <c r="AM511" s="754"/>
      <c r="AN511" s="754"/>
      <c r="AO511" s="754"/>
      <c r="AP511" s="754"/>
      <c r="AQ511" s="754"/>
      <c r="AR511" s="754"/>
      <c r="AS511" s="754"/>
      <c r="AT511" s="754"/>
      <c r="AU511" s="754"/>
    </row>
    <row r="512" ht="15.75" customHeight="1">
      <c r="A512" s="759">
        <v>44432.0</v>
      </c>
      <c r="B512" s="760" t="s">
        <v>3245</v>
      </c>
      <c r="C512" s="761" t="s">
        <v>2376</v>
      </c>
      <c r="D512" s="745" t="s">
        <v>2387</v>
      </c>
      <c r="E512" s="757">
        <v>50000.0</v>
      </c>
      <c r="F512" s="745" t="s">
        <v>3244</v>
      </c>
      <c r="G512" s="755" t="s">
        <v>18</v>
      </c>
      <c r="H512" s="755" t="s">
        <v>145</v>
      </c>
      <c r="I512" s="755" t="s">
        <v>171</v>
      </c>
      <c r="J512" s="755">
        <v>44279.0</v>
      </c>
      <c r="K512" s="758" t="s">
        <v>3651</v>
      </c>
      <c r="L512" s="754"/>
      <c r="M512" s="754"/>
      <c r="N512" s="754"/>
      <c r="O512" s="754"/>
      <c r="P512" s="754"/>
      <c r="Q512" s="754"/>
      <c r="R512" s="754"/>
      <c r="S512" s="754"/>
      <c r="T512" s="754"/>
      <c r="U512" s="754"/>
      <c r="V512" s="754"/>
      <c r="W512" s="754"/>
      <c r="X512" s="754"/>
      <c r="Y512" s="754"/>
      <c r="Z512" s="754"/>
      <c r="AA512" s="754"/>
      <c r="AB512" s="754"/>
      <c r="AC512" s="754"/>
      <c r="AD512" s="754"/>
      <c r="AE512" s="754"/>
      <c r="AF512" s="754"/>
      <c r="AG512" s="754"/>
      <c r="AH512" s="754"/>
      <c r="AI512" s="754"/>
      <c r="AJ512" s="754"/>
      <c r="AK512" s="754"/>
      <c r="AL512" s="754"/>
      <c r="AM512" s="754"/>
      <c r="AN512" s="754"/>
      <c r="AO512" s="754"/>
      <c r="AP512" s="754"/>
      <c r="AQ512" s="754"/>
      <c r="AR512" s="754"/>
      <c r="AS512" s="754"/>
      <c r="AT512" s="754"/>
      <c r="AU512" s="754"/>
    </row>
    <row r="513" ht="15.75" customHeight="1">
      <c r="A513" s="759">
        <v>44432.0</v>
      </c>
      <c r="B513" s="760" t="s">
        <v>2646</v>
      </c>
      <c r="C513" s="761" t="s">
        <v>2376</v>
      </c>
      <c r="D513" s="745" t="s">
        <v>5903</v>
      </c>
      <c r="E513" s="757">
        <v>150000.0</v>
      </c>
      <c r="F513" s="745" t="s">
        <v>2645</v>
      </c>
      <c r="G513" s="755" t="s">
        <v>18</v>
      </c>
      <c r="H513" s="755" t="s">
        <v>145</v>
      </c>
      <c r="I513" s="755" t="s">
        <v>146</v>
      </c>
      <c r="J513" s="755">
        <v>44328.0</v>
      </c>
      <c r="K513" s="758" t="s">
        <v>3651</v>
      </c>
      <c r="L513" s="754"/>
      <c r="M513" s="754"/>
      <c r="N513" s="754"/>
      <c r="O513" s="754"/>
      <c r="P513" s="754"/>
      <c r="Q513" s="754"/>
      <c r="R513" s="754"/>
      <c r="S513" s="754"/>
      <c r="T513" s="754"/>
      <c r="U513" s="754"/>
      <c r="V513" s="754"/>
      <c r="W513" s="754"/>
      <c r="X513" s="754"/>
      <c r="Y513" s="754"/>
      <c r="Z513" s="754"/>
      <c r="AA513" s="754"/>
      <c r="AB513" s="754"/>
      <c r="AC513" s="754"/>
      <c r="AD513" s="754"/>
      <c r="AE513" s="754"/>
      <c r="AF513" s="754"/>
      <c r="AG513" s="754"/>
      <c r="AH513" s="754"/>
      <c r="AI513" s="754"/>
      <c r="AJ513" s="754"/>
      <c r="AK513" s="754"/>
      <c r="AL513" s="754"/>
      <c r="AM513" s="754"/>
      <c r="AN513" s="754"/>
      <c r="AO513" s="754"/>
      <c r="AP513" s="754"/>
      <c r="AQ513" s="754"/>
      <c r="AR513" s="754"/>
      <c r="AS513" s="754"/>
      <c r="AT513" s="754"/>
      <c r="AU513" s="754"/>
    </row>
    <row r="514" ht="15.75" customHeight="1">
      <c r="A514" s="759">
        <v>44432.0</v>
      </c>
      <c r="B514" s="760" t="s">
        <v>5929</v>
      </c>
      <c r="C514" s="761" t="s">
        <v>3642</v>
      </c>
      <c r="D514" s="745" t="s">
        <v>5903</v>
      </c>
      <c r="E514" s="757">
        <v>130000.0</v>
      </c>
      <c r="F514" s="745" t="s">
        <v>3706</v>
      </c>
      <c r="G514" s="745" t="s">
        <v>2379</v>
      </c>
      <c r="H514" s="745" t="s">
        <v>29</v>
      </c>
      <c r="I514" s="745" t="s">
        <v>2379</v>
      </c>
      <c r="J514" s="755">
        <v>44180.0</v>
      </c>
      <c r="K514" s="762" t="s">
        <v>3651</v>
      </c>
      <c r="L514" s="754"/>
      <c r="M514" s="754"/>
      <c r="N514" s="754"/>
      <c r="O514" s="754"/>
      <c r="P514" s="754"/>
      <c r="Q514" s="754"/>
      <c r="R514" s="754"/>
      <c r="S514" s="754"/>
      <c r="T514" s="754"/>
      <c r="U514" s="754"/>
      <c r="V514" s="754"/>
      <c r="W514" s="754"/>
      <c r="X514" s="754"/>
      <c r="Y514" s="754"/>
      <c r="Z514" s="754"/>
      <c r="AA514" s="754"/>
      <c r="AB514" s="754"/>
      <c r="AC514" s="754"/>
      <c r="AD514" s="754"/>
      <c r="AE514" s="754"/>
      <c r="AF514" s="754"/>
      <c r="AG514" s="754"/>
      <c r="AH514" s="754"/>
      <c r="AI514" s="754"/>
      <c r="AJ514" s="754"/>
      <c r="AK514" s="754"/>
      <c r="AL514" s="754"/>
      <c r="AM514" s="754"/>
      <c r="AN514" s="754"/>
      <c r="AO514" s="754"/>
      <c r="AP514" s="754"/>
      <c r="AQ514" s="754"/>
      <c r="AR514" s="754"/>
      <c r="AS514" s="754"/>
      <c r="AT514" s="754"/>
      <c r="AU514" s="754"/>
    </row>
    <row r="515" ht="15.75" customHeight="1">
      <c r="A515" s="759">
        <v>44433.0</v>
      </c>
      <c r="B515" s="760" t="s">
        <v>5929</v>
      </c>
      <c r="C515" s="761" t="s">
        <v>3642</v>
      </c>
      <c r="D515" s="745" t="s">
        <v>5903</v>
      </c>
      <c r="E515" s="757">
        <v>43000.0</v>
      </c>
      <c r="F515" s="745" t="s">
        <v>3706</v>
      </c>
      <c r="G515" s="745" t="s">
        <v>2379</v>
      </c>
      <c r="H515" s="745" t="s">
        <v>29</v>
      </c>
      <c r="I515" s="745" t="s">
        <v>2379</v>
      </c>
      <c r="J515" s="755">
        <v>44180.0</v>
      </c>
      <c r="K515" s="762" t="s">
        <v>3651</v>
      </c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54"/>
      <c r="AB515" s="754"/>
      <c r="AC515" s="754"/>
      <c r="AD515" s="754"/>
      <c r="AE515" s="754"/>
      <c r="AF515" s="754"/>
      <c r="AG515" s="754"/>
      <c r="AH515" s="754"/>
      <c r="AI515" s="754"/>
      <c r="AJ515" s="754"/>
      <c r="AK515" s="754"/>
      <c r="AL515" s="754"/>
      <c r="AM515" s="754"/>
      <c r="AN515" s="754"/>
      <c r="AO515" s="754"/>
      <c r="AP515" s="754"/>
      <c r="AQ515" s="754"/>
      <c r="AR515" s="754"/>
      <c r="AS515" s="754"/>
      <c r="AT515" s="754"/>
      <c r="AU515" s="754"/>
    </row>
    <row r="516" ht="15.75" customHeight="1">
      <c r="A516" s="759">
        <v>44433.0</v>
      </c>
      <c r="B516" s="760" t="s">
        <v>3235</v>
      </c>
      <c r="C516" s="761" t="s">
        <v>2376</v>
      </c>
      <c r="D516" s="745" t="s">
        <v>5903</v>
      </c>
      <c r="E516" s="757">
        <v>40000.0</v>
      </c>
      <c r="F516" s="745" t="s">
        <v>3234</v>
      </c>
      <c r="G516" s="755" t="s">
        <v>2379</v>
      </c>
      <c r="H516" s="755" t="s">
        <v>29</v>
      </c>
      <c r="I516" s="755" t="s">
        <v>2380</v>
      </c>
      <c r="J516" s="755">
        <v>43894.0</v>
      </c>
      <c r="K516" s="758" t="s">
        <v>3660</v>
      </c>
      <c r="L516" s="754"/>
      <c r="M516" s="754"/>
      <c r="N516" s="754"/>
      <c r="O516" s="754"/>
      <c r="P516" s="754"/>
      <c r="Q516" s="754"/>
      <c r="R516" s="754"/>
      <c r="S516" s="754"/>
      <c r="T516" s="754"/>
      <c r="U516" s="754"/>
      <c r="V516" s="754"/>
      <c r="W516" s="754"/>
      <c r="X516" s="754"/>
      <c r="Y516" s="754"/>
      <c r="Z516" s="754"/>
      <c r="AA516" s="754"/>
      <c r="AB516" s="754"/>
      <c r="AC516" s="754"/>
      <c r="AD516" s="754"/>
      <c r="AE516" s="754"/>
      <c r="AF516" s="754"/>
      <c r="AG516" s="754"/>
      <c r="AH516" s="754"/>
      <c r="AI516" s="754"/>
      <c r="AJ516" s="754"/>
      <c r="AK516" s="754"/>
      <c r="AL516" s="754"/>
      <c r="AM516" s="754"/>
      <c r="AN516" s="754"/>
      <c r="AO516" s="754"/>
      <c r="AP516" s="754"/>
      <c r="AQ516" s="754"/>
      <c r="AR516" s="754"/>
      <c r="AS516" s="754"/>
      <c r="AT516" s="754"/>
      <c r="AU516" s="754"/>
    </row>
    <row r="517" ht="15.75" customHeight="1">
      <c r="A517" s="759">
        <v>44433.0</v>
      </c>
      <c r="B517" s="760" t="s">
        <v>2870</v>
      </c>
      <c r="C517" s="761" t="s">
        <v>2376</v>
      </c>
      <c r="D517" s="745" t="s">
        <v>5903</v>
      </c>
      <c r="E517" s="757">
        <v>75000.0</v>
      </c>
      <c r="F517" s="745" t="s">
        <v>2869</v>
      </c>
      <c r="G517" s="755" t="s">
        <v>2379</v>
      </c>
      <c r="H517" s="755" t="s">
        <v>29</v>
      </c>
      <c r="I517" s="755" t="s">
        <v>2380</v>
      </c>
      <c r="J517" s="755">
        <v>43605.0</v>
      </c>
      <c r="K517" s="758" t="s">
        <v>3660</v>
      </c>
      <c r="L517" s="754"/>
      <c r="M517" s="754"/>
      <c r="N517" s="754"/>
      <c r="O517" s="754"/>
      <c r="P517" s="754"/>
      <c r="Q517" s="754"/>
      <c r="R517" s="754"/>
      <c r="S517" s="754"/>
      <c r="T517" s="754"/>
      <c r="U517" s="754"/>
      <c r="V517" s="754"/>
      <c r="W517" s="754"/>
      <c r="X517" s="754"/>
      <c r="Y517" s="754"/>
      <c r="Z517" s="754"/>
      <c r="AA517" s="754"/>
      <c r="AB517" s="754"/>
      <c r="AC517" s="754"/>
      <c r="AD517" s="754"/>
      <c r="AE517" s="754"/>
      <c r="AF517" s="754"/>
      <c r="AG517" s="754"/>
      <c r="AH517" s="754"/>
      <c r="AI517" s="754"/>
      <c r="AJ517" s="754"/>
      <c r="AK517" s="754"/>
      <c r="AL517" s="754"/>
      <c r="AM517" s="754"/>
      <c r="AN517" s="754"/>
      <c r="AO517" s="754"/>
      <c r="AP517" s="754"/>
      <c r="AQ517" s="754"/>
      <c r="AR517" s="754"/>
      <c r="AS517" s="754"/>
      <c r="AT517" s="754"/>
      <c r="AU517" s="754"/>
    </row>
    <row r="518" ht="15.75" customHeight="1">
      <c r="A518" s="759">
        <v>44434.0</v>
      </c>
      <c r="B518" s="760" t="s">
        <v>5941</v>
      </c>
      <c r="C518" s="761" t="s">
        <v>3642</v>
      </c>
      <c r="D518" s="745" t="s">
        <v>5903</v>
      </c>
      <c r="E518" s="757">
        <v>3000.0</v>
      </c>
      <c r="F518" s="745" t="s">
        <v>4928</v>
      </c>
      <c r="G518" s="745" t="s">
        <v>86</v>
      </c>
      <c r="H518" s="745" t="s">
        <v>29</v>
      </c>
      <c r="I518" s="745" t="s">
        <v>4314</v>
      </c>
      <c r="J518" s="755">
        <v>44180.0</v>
      </c>
      <c r="K518" s="762" t="s">
        <v>3651</v>
      </c>
      <c r="L518" s="754"/>
      <c r="M518" s="754"/>
      <c r="N518" s="754"/>
      <c r="O518" s="754"/>
      <c r="P518" s="754"/>
      <c r="Q518" s="754"/>
      <c r="R518" s="754"/>
      <c r="S518" s="754"/>
      <c r="T518" s="754"/>
      <c r="U518" s="754"/>
      <c r="V518" s="754"/>
      <c r="W518" s="754"/>
      <c r="X518" s="754"/>
      <c r="Y518" s="754"/>
      <c r="Z518" s="754"/>
      <c r="AA518" s="754"/>
      <c r="AB518" s="754"/>
      <c r="AC518" s="754"/>
      <c r="AD518" s="754"/>
      <c r="AE518" s="754"/>
      <c r="AF518" s="754"/>
      <c r="AG518" s="754"/>
      <c r="AH518" s="754"/>
      <c r="AI518" s="754"/>
      <c r="AJ518" s="754"/>
      <c r="AK518" s="754"/>
      <c r="AL518" s="754"/>
      <c r="AM518" s="754"/>
      <c r="AN518" s="754"/>
      <c r="AO518" s="754"/>
      <c r="AP518" s="754"/>
      <c r="AQ518" s="754"/>
      <c r="AR518" s="754"/>
      <c r="AS518" s="754"/>
      <c r="AT518" s="754"/>
      <c r="AU518" s="754"/>
    </row>
    <row r="519" ht="15.75" customHeight="1">
      <c r="A519" s="759">
        <v>44434.0</v>
      </c>
      <c r="B519" s="760" t="s">
        <v>3043</v>
      </c>
      <c r="C519" s="761" t="s">
        <v>2376</v>
      </c>
      <c r="D519" s="745" t="s">
        <v>5903</v>
      </c>
      <c r="E519" s="757">
        <v>2000.0</v>
      </c>
      <c r="F519" s="745" t="s">
        <v>3042</v>
      </c>
      <c r="G519" s="755" t="s">
        <v>18</v>
      </c>
      <c r="H519" s="755" t="s">
        <v>145</v>
      </c>
      <c r="I519" s="755" t="s">
        <v>171</v>
      </c>
      <c r="J519" s="755">
        <v>44322.0</v>
      </c>
      <c r="K519" s="758" t="s">
        <v>3651</v>
      </c>
      <c r="L519" s="754"/>
      <c r="M519" s="754"/>
      <c r="N519" s="754"/>
      <c r="O519" s="754"/>
      <c r="P519" s="754"/>
      <c r="Q519" s="754"/>
      <c r="R519" s="754"/>
      <c r="S519" s="754"/>
      <c r="T519" s="754"/>
      <c r="U519" s="754"/>
      <c r="V519" s="754"/>
      <c r="W519" s="754"/>
      <c r="X519" s="754"/>
      <c r="Y519" s="754"/>
      <c r="Z519" s="754"/>
      <c r="AA519" s="754"/>
      <c r="AB519" s="754"/>
      <c r="AC519" s="754"/>
      <c r="AD519" s="754"/>
      <c r="AE519" s="754"/>
      <c r="AF519" s="754"/>
      <c r="AG519" s="754"/>
      <c r="AH519" s="754"/>
      <c r="AI519" s="754"/>
      <c r="AJ519" s="754"/>
      <c r="AK519" s="754"/>
      <c r="AL519" s="754"/>
      <c r="AM519" s="754"/>
      <c r="AN519" s="754"/>
      <c r="AO519" s="754"/>
      <c r="AP519" s="754"/>
      <c r="AQ519" s="754"/>
      <c r="AR519" s="754"/>
      <c r="AS519" s="754"/>
      <c r="AT519" s="754"/>
      <c r="AU519" s="754"/>
    </row>
    <row r="520" ht="15.75" customHeight="1">
      <c r="A520" s="755">
        <v>44435.0</v>
      </c>
      <c r="B520" s="756" t="s">
        <v>2571</v>
      </c>
      <c r="C520" s="745" t="s">
        <v>2376</v>
      </c>
      <c r="D520" s="745" t="s">
        <v>5902</v>
      </c>
      <c r="E520" s="757">
        <v>104633.35</v>
      </c>
      <c r="F520" s="745" t="s">
        <v>2570</v>
      </c>
      <c r="G520" s="755" t="s">
        <v>18</v>
      </c>
      <c r="H520" s="755" t="s">
        <v>145</v>
      </c>
      <c r="I520" s="755" t="s">
        <v>2464</v>
      </c>
      <c r="J520" s="755">
        <v>44273.0</v>
      </c>
      <c r="K520" s="758" t="s">
        <v>3651</v>
      </c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54"/>
      <c r="AB520" s="754"/>
      <c r="AC520" s="754"/>
      <c r="AD520" s="754"/>
      <c r="AE520" s="754"/>
      <c r="AF520" s="754"/>
      <c r="AG520" s="754"/>
      <c r="AH520" s="754"/>
      <c r="AI520" s="754"/>
      <c r="AJ520" s="754"/>
      <c r="AK520" s="754"/>
      <c r="AL520" s="754"/>
      <c r="AM520" s="754"/>
      <c r="AN520" s="754"/>
      <c r="AO520" s="754"/>
      <c r="AP520" s="754"/>
      <c r="AQ520" s="754"/>
      <c r="AR520" s="754"/>
      <c r="AS520" s="754"/>
      <c r="AT520" s="754"/>
      <c r="AU520" s="754"/>
    </row>
    <row r="521" ht="15.75" customHeight="1">
      <c r="A521" s="755">
        <v>44438.0</v>
      </c>
      <c r="B521" s="756" t="s">
        <v>5986</v>
      </c>
      <c r="C521" s="745" t="s">
        <v>3642</v>
      </c>
      <c r="D521" s="745" t="s">
        <v>5902</v>
      </c>
      <c r="E521" s="757">
        <v>0.0</v>
      </c>
      <c r="F521" s="745" t="s">
        <v>4947</v>
      </c>
      <c r="G521" s="745" t="s">
        <v>18</v>
      </c>
      <c r="H521" s="745" t="s">
        <v>29</v>
      </c>
      <c r="I521" s="745" t="s">
        <v>3650</v>
      </c>
      <c r="J521" s="755">
        <v>44133.0</v>
      </c>
      <c r="K521" s="762" t="s">
        <v>3660</v>
      </c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54"/>
      <c r="AB521" s="754"/>
      <c r="AC521" s="754"/>
      <c r="AD521" s="754"/>
      <c r="AE521" s="754"/>
      <c r="AF521" s="754"/>
      <c r="AG521" s="754"/>
      <c r="AH521" s="754"/>
      <c r="AI521" s="754"/>
      <c r="AJ521" s="754"/>
      <c r="AK521" s="754"/>
      <c r="AL521" s="754"/>
      <c r="AM521" s="754"/>
      <c r="AN521" s="754"/>
      <c r="AO521" s="754"/>
      <c r="AP521" s="754"/>
      <c r="AQ521" s="754"/>
      <c r="AR521" s="754"/>
      <c r="AS521" s="754"/>
      <c r="AT521" s="754"/>
      <c r="AU521" s="754"/>
    </row>
    <row r="522" ht="15.75" customHeight="1">
      <c r="A522" s="759">
        <v>44438.0</v>
      </c>
      <c r="B522" s="760" t="s">
        <v>2739</v>
      </c>
      <c r="C522" s="761" t="s">
        <v>2376</v>
      </c>
      <c r="D522" s="745" t="s">
        <v>5903</v>
      </c>
      <c r="E522" s="757">
        <v>50000.0</v>
      </c>
      <c r="F522" s="745" t="s">
        <v>897</v>
      </c>
      <c r="G522" s="755" t="s">
        <v>18</v>
      </c>
      <c r="H522" s="755" t="s">
        <v>145</v>
      </c>
      <c r="I522" s="755" t="s">
        <v>146</v>
      </c>
      <c r="J522" s="755">
        <v>44340.0</v>
      </c>
      <c r="K522" s="758" t="s">
        <v>3660</v>
      </c>
      <c r="L522" s="754"/>
      <c r="M522" s="754"/>
      <c r="N522" s="754"/>
      <c r="O522" s="754"/>
      <c r="P522" s="754"/>
      <c r="Q522" s="754"/>
      <c r="R522" s="754"/>
      <c r="S522" s="754"/>
      <c r="T522" s="754"/>
      <c r="U522" s="754"/>
      <c r="V522" s="754"/>
      <c r="W522" s="754"/>
      <c r="X522" s="754"/>
      <c r="Y522" s="754"/>
      <c r="Z522" s="754"/>
      <c r="AA522" s="754"/>
      <c r="AB522" s="754"/>
      <c r="AC522" s="754"/>
      <c r="AD522" s="754"/>
      <c r="AE522" s="754"/>
      <c r="AF522" s="754"/>
      <c r="AG522" s="754"/>
      <c r="AH522" s="754"/>
      <c r="AI522" s="754"/>
      <c r="AJ522" s="754"/>
      <c r="AK522" s="754"/>
      <c r="AL522" s="754"/>
      <c r="AM522" s="754"/>
      <c r="AN522" s="754"/>
      <c r="AO522" s="754"/>
      <c r="AP522" s="754"/>
      <c r="AQ522" s="754"/>
      <c r="AR522" s="754"/>
      <c r="AS522" s="754"/>
      <c r="AT522" s="754"/>
      <c r="AU522" s="754"/>
    </row>
    <row r="523" ht="15.75" customHeight="1">
      <c r="A523" s="755">
        <v>44439.0</v>
      </c>
      <c r="B523" s="756" t="s">
        <v>3315</v>
      </c>
      <c r="C523" s="745" t="s">
        <v>2376</v>
      </c>
      <c r="D523" s="745" t="s">
        <v>5902</v>
      </c>
      <c r="E523" s="757">
        <v>397214.14</v>
      </c>
      <c r="F523" s="745" t="s">
        <v>3314</v>
      </c>
      <c r="G523" s="755" t="s">
        <v>2379</v>
      </c>
      <c r="H523" s="755" t="s">
        <v>29</v>
      </c>
      <c r="I523" s="755" t="s">
        <v>2392</v>
      </c>
      <c r="J523" s="755">
        <v>43539.0</v>
      </c>
      <c r="K523" s="758" t="s">
        <v>3651</v>
      </c>
      <c r="L523" s="754"/>
      <c r="M523" s="754"/>
      <c r="N523" s="754"/>
      <c r="O523" s="754"/>
      <c r="P523" s="754"/>
      <c r="Q523" s="754"/>
      <c r="R523" s="754"/>
      <c r="S523" s="754"/>
      <c r="T523" s="754"/>
      <c r="U523" s="754"/>
      <c r="V523" s="754"/>
      <c r="W523" s="754"/>
      <c r="X523" s="754"/>
      <c r="Y523" s="754"/>
      <c r="Z523" s="754"/>
      <c r="AA523" s="754"/>
      <c r="AB523" s="754"/>
      <c r="AC523" s="754"/>
      <c r="AD523" s="754"/>
      <c r="AE523" s="754"/>
      <c r="AF523" s="754"/>
      <c r="AG523" s="754"/>
      <c r="AH523" s="754"/>
      <c r="AI523" s="754"/>
      <c r="AJ523" s="754"/>
      <c r="AK523" s="754"/>
      <c r="AL523" s="754"/>
      <c r="AM523" s="754"/>
      <c r="AN523" s="754"/>
      <c r="AO523" s="754"/>
      <c r="AP523" s="754"/>
      <c r="AQ523" s="754"/>
      <c r="AR523" s="754"/>
      <c r="AS523" s="754"/>
      <c r="AT523" s="754"/>
      <c r="AU523" s="754"/>
    </row>
    <row r="524" ht="15.75" customHeight="1">
      <c r="A524" s="755">
        <v>44439.0</v>
      </c>
      <c r="B524" s="756" t="s">
        <v>3317</v>
      </c>
      <c r="C524" s="745" t="s">
        <v>2376</v>
      </c>
      <c r="D524" s="745" t="s">
        <v>5902</v>
      </c>
      <c r="E524" s="757">
        <v>40150.79</v>
      </c>
      <c r="F524" s="745" t="s">
        <v>3314</v>
      </c>
      <c r="G524" s="755" t="s">
        <v>2379</v>
      </c>
      <c r="H524" s="755" t="s">
        <v>29</v>
      </c>
      <c r="I524" s="755" t="s">
        <v>2392</v>
      </c>
      <c r="J524" s="755">
        <v>44397.0</v>
      </c>
      <c r="K524" s="758" t="s">
        <v>3693</v>
      </c>
      <c r="L524" s="754"/>
      <c r="M524" s="754"/>
      <c r="N524" s="754"/>
      <c r="O524" s="754"/>
      <c r="P524" s="754"/>
      <c r="Q524" s="754"/>
      <c r="R524" s="754"/>
      <c r="S524" s="754"/>
      <c r="T524" s="754"/>
      <c r="U524" s="754"/>
      <c r="V524" s="754"/>
      <c r="W524" s="754"/>
      <c r="X524" s="754"/>
      <c r="Y524" s="754"/>
      <c r="Z524" s="754"/>
      <c r="AA524" s="754"/>
      <c r="AB524" s="754"/>
      <c r="AC524" s="754"/>
      <c r="AD524" s="754"/>
      <c r="AE524" s="754"/>
      <c r="AF524" s="754"/>
      <c r="AG524" s="754"/>
      <c r="AH524" s="754"/>
      <c r="AI524" s="754"/>
      <c r="AJ524" s="754"/>
      <c r="AK524" s="754"/>
      <c r="AL524" s="754"/>
      <c r="AM524" s="754"/>
      <c r="AN524" s="754"/>
      <c r="AO524" s="754"/>
      <c r="AP524" s="754"/>
      <c r="AQ524" s="754"/>
      <c r="AR524" s="754"/>
      <c r="AS524" s="754"/>
      <c r="AT524" s="754"/>
      <c r="AU524" s="754"/>
    </row>
    <row r="525" ht="15.75" customHeight="1">
      <c r="A525" s="759">
        <v>44439.0</v>
      </c>
      <c r="B525" s="760" t="s">
        <v>3128</v>
      </c>
      <c r="C525" s="761" t="s">
        <v>2376</v>
      </c>
      <c r="D525" s="745" t="s">
        <v>5903</v>
      </c>
      <c r="E525" s="757">
        <v>20000.0</v>
      </c>
      <c r="F525" s="745" t="s">
        <v>3127</v>
      </c>
      <c r="G525" s="755" t="s">
        <v>18</v>
      </c>
      <c r="H525" s="755" t="s">
        <v>145</v>
      </c>
      <c r="I525" s="755" t="s">
        <v>146</v>
      </c>
      <c r="J525" s="755">
        <v>44319.0</v>
      </c>
      <c r="K525" s="758" t="s">
        <v>3651</v>
      </c>
      <c r="L525" s="754"/>
      <c r="M525" s="754"/>
      <c r="N525" s="754"/>
      <c r="O525" s="754"/>
      <c r="P525" s="754"/>
      <c r="Q525" s="754"/>
      <c r="R525" s="754"/>
      <c r="S525" s="754"/>
      <c r="T525" s="754"/>
      <c r="U525" s="754"/>
      <c r="V525" s="754"/>
      <c r="W525" s="754"/>
      <c r="X525" s="754"/>
      <c r="Y525" s="754"/>
      <c r="Z525" s="754"/>
      <c r="AA525" s="754"/>
      <c r="AB525" s="754"/>
      <c r="AC525" s="754"/>
      <c r="AD525" s="754"/>
      <c r="AE525" s="754"/>
      <c r="AF525" s="754"/>
      <c r="AG525" s="754"/>
      <c r="AH525" s="754"/>
      <c r="AI525" s="754"/>
      <c r="AJ525" s="754"/>
      <c r="AK525" s="754"/>
      <c r="AL525" s="754"/>
      <c r="AM525" s="754"/>
      <c r="AN525" s="754"/>
      <c r="AO525" s="754"/>
      <c r="AP525" s="754"/>
      <c r="AQ525" s="754"/>
      <c r="AR525" s="754"/>
      <c r="AS525" s="754"/>
      <c r="AT525" s="754"/>
      <c r="AU525" s="754"/>
    </row>
    <row r="526" ht="15.75" customHeight="1">
      <c r="A526" s="759">
        <v>44439.0</v>
      </c>
      <c r="B526" s="760" t="s">
        <v>2628</v>
      </c>
      <c r="C526" s="761" t="s">
        <v>2376</v>
      </c>
      <c r="D526" s="745" t="s">
        <v>5903</v>
      </c>
      <c r="E526" s="757">
        <v>130000.0</v>
      </c>
      <c r="F526" s="745" t="s">
        <v>582</v>
      </c>
      <c r="G526" s="755" t="s">
        <v>18</v>
      </c>
      <c r="H526" s="755" t="s">
        <v>145</v>
      </c>
      <c r="I526" s="755" t="s">
        <v>146</v>
      </c>
      <c r="J526" s="755">
        <v>44280.0</v>
      </c>
      <c r="K526" s="758" t="s">
        <v>3651</v>
      </c>
      <c r="L526" s="754"/>
      <c r="M526" s="754"/>
      <c r="N526" s="754"/>
      <c r="O526" s="754"/>
      <c r="P526" s="754"/>
      <c r="Q526" s="754"/>
      <c r="R526" s="754"/>
      <c r="S526" s="754"/>
      <c r="T526" s="754"/>
      <c r="U526" s="754"/>
      <c r="V526" s="754"/>
      <c r="W526" s="754"/>
      <c r="X526" s="754"/>
      <c r="Y526" s="754"/>
      <c r="Z526" s="754"/>
      <c r="AA526" s="754"/>
      <c r="AB526" s="754"/>
      <c r="AC526" s="754"/>
      <c r="AD526" s="754"/>
      <c r="AE526" s="754"/>
      <c r="AF526" s="754"/>
      <c r="AG526" s="754"/>
      <c r="AH526" s="754"/>
      <c r="AI526" s="754"/>
      <c r="AJ526" s="754"/>
      <c r="AK526" s="754"/>
      <c r="AL526" s="754"/>
      <c r="AM526" s="754"/>
      <c r="AN526" s="754"/>
      <c r="AO526" s="754"/>
      <c r="AP526" s="754"/>
      <c r="AQ526" s="754"/>
      <c r="AR526" s="754"/>
      <c r="AS526" s="754"/>
      <c r="AT526" s="754"/>
      <c r="AU526" s="754"/>
    </row>
    <row r="527" ht="15.75" customHeight="1">
      <c r="A527" s="759">
        <v>44440.0</v>
      </c>
      <c r="B527" s="760" t="s">
        <v>2676</v>
      </c>
      <c r="C527" s="761" t="s">
        <v>2376</v>
      </c>
      <c r="D527" s="745" t="s">
        <v>5903</v>
      </c>
      <c r="E527" s="757">
        <v>20000.0</v>
      </c>
      <c r="F527" s="745" t="s">
        <v>691</v>
      </c>
      <c r="G527" s="755" t="s">
        <v>18</v>
      </c>
      <c r="H527" s="755" t="s">
        <v>145</v>
      </c>
      <c r="I527" s="755" t="s">
        <v>146</v>
      </c>
      <c r="J527" s="755">
        <v>44321.0</v>
      </c>
      <c r="K527" s="758" t="s">
        <v>3651</v>
      </c>
      <c r="L527" s="754"/>
      <c r="M527" s="754"/>
      <c r="N527" s="754"/>
      <c r="O527" s="754"/>
      <c r="P527" s="754"/>
      <c r="Q527" s="754"/>
      <c r="R527" s="754"/>
      <c r="S527" s="754"/>
      <c r="T527" s="754"/>
      <c r="U527" s="754"/>
      <c r="V527" s="754"/>
      <c r="W527" s="754"/>
      <c r="X527" s="754"/>
      <c r="Y527" s="754"/>
      <c r="Z527" s="754"/>
      <c r="AA527" s="754"/>
      <c r="AB527" s="754"/>
      <c r="AC527" s="754"/>
      <c r="AD527" s="754"/>
      <c r="AE527" s="754"/>
      <c r="AF527" s="754"/>
      <c r="AG527" s="754"/>
      <c r="AH527" s="754"/>
      <c r="AI527" s="754"/>
      <c r="AJ527" s="754"/>
      <c r="AK527" s="754"/>
      <c r="AL527" s="754"/>
      <c r="AM527" s="754"/>
      <c r="AN527" s="754"/>
      <c r="AO527" s="754"/>
      <c r="AP527" s="754"/>
      <c r="AQ527" s="754"/>
      <c r="AR527" s="754"/>
      <c r="AS527" s="754"/>
      <c r="AT527" s="754"/>
      <c r="AU527" s="754"/>
    </row>
    <row r="528" ht="15.75" customHeight="1">
      <c r="A528" s="759">
        <v>44440.0</v>
      </c>
      <c r="B528" s="760" t="s">
        <v>3073</v>
      </c>
      <c r="C528" s="761" t="s">
        <v>2376</v>
      </c>
      <c r="D528" s="745" t="s">
        <v>5903</v>
      </c>
      <c r="E528" s="757">
        <v>300000.0</v>
      </c>
      <c r="F528" s="745" t="s">
        <v>3072</v>
      </c>
      <c r="G528" s="755" t="s">
        <v>2379</v>
      </c>
      <c r="H528" s="755" t="s">
        <v>29</v>
      </c>
      <c r="I528" s="755" t="s">
        <v>2380</v>
      </c>
      <c r="J528" s="755">
        <v>43564.0</v>
      </c>
      <c r="K528" s="758" t="s">
        <v>3664</v>
      </c>
      <c r="L528" s="754"/>
      <c r="M528" s="754"/>
      <c r="N528" s="754"/>
      <c r="O528" s="754"/>
      <c r="P528" s="754"/>
      <c r="Q528" s="754"/>
      <c r="R528" s="754"/>
      <c r="S528" s="754"/>
      <c r="T528" s="754"/>
      <c r="U528" s="754"/>
      <c r="V528" s="754"/>
      <c r="W528" s="754"/>
      <c r="X528" s="754"/>
      <c r="Y528" s="754"/>
      <c r="Z528" s="754"/>
      <c r="AA528" s="754"/>
      <c r="AB528" s="754"/>
      <c r="AC528" s="754"/>
      <c r="AD528" s="754"/>
      <c r="AE528" s="754"/>
      <c r="AF528" s="754"/>
      <c r="AG528" s="754"/>
      <c r="AH528" s="754"/>
      <c r="AI528" s="754"/>
      <c r="AJ528" s="754"/>
      <c r="AK528" s="754"/>
      <c r="AL528" s="754"/>
      <c r="AM528" s="754"/>
      <c r="AN528" s="754"/>
      <c r="AO528" s="754"/>
      <c r="AP528" s="754"/>
      <c r="AQ528" s="754"/>
      <c r="AR528" s="754"/>
      <c r="AS528" s="754"/>
      <c r="AT528" s="754"/>
      <c r="AU528" s="754"/>
    </row>
    <row r="529" ht="15.75" customHeight="1">
      <c r="A529" s="759">
        <v>44441.0</v>
      </c>
      <c r="B529" s="760" t="s">
        <v>5925</v>
      </c>
      <c r="C529" s="761" t="s">
        <v>3642</v>
      </c>
      <c r="D529" s="745" t="s">
        <v>5903</v>
      </c>
      <c r="E529" s="757">
        <v>25000.0</v>
      </c>
      <c r="F529" s="745" t="s">
        <v>4215</v>
      </c>
      <c r="G529" s="745" t="s">
        <v>86</v>
      </c>
      <c r="H529" s="745" t="s">
        <v>29</v>
      </c>
      <c r="I529" s="745" t="s">
        <v>3711</v>
      </c>
      <c r="J529" s="792">
        <v>44263.0</v>
      </c>
      <c r="K529" s="762" t="s">
        <v>3651</v>
      </c>
      <c r="L529" s="754"/>
      <c r="M529" s="754"/>
      <c r="N529" s="754"/>
      <c r="O529" s="754"/>
      <c r="P529" s="754"/>
      <c r="Q529" s="754"/>
      <c r="R529" s="754"/>
      <c r="S529" s="754"/>
      <c r="T529" s="754"/>
      <c r="U529" s="754"/>
      <c r="V529" s="754"/>
      <c r="W529" s="754"/>
      <c r="X529" s="754"/>
      <c r="Y529" s="754"/>
      <c r="Z529" s="754"/>
      <c r="AA529" s="754"/>
      <c r="AB529" s="754"/>
      <c r="AC529" s="754"/>
      <c r="AD529" s="754"/>
      <c r="AE529" s="754"/>
      <c r="AF529" s="754"/>
      <c r="AG529" s="754"/>
      <c r="AH529" s="754"/>
      <c r="AI529" s="754"/>
      <c r="AJ529" s="754"/>
      <c r="AK529" s="754"/>
      <c r="AL529" s="754"/>
      <c r="AM529" s="754"/>
      <c r="AN529" s="754"/>
      <c r="AO529" s="754"/>
      <c r="AP529" s="754"/>
      <c r="AQ529" s="754"/>
      <c r="AR529" s="754"/>
      <c r="AS529" s="754"/>
      <c r="AT529" s="754"/>
      <c r="AU529" s="754"/>
    </row>
    <row r="530" ht="15.75" customHeight="1">
      <c r="A530" s="759">
        <v>44441.0</v>
      </c>
      <c r="B530" s="760" t="s">
        <v>2870</v>
      </c>
      <c r="C530" s="761" t="s">
        <v>2376</v>
      </c>
      <c r="D530" s="745" t="s">
        <v>5903</v>
      </c>
      <c r="E530" s="757">
        <v>17000.0</v>
      </c>
      <c r="F530" s="745" t="s">
        <v>2869</v>
      </c>
      <c r="G530" s="755" t="s">
        <v>2379</v>
      </c>
      <c r="H530" s="755" t="s">
        <v>29</v>
      </c>
      <c r="I530" s="755" t="s">
        <v>2380</v>
      </c>
      <c r="J530" s="755">
        <v>43605.0</v>
      </c>
      <c r="K530" s="758" t="s">
        <v>3660</v>
      </c>
      <c r="L530" s="754"/>
      <c r="M530" s="754"/>
      <c r="N530" s="754"/>
      <c r="O530" s="754"/>
      <c r="P530" s="754"/>
      <c r="Q530" s="754"/>
      <c r="R530" s="754"/>
      <c r="S530" s="754"/>
      <c r="T530" s="754"/>
      <c r="U530" s="754"/>
      <c r="V530" s="754"/>
      <c r="W530" s="754"/>
      <c r="X530" s="754"/>
      <c r="Y530" s="754"/>
      <c r="Z530" s="754"/>
      <c r="AA530" s="754"/>
      <c r="AB530" s="754"/>
      <c r="AC530" s="754"/>
      <c r="AD530" s="754"/>
      <c r="AE530" s="754"/>
      <c r="AF530" s="754"/>
      <c r="AG530" s="754"/>
      <c r="AH530" s="754"/>
      <c r="AI530" s="754"/>
      <c r="AJ530" s="754"/>
      <c r="AK530" s="754"/>
      <c r="AL530" s="754"/>
      <c r="AM530" s="754"/>
      <c r="AN530" s="754"/>
      <c r="AO530" s="754"/>
      <c r="AP530" s="754"/>
      <c r="AQ530" s="754"/>
      <c r="AR530" s="754"/>
      <c r="AS530" s="754"/>
      <c r="AT530" s="754"/>
      <c r="AU530" s="754"/>
    </row>
    <row r="531" ht="15.75" customHeight="1">
      <c r="A531" s="755">
        <v>44442.0</v>
      </c>
      <c r="B531" s="756" t="s">
        <v>5989</v>
      </c>
      <c r="C531" s="745" t="s">
        <v>3642</v>
      </c>
      <c r="D531" s="745" t="s">
        <v>5902</v>
      </c>
      <c r="E531" s="757">
        <v>0.0</v>
      </c>
      <c r="F531" s="745" t="s">
        <v>3734</v>
      </c>
      <c r="G531" s="745" t="s">
        <v>18</v>
      </c>
      <c r="H531" s="745" t="s">
        <v>29</v>
      </c>
      <c r="I531" s="745" t="s">
        <v>3650</v>
      </c>
      <c r="J531" s="755">
        <v>44245.0</v>
      </c>
      <c r="K531" s="762" t="s">
        <v>3651</v>
      </c>
      <c r="L531" s="754"/>
      <c r="M531" s="754"/>
      <c r="N531" s="754"/>
      <c r="O531" s="754"/>
      <c r="P531" s="754"/>
      <c r="Q531" s="754"/>
      <c r="R531" s="754"/>
      <c r="S531" s="754"/>
      <c r="T531" s="754"/>
      <c r="U531" s="754"/>
      <c r="V531" s="754"/>
      <c r="W531" s="754"/>
      <c r="X531" s="754"/>
      <c r="Y531" s="754"/>
      <c r="Z531" s="754"/>
      <c r="AA531" s="754"/>
      <c r="AB531" s="754"/>
      <c r="AC531" s="754"/>
      <c r="AD531" s="754"/>
      <c r="AE531" s="754"/>
      <c r="AF531" s="754"/>
      <c r="AG531" s="754"/>
      <c r="AH531" s="754"/>
      <c r="AI531" s="754"/>
      <c r="AJ531" s="754"/>
      <c r="AK531" s="754"/>
      <c r="AL531" s="754"/>
      <c r="AM531" s="754"/>
      <c r="AN531" s="754"/>
      <c r="AO531" s="754"/>
      <c r="AP531" s="754"/>
      <c r="AQ531" s="754"/>
      <c r="AR531" s="754"/>
      <c r="AS531" s="754"/>
      <c r="AT531" s="754"/>
      <c r="AU531" s="754"/>
    </row>
    <row r="532" ht="15.75" customHeight="1">
      <c r="A532" s="759">
        <v>44442.0</v>
      </c>
      <c r="B532" s="760" t="s">
        <v>5990</v>
      </c>
      <c r="C532" s="761" t="s">
        <v>3642</v>
      </c>
      <c r="D532" s="745" t="s">
        <v>5903</v>
      </c>
      <c r="E532" s="757">
        <v>150000.0</v>
      </c>
      <c r="F532" s="745" t="s">
        <v>3655</v>
      </c>
      <c r="G532" s="745" t="s">
        <v>18</v>
      </c>
      <c r="H532" s="745" t="s">
        <v>29</v>
      </c>
      <c r="I532" s="745" t="s">
        <v>3650</v>
      </c>
      <c r="J532" s="755">
        <v>44326.0</v>
      </c>
      <c r="K532" s="762" t="s">
        <v>3657</v>
      </c>
      <c r="L532" s="754"/>
      <c r="M532" s="754"/>
      <c r="N532" s="754"/>
      <c r="O532" s="754"/>
      <c r="P532" s="754"/>
      <c r="Q532" s="754"/>
      <c r="R532" s="754"/>
      <c r="S532" s="754"/>
      <c r="T532" s="754"/>
      <c r="U532" s="754"/>
      <c r="V532" s="754"/>
      <c r="W532" s="754"/>
      <c r="X532" s="754"/>
      <c r="Y532" s="754"/>
      <c r="Z532" s="754"/>
      <c r="AA532" s="754"/>
      <c r="AB532" s="754"/>
      <c r="AC532" s="754"/>
      <c r="AD532" s="754"/>
      <c r="AE532" s="754"/>
      <c r="AF532" s="754"/>
      <c r="AG532" s="754"/>
      <c r="AH532" s="754"/>
      <c r="AI532" s="754"/>
      <c r="AJ532" s="754"/>
      <c r="AK532" s="754"/>
      <c r="AL532" s="754"/>
      <c r="AM532" s="754"/>
      <c r="AN532" s="754"/>
      <c r="AO532" s="754"/>
      <c r="AP532" s="754"/>
      <c r="AQ532" s="754"/>
      <c r="AR532" s="754"/>
      <c r="AS532" s="754"/>
      <c r="AT532" s="754"/>
      <c r="AU532" s="754"/>
    </row>
    <row r="533" ht="15.75" customHeight="1">
      <c r="A533" s="759">
        <v>44442.0</v>
      </c>
      <c r="B533" s="760" t="s">
        <v>5991</v>
      </c>
      <c r="C533" s="761" t="s">
        <v>3642</v>
      </c>
      <c r="D533" s="745" t="s">
        <v>5903</v>
      </c>
      <c r="E533" s="757">
        <v>84278.97</v>
      </c>
      <c r="F533" s="745" t="s">
        <v>5095</v>
      </c>
      <c r="G533" s="745" t="s">
        <v>2379</v>
      </c>
      <c r="H533" s="745" t="s">
        <v>29</v>
      </c>
      <c r="I533" s="745" t="s">
        <v>2379</v>
      </c>
      <c r="J533" s="755">
        <v>44355.0</v>
      </c>
      <c r="K533" s="762" t="s">
        <v>3660</v>
      </c>
      <c r="L533" s="754"/>
      <c r="M533" s="754"/>
      <c r="N533" s="754"/>
      <c r="O533" s="754"/>
      <c r="P533" s="754"/>
      <c r="Q533" s="754"/>
      <c r="R533" s="754"/>
      <c r="S533" s="754"/>
      <c r="T533" s="754"/>
      <c r="U533" s="754"/>
      <c r="V533" s="754"/>
      <c r="W533" s="754"/>
      <c r="X533" s="754"/>
      <c r="Y533" s="754"/>
      <c r="Z533" s="754"/>
      <c r="AA533" s="754"/>
      <c r="AB533" s="754"/>
      <c r="AC533" s="754"/>
      <c r="AD533" s="754"/>
      <c r="AE533" s="754"/>
      <c r="AF533" s="754"/>
      <c r="AG533" s="754"/>
      <c r="AH533" s="754"/>
      <c r="AI533" s="754"/>
      <c r="AJ533" s="754"/>
      <c r="AK533" s="754"/>
      <c r="AL533" s="754"/>
      <c r="AM533" s="754"/>
      <c r="AN533" s="754"/>
      <c r="AO533" s="754"/>
      <c r="AP533" s="754"/>
      <c r="AQ533" s="754"/>
      <c r="AR533" s="754"/>
      <c r="AS533" s="754"/>
      <c r="AT533" s="754"/>
      <c r="AU533" s="754"/>
    </row>
    <row r="534" ht="15.75" customHeight="1">
      <c r="A534" s="759">
        <v>44442.0</v>
      </c>
      <c r="B534" s="760" t="s">
        <v>2855</v>
      </c>
      <c r="C534" s="761" t="s">
        <v>2376</v>
      </c>
      <c r="D534" s="745" t="s">
        <v>5903</v>
      </c>
      <c r="E534" s="757">
        <v>130000.0</v>
      </c>
      <c r="F534" s="745" t="s">
        <v>2854</v>
      </c>
      <c r="G534" s="755" t="s">
        <v>18</v>
      </c>
      <c r="H534" s="755" t="s">
        <v>145</v>
      </c>
      <c r="I534" s="755" t="s">
        <v>146</v>
      </c>
      <c r="J534" s="755">
        <v>44313.0</v>
      </c>
      <c r="K534" s="758" t="s">
        <v>3651</v>
      </c>
      <c r="L534" s="754"/>
      <c r="M534" s="754"/>
      <c r="N534" s="754"/>
      <c r="O534" s="754"/>
      <c r="P534" s="754"/>
      <c r="Q534" s="754"/>
      <c r="R534" s="754"/>
      <c r="S534" s="754"/>
      <c r="T534" s="754"/>
      <c r="U534" s="754"/>
      <c r="V534" s="754"/>
      <c r="W534" s="754"/>
      <c r="X534" s="754"/>
      <c r="Y534" s="754"/>
      <c r="Z534" s="754"/>
      <c r="AA534" s="754"/>
      <c r="AB534" s="754"/>
      <c r="AC534" s="754"/>
      <c r="AD534" s="754"/>
      <c r="AE534" s="754"/>
      <c r="AF534" s="754"/>
      <c r="AG534" s="754"/>
      <c r="AH534" s="754"/>
      <c r="AI534" s="754"/>
      <c r="AJ534" s="754"/>
      <c r="AK534" s="754"/>
      <c r="AL534" s="754"/>
      <c r="AM534" s="754"/>
      <c r="AN534" s="754"/>
      <c r="AO534" s="754"/>
      <c r="AP534" s="754"/>
      <c r="AQ534" s="754"/>
      <c r="AR534" s="754"/>
      <c r="AS534" s="754"/>
      <c r="AT534" s="754"/>
      <c r="AU534" s="754"/>
    </row>
    <row r="535" ht="15.75" customHeight="1">
      <c r="A535" s="755">
        <v>44445.0</v>
      </c>
      <c r="B535" s="756" t="s">
        <v>5992</v>
      </c>
      <c r="C535" s="745" t="s">
        <v>3642</v>
      </c>
      <c r="D535" s="745" t="s">
        <v>5902</v>
      </c>
      <c r="E535" s="757">
        <v>0.0</v>
      </c>
      <c r="F535" s="745" t="s">
        <v>4065</v>
      </c>
      <c r="G535" s="745" t="s">
        <v>18</v>
      </c>
      <c r="H535" s="745" t="s">
        <v>29</v>
      </c>
      <c r="I535" s="745" t="s">
        <v>3650</v>
      </c>
      <c r="J535" s="755">
        <v>44085.0</v>
      </c>
      <c r="K535" s="762" t="s">
        <v>3657</v>
      </c>
      <c r="L535" s="754"/>
      <c r="M535" s="754"/>
      <c r="N535" s="754"/>
      <c r="O535" s="754"/>
      <c r="P535" s="754"/>
      <c r="Q535" s="754"/>
      <c r="R535" s="754"/>
      <c r="S535" s="754"/>
      <c r="T535" s="754"/>
      <c r="U535" s="754"/>
      <c r="V535" s="754"/>
      <c r="W535" s="754"/>
      <c r="X535" s="754"/>
      <c r="Y535" s="754"/>
      <c r="Z535" s="754"/>
      <c r="AA535" s="754"/>
      <c r="AB535" s="754"/>
      <c r="AC535" s="754"/>
      <c r="AD535" s="754"/>
      <c r="AE535" s="754"/>
      <c r="AF535" s="754"/>
      <c r="AG535" s="754"/>
      <c r="AH535" s="754"/>
      <c r="AI535" s="754"/>
      <c r="AJ535" s="754"/>
      <c r="AK535" s="754"/>
      <c r="AL535" s="754"/>
      <c r="AM535" s="754"/>
      <c r="AN535" s="754"/>
      <c r="AO535" s="754"/>
      <c r="AP535" s="754"/>
      <c r="AQ535" s="754"/>
      <c r="AR535" s="754"/>
      <c r="AS535" s="754"/>
      <c r="AT535" s="754"/>
      <c r="AU535" s="754"/>
    </row>
    <row r="536" ht="15.75" customHeight="1">
      <c r="A536" s="755">
        <v>44445.0</v>
      </c>
      <c r="B536" s="756" t="s">
        <v>5993</v>
      </c>
      <c r="C536" s="745" t="s">
        <v>3642</v>
      </c>
      <c r="D536" s="745" t="s">
        <v>5902</v>
      </c>
      <c r="E536" s="757">
        <v>0.0</v>
      </c>
      <c r="F536" s="745" t="s">
        <v>4933</v>
      </c>
      <c r="G536" s="745" t="s">
        <v>18</v>
      </c>
      <c r="H536" s="745" t="s">
        <v>29</v>
      </c>
      <c r="I536" s="745" t="s">
        <v>3650</v>
      </c>
      <c r="J536" s="755">
        <v>44147.0</v>
      </c>
      <c r="K536" s="762" t="s">
        <v>3660</v>
      </c>
      <c r="L536" s="754"/>
      <c r="M536" s="754"/>
      <c r="N536" s="754"/>
      <c r="O536" s="754"/>
      <c r="P536" s="754"/>
      <c r="Q536" s="754"/>
      <c r="R536" s="754"/>
      <c r="S536" s="754"/>
      <c r="T536" s="754"/>
      <c r="U536" s="754"/>
      <c r="V536" s="754"/>
      <c r="W536" s="754"/>
      <c r="X536" s="754"/>
      <c r="Y536" s="754"/>
      <c r="Z536" s="754"/>
      <c r="AA536" s="754"/>
      <c r="AB536" s="754"/>
      <c r="AC536" s="754"/>
      <c r="AD536" s="754"/>
      <c r="AE536" s="754"/>
      <c r="AF536" s="754"/>
      <c r="AG536" s="754"/>
      <c r="AH536" s="754"/>
      <c r="AI536" s="754"/>
      <c r="AJ536" s="754"/>
      <c r="AK536" s="754"/>
      <c r="AL536" s="754"/>
      <c r="AM536" s="754"/>
      <c r="AN536" s="754"/>
      <c r="AO536" s="754"/>
      <c r="AP536" s="754"/>
      <c r="AQ536" s="754"/>
      <c r="AR536" s="754"/>
      <c r="AS536" s="754"/>
      <c r="AT536" s="754"/>
      <c r="AU536" s="754"/>
    </row>
    <row r="537" ht="15.75" customHeight="1">
      <c r="A537" s="759">
        <v>44445.0</v>
      </c>
      <c r="B537" s="760" t="s">
        <v>2888</v>
      </c>
      <c r="C537" s="761" t="s">
        <v>2376</v>
      </c>
      <c r="D537" s="745" t="s">
        <v>5903</v>
      </c>
      <c r="E537" s="757">
        <v>20000.0</v>
      </c>
      <c r="F537" s="745" t="s">
        <v>2887</v>
      </c>
      <c r="G537" s="755" t="s">
        <v>18</v>
      </c>
      <c r="H537" s="755" t="s">
        <v>145</v>
      </c>
      <c r="I537" s="755" t="s">
        <v>2464</v>
      </c>
      <c r="J537" s="755">
        <v>44266.0</v>
      </c>
      <c r="K537" s="758" t="s">
        <v>3660</v>
      </c>
      <c r="L537" s="754"/>
      <c r="M537" s="754"/>
      <c r="N537" s="754"/>
      <c r="O537" s="754"/>
      <c r="P537" s="754"/>
      <c r="Q537" s="754"/>
      <c r="R537" s="754"/>
      <c r="S537" s="754"/>
      <c r="T537" s="754"/>
      <c r="U537" s="754"/>
      <c r="V537" s="754"/>
      <c r="W537" s="754"/>
      <c r="X537" s="754"/>
      <c r="Y537" s="754"/>
      <c r="Z537" s="754"/>
      <c r="AA537" s="754"/>
      <c r="AB537" s="754"/>
      <c r="AC537" s="754"/>
      <c r="AD537" s="754"/>
      <c r="AE537" s="754"/>
      <c r="AF537" s="754"/>
      <c r="AG537" s="754"/>
      <c r="AH537" s="754"/>
      <c r="AI537" s="754"/>
      <c r="AJ537" s="754"/>
      <c r="AK537" s="754"/>
      <c r="AL537" s="754"/>
      <c r="AM537" s="754"/>
      <c r="AN537" s="754"/>
      <c r="AO537" s="754"/>
      <c r="AP537" s="754"/>
      <c r="AQ537" s="754"/>
      <c r="AR537" s="754"/>
      <c r="AS537" s="754"/>
      <c r="AT537" s="754"/>
      <c r="AU537" s="754"/>
    </row>
    <row r="538" ht="15.75" customHeight="1">
      <c r="A538" s="755">
        <v>44447.0</v>
      </c>
      <c r="B538" s="756" t="s">
        <v>5994</v>
      </c>
      <c r="C538" s="745" t="s">
        <v>3642</v>
      </c>
      <c r="D538" s="745" t="s">
        <v>5902</v>
      </c>
      <c r="E538" s="757">
        <v>0.0</v>
      </c>
      <c r="F538" s="745" t="s">
        <v>4922</v>
      </c>
      <c r="G538" s="745" t="s">
        <v>18</v>
      </c>
      <c r="H538" s="745" t="s">
        <v>29</v>
      </c>
      <c r="I538" s="745" t="s">
        <v>5995</v>
      </c>
      <c r="J538" s="755">
        <v>44096.0</v>
      </c>
      <c r="K538" s="762" t="s">
        <v>3651</v>
      </c>
      <c r="L538" s="754"/>
      <c r="M538" s="754"/>
      <c r="N538" s="754"/>
      <c r="O538" s="754"/>
      <c r="P538" s="754"/>
      <c r="Q538" s="754"/>
      <c r="R538" s="754"/>
      <c r="S538" s="754"/>
      <c r="T538" s="754"/>
      <c r="U538" s="754"/>
      <c r="V538" s="754"/>
      <c r="W538" s="754"/>
      <c r="X538" s="754"/>
      <c r="Y538" s="754"/>
      <c r="Z538" s="754"/>
      <c r="AA538" s="754"/>
      <c r="AB538" s="754"/>
      <c r="AC538" s="754"/>
      <c r="AD538" s="754"/>
      <c r="AE538" s="754"/>
      <c r="AF538" s="754"/>
      <c r="AG538" s="754"/>
      <c r="AH538" s="754"/>
      <c r="AI538" s="754"/>
      <c r="AJ538" s="754"/>
      <c r="AK538" s="754"/>
      <c r="AL538" s="754"/>
      <c r="AM538" s="754"/>
      <c r="AN538" s="754"/>
      <c r="AO538" s="754"/>
      <c r="AP538" s="754"/>
      <c r="AQ538" s="754"/>
      <c r="AR538" s="754"/>
      <c r="AS538" s="754"/>
      <c r="AT538" s="754"/>
      <c r="AU538" s="754"/>
    </row>
    <row r="539" ht="15.75" customHeight="1">
      <c r="A539" s="759">
        <v>44447.0</v>
      </c>
      <c r="B539" s="760" t="s">
        <v>2862</v>
      </c>
      <c r="C539" s="761" t="s">
        <v>2376</v>
      </c>
      <c r="D539" s="745" t="s">
        <v>5903</v>
      </c>
      <c r="E539" s="757">
        <v>300000.0</v>
      </c>
      <c r="F539" s="745" t="s">
        <v>2861</v>
      </c>
      <c r="G539" s="755" t="s">
        <v>2489</v>
      </c>
      <c r="H539" s="755" t="s">
        <v>29</v>
      </c>
      <c r="I539" s="755" t="s">
        <v>2489</v>
      </c>
      <c r="J539" s="755">
        <v>44021.0</v>
      </c>
      <c r="K539" s="758" t="s">
        <v>3651</v>
      </c>
      <c r="L539" s="754"/>
      <c r="M539" s="754"/>
      <c r="N539" s="754"/>
      <c r="O539" s="754"/>
      <c r="P539" s="754"/>
      <c r="Q539" s="754"/>
      <c r="R539" s="754"/>
      <c r="S539" s="754"/>
      <c r="T539" s="754"/>
      <c r="U539" s="754"/>
      <c r="V539" s="754"/>
      <c r="W539" s="754"/>
      <c r="X539" s="754"/>
      <c r="Y539" s="754"/>
      <c r="Z539" s="754"/>
      <c r="AA539" s="754"/>
      <c r="AB539" s="754"/>
      <c r="AC539" s="754"/>
      <c r="AD539" s="754"/>
      <c r="AE539" s="754"/>
      <c r="AF539" s="754"/>
      <c r="AG539" s="754"/>
      <c r="AH539" s="754"/>
      <c r="AI539" s="754"/>
      <c r="AJ539" s="754"/>
      <c r="AK539" s="754"/>
      <c r="AL539" s="754"/>
      <c r="AM539" s="754"/>
      <c r="AN539" s="754"/>
      <c r="AO539" s="754"/>
      <c r="AP539" s="754"/>
      <c r="AQ539" s="754"/>
      <c r="AR539" s="754"/>
      <c r="AS539" s="754"/>
      <c r="AT539" s="754"/>
      <c r="AU539" s="754"/>
    </row>
    <row r="540" ht="15.75" customHeight="1">
      <c r="A540" s="759">
        <v>44447.0</v>
      </c>
      <c r="B540" s="760" t="s">
        <v>3238</v>
      </c>
      <c r="C540" s="761" t="s">
        <v>2376</v>
      </c>
      <c r="D540" s="745" t="s">
        <v>5903</v>
      </c>
      <c r="E540" s="757">
        <v>25000.0</v>
      </c>
      <c r="F540" s="745" t="s">
        <v>3237</v>
      </c>
      <c r="G540" s="755" t="s">
        <v>18</v>
      </c>
      <c r="H540" s="755" t="s">
        <v>145</v>
      </c>
      <c r="I540" s="755" t="s">
        <v>171</v>
      </c>
      <c r="J540" s="755">
        <v>44279.0</v>
      </c>
      <c r="K540" s="758" t="s">
        <v>3651</v>
      </c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54"/>
      <c r="AB540" s="754"/>
      <c r="AC540" s="754"/>
      <c r="AD540" s="754"/>
      <c r="AE540" s="754"/>
      <c r="AF540" s="754"/>
      <c r="AG540" s="754"/>
      <c r="AH540" s="754"/>
      <c r="AI540" s="754"/>
      <c r="AJ540" s="754"/>
      <c r="AK540" s="754"/>
      <c r="AL540" s="754"/>
      <c r="AM540" s="754"/>
      <c r="AN540" s="754"/>
      <c r="AO540" s="754"/>
      <c r="AP540" s="754"/>
      <c r="AQ540" s="754"/>
      <c r="AR540" s="754"/>
      <c r="AS540" s="754"/>
      <c r="AT540" s="754"/>
      <c r="AU540" s="754"/>
    </row>
    <row r="541" ht="15.75" customHeight="1">
      <c r="A541" s="755">
        <v>44448.0</v>
      </c>
      <c r="B541" s="756" t="s">
        <v>3328</v>
      </c>
      <c r="C541" s="745" t="s">
        <v>2376</v>
      </c>
      <c r="D541" s="745" t="s">
        <v>5902</v>
      </c>
      <c r="E541" s="757">
        <v>130029.24</v>
      </c>
      <c r="F541" s="745" t="s">
        <v>3327</v>
      </c>
      <c r="G541" s="755" t="s">
        <v>2489</v>
      </c>
      <c r="H541" s="755" t="s">
        <v>29</v>
      </c>
      <c r="I541" s="755" t="s">
        <v>2489</v>
      </c>
      <c r="J541" s="755">
        <v>43441.0</v>
      </c>
      <c r="K541" s="758" t="s">
        <v>3664</v>
      </c>
      <c r="L541" s="754"/>
      <c r="M541" s="754"/>
      <c r="N541" s="754"/>
      <c r="O541" s="754"/>
      <c r="P541" s="754"/>
      <c r="Q541" s="754"/>
      <c r="R541" s="754"/>
      <c r="S541" s="754"/>
      <c r="T541" s="754"/>
      <c r="U541" s="754"/>
      <c r="V541" s="754"/>
      <c r="W541" s="754"/>
      <c r="X541" s="754"/>
      <c r="Y541" s="754"/>
      <c r="Z541" s="754"/>
      <c r="AA541" s="754"/>
      <c r="AB541" s="754"/>
      <c r="AC541" s="754"/>
      <c r="AD541" s="754"/>
      <c r="AE541" s="754"/>
      <c r="AF541" s="754"/>
      <c r="AG541" s="754"/>
      <c r="AH541" s="754"/>
      <c r="AI541" s="754"/>
      <c r="AJ541" s="754"/>
      <c r="AK541" s="754"/>
      <c r="AL541" s="754"/>
      <c r="AM541" s="754"/>
      <c r="AN541" s="754"/>
      <c r="AO541" s="754"/>
      <c r="AP541" s="754"/>
      <c r="AQ541" s="754"/>
      <c r="AR541" s="754"/>
      <c r="AS541" s="754"/>
      <c r="AT541" s="754"/>
      <c r="AU541" s="754"/>
    </row>
    <row r="542" ht="15.75" customHeight="1">
      <c r="A542" s="755">
        <v>44448.0</v>
      </c>
      <c r="B542" s="793" t="s">
        <v>3291</v>
      </c>
      <c r="C542" s="745" t="s">
        <v>2376</v>
      </c>
      <c r="D542" s="745" t="s">
        <v>5902</v>
      </c>
      <c r="E542" s="757">
        <v>555581.44</v>
      </c>
      <c r="F542" s="745" t="s">
        <v>3290</v>
      </c>
      <c r="G542" s="755" t="s">
        <v>2379</v>
      </c>
      <c r="H542" s="755" t="s">
        <v>29</v>
      </c>
      <c r="I542" s="755" t="s">
        <v>2392</v>
      </c>
      <c r="J542" s="755">
        <v>43607.0</v>
      </c>
      <c r="K542" s="758" t="s">
        <v>4033</v>
      </c>
      <c r="L542" s="754"/>
      <c r="M542" s="754"/>
      <c r="N542" s="754"/>
      <c r="O542" s="754"/>
      <c r="P542" s="754"/>
      <c r="Q542" s="754"/>
      <c r="R542" s="754"/>
      <c r="S542" s="754"/>
      <c r="T542" s="754"/>
      <c r="U542" s="754"/>
      <c r="V542" s="754"/>
      <c r="W542" s="754"/>
      <c r="X542" s="754"/>
      <c r="Y542" s="754"/>
      <c r="Z542" s="754"/>
      <c r="AA542" s="754"/>
      <c r="AB542" s="754"/>
      <c r="AC542" s="754"/>
      <c r="AD542" s="754"/>
      <c r="AE542" s="754"/>
      <c r="AF542" s="754"/>
      <c r="AG542" s="754"/>
      <c r="AH542" s="754"/>
      <c r="AI542" s="754"/>
      <c r="AJ542" s="754"/>
      <c r="AK542" s="754"/>
      <c r="AL542" s="754"/>
      <c r="AM542" s="754"/>
      <c r="AN542" s="754"/>
      <c r="AO542" s="754"/>
      <c r="AP542" s="754"/>
      <c r="AQ542" s="754"/>
      <c r="AR542" s="754"/>
      <c r="AS542" s="754"/>
      <c r="AT542" s="754"/>
      <c r="AU542" s="754"/>
    </row>
    <row r="543" ht="15.75" customHeight="1">
      <c r="A543" s="759">
        <v>44448.0</v>
      </c>
      <c r="B543" s="760" t="s">
        <v>3333</v>
      </c>
      <c r="C543" s="761" t="s">
        <v>2376</v>
      </c>
      <c r="D543" s="745" t="s">
        <v>5903</v>
      </c>
      <c r="E543" s="757">
        <v>17000.0</v>
      </c>
      <c r="F543" s="745" t="s">
        <v>3332</v>
      </c>
      <c r="G543" s="755" t="s">
        <v>18</v>
      </c>
      <c r="H543" s="755" t="s">
        <v>145</v>
      </c>
      <c r="I543" s="755" t="s">
        <v>146</v>
      </c>
      <c r="J543" s="755">
        <v>44263.0</v>
      </c>
      <c r="K543" s="758" t="s">
        <v>3660</v>
      </c>
      <c r="L543" s="754"/>
      <c r="M543" s="754"/>
      <c r="N543" s="754"/>
      <c r="O543" s="754"/>
      <c r="P543" s="754"/>
      <c r="Q543" s="754"/>
      <c r="R543" s="754"/>
      <c r="S543" s="754"/>
      <c r="T543" s="754"/>
      <c r="U543" s="754"/>
      <c r="V543" s="754"/>
      <c r="W543" s="754"/>
      <c r="X543" s="754"/>
      <c r="Y543" s="754"/>
      <c r="Z543" s="754"/>
      <c r="AA543" s="754"/>
      <c r="AB543" s="754"/>
      <c r="AC543" s="754"/>
      <c r="AD543" s="754"/>
      <c r="AE543" s="754"/>
      <c r="AF543" s="754"/>
      <c r="AG543" s="754"/>
      <c r="AH543" s="754"/>
      <c r="AI543" s="754"/>
      <c r="AJ543" s="754"/>
      <c r="AK543" s="754"/>
      <c r="AL543" s="754"/>
      <c r="AM543" s="754"/>
      <c r="AN543" s="754"/>
      <c r="AO543" s="754"/>
      <c r="AP543" s="754"/>
      <c r="AQ543" s="754"/>
      <c r="AR543" s="754"/>
      <c r="AS543" s="754"/>
      <c r="AT543" s="754"/>
      <c r="AU543" s="754"/>
    </row>
    <row r="544" ht="15.75" customHeight="1">
      <c r="A544" s="759">
        <v>44449.0</v>
      </c>
      <c r="B544" s="760" t="s">
        <v>2457</v>
      </c>
      <c r="C544" s="761" t="s">
        <v>2376</v>
      </c>
      <c r="D544" s="745" t="s">
        <v>5903</v>
      </c>
      <c r="E544" s="757">
        <v>2502500.1</v>
      </c>
      <c r="F544" s="745" t="s">
        <v>217</v>
      </c>
      <c r="G544" s="755" t="s">
        <v>18</v>
      </c>
      <c r="H544" s="755" t="s">
        <v>145</v>
      </c>
      <c r="I544" s="755" t="s">
        <v>146</v>
      </c>
      <c r="J544" s="755">
        <v>44266.0</v>
      </c>
      <c r="K544" s="758" t="s">
        <v>3647</v>
      </c>
      <c r="L544" s="754"/>
      <c r="M544" s="754"/>
      <c r="N544" s="754"/>
      <c r="O544" s="754"/>
      <c r="P544" s="754"/>
      <c r="Q544" s="754"/>
      <c r="R544" s="754"/>
      <c r="S544" s="754"/>
      <c r="T544" s="754"/>
      <c r="U544" s="754"/>
      <c r="V544" s="754"/>
      <c r="W544" s="754"/>
      <c r="X544" s="754"/>
      <c r="Y544" s="754"/>
      <c r="Z544" s="754"/>
      <c r="AA544" s="754"/>
      <c r="AB544" s="754"/>
      <c r="AC544" s="754"/>
      <c r="AD544" s="754"/>
      <c r="AE544" s="754"/>
      <c r="AF544" s="754"/>
      <c r="AG544" s="754"/>
      <c r="AH544" s="754"/>
      <c r="AI544" s="754"/>
      <c r="AJ544" s="754"/>
      <c r="AK544" s="754"/>
      <c r="AL544" s="754"/>
      <c r="AM544" s="754"/>
      <c r="AN544" s="754"/>
      <c r="AO544" s="754"/>
      <c r="AP544" s="754"/>
      <c r="AQ544" s="754"/>
      <c r="AR544" s="754"/>
      <c r="AS544" s="754"/>
      <c r="AT544" s="754"/>
      <c r="AU544" s="754"/>
    </row>
    <row r="545" ht="15.75" customHeight="1">
      <c r="A545" s="759">
        <v>44449.0</v>
      </c>
      <c r="B545" s="760" t="s">
        <v>5996</v>
      </c>
      <c r="C545" s="761" t="s">
        <v>3642</v>
      </c>
      <c r="D545" s="745" t="s">
        <v>2387</v>
      </c>
      <c r="E545" s="757">
        <v>0.0</v>
      </c>
      <c r="F545" s="745" t="s">
        <v>4051</v>
      </c>
      <c r="G545" s="745" t="s">
        <v>2379</v>
      </c>
      <c r="H545" s="745" t="s">
        <v>29</v>
      </c>
      <c r="I545" s="745" t="s">
        <v>2379</v>
      </c>
      <c r="J545" s="755">
        <v>43869.0</v>
      </c>
      <c r="K545" s="762" t="s">
        <v>3651</v>
      </c>
      <c r="L545" s="754"/>
      <c r="M545" s="754"/>
      <c r="N545" s="754"/>
      <c r="O545" s="754"/>
      <c r="P545" s="754"/>
      <c r="Q545" s="754"/>
      <c r="R545" s="754"/>
      <c r="S545" s="754"/>
      <c r="T545" s="754"/>
      <c r="U545" s="754"/>
      <c r="V545" s="754"/>
      <c r="W545" s="754"/>
      <c r="X545" s="754"/>
      <c r="Y545" s="754"/>
      <c r="Z545" s="754"/>
      <c r="AA545" s="754"/>
      <c r="AB545" s="754"/>
      <c r="AC545" s="754"/>
      <c r="AD545" s="754"/>
      <c r="AE545" s="754"/>
      <c r="AF545" s="754"/>
      <c r="AG545" s="754"/>
      <c r="AH545" s="754"/>
      <c r="AI545" s="754"/>
      <c r="AJ545" s="754"/>
      <c r="AK545" s="754"/>
      <c r="AL545" s="754"/>
      <c r="AM545" s="754"/>
      <c r="AN545" s="754"/>
      <c r="AO545" s="754"/>
      <c r="AP545" s="754"/>
      <c r="AQ545" s="754"/>
      <c r="AR545" s="754"/>
      <c r="AS545" s="754"/>
      <c r="AT545" s="754"/>
      <c r="AU545" s="754"/>
    </row>
    <row r="546" ht="15.75" customHeight="1">
      <c r="A546" s="755">
        <v>44450.0</v>
      </c>
      <c r="B546" s="793" t="s">
        <v>5997</v>
      </c>
      <c r="C546" s="745" t="s">
        <v>3642</v>
      </c>
      <c r="D546" s="745" t="s">
        <v>5902</v>
      </c>
      <c r="E546" s="757">
        <v>0.0</v>
      </c>
      <c r="F546" s="745" t="s">
        <v>4095</v>
      </c>
      <c r="G546" s="745" t="s">
        <v>18</v>
      </c>
      <c r="H546" s="745" t="s">
        <v>29</v>
      </c>
      <c r="I546" s="745" t="s">
        <v>3650</v>
      </c>
      <c r="J546" s="755">
        <v>44203.0</v>
      </c>
      <c r="K546" s="762" t="s">
        <v>3651</v>
      </c>
      <c r="L546" s="754"/>
      <c r="M546" s="754"/>
      <c r="N546" s="754"/>
      <c r="O546" s="754"/>
      <c r="P546" s="754"/>
      <c r="Q546" s="754"/>
      <c r="R546" s="754"/>
      <c r="S546" s="754"/>
      <c r="T546" s="754"/>
      <c r="U546" s="754"/>
      <c r="V546" s="754"/>
      <c r="W546" s="754"/>
      <c r="X546" s="754"/>
      <c r="Y546" s="754"/>
      <c r="Z546" s="754"/>
      <c r="AA546" s="754"/>
      <c r="AB546" s="754"/>
      <c r="AC546" s="754"/>
      <c r="AD546" s="754"/>
      <c r="AE546" s="754"/>
      <c r="AF546" s="754"/>
      <c r="AG546" s="754"/>
      <c r="AH546" s="754"/>
      <c r="AI546" s="754"/>
      <c r="AJ546" s="754"/>
      <c r="AK546" s="754"/>
      <c r="AL546" s="754"/>
      <c r="AM546" s="754"/>
      <c r="AN546" s="754"/>
      <c r="AO546" s="754"/>
      <c r="AP546" s="754"/>
      <c r="AQ546" s="754"/>
      <c r="AR546" s="754"/>
      <c r="AS546" s="754"/>
      <c r="AT546" s="754"/>
      <c r="AU546" s="754"/>
    </row>
    <row r="547" ht="15.75" customHeight="1">
      <c r="A547" s="755">
        <v>44450.0</v>
      </c>
      <c r="B547" s="793" t="s">
        <v>5998</v>
      </c>
      <c r="C547" s="745" t="s">
        <v>3642</v>
      </c>
      <c r="D547" s="745" t="s">
        <v>5902</v>
      </c>
      <c r="E547" s="757">
        <v>0.0</v>
      </c>
      <c r="F547" s="745" t="s">
        <v>4095</v>
      </c>
      <c r="G547" s="745" t="s">
        <v>18</v>
      </c>
      <c r="H547" s="745" t="s">
        <v>29</v>
      </c>
      <c r="I547" s="745" t="s">
        <v>3650</v>
      </c>
      <c r="J547" s="755">
        <v>44203.0</v>
      </c>
      <c r="K547" s="762" t="s">
        <v>3693</v>
      </c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54"/>
      <c r="AB547" s="754"/>
      <c r="AC547" s="754"/>
      <c r="AD547" s="754"/>
      <c r="AE547" s="754"/>
      <c r="AF547" s="754"/>
      <c r="AG547" s="754"/>
      <c r="AH547" s="754"/>
      <c r="AI547" s="754"/>
      <c r="AJ547" s="754"/>
      <c r="AK547" s="754"/>
      <c r="AL547" s="754"/>
      <c r="AM547" s="754"/>
      <c r="AN547" s="754"/>
      <c r="AO547" s="754"/>
      <c r="AP547" s="754"/>
      <c r="AQ547" s="754"/>
      <c r="AR547" s="754"/>
      <c r="AS547" s="754"/>
      <c r="AT547" s="754"/>
      <c r="AU547" s="754"/>
    </row>
    <row r="548" ht="15.75" customHeight="1">
      <c r="A548" s="768">
        <v>44452.0</v>
      </c>
      <c r="B548" s="760" t="s">
        <v>5999</v>
      </c>
      <c r="C548" s="770" t="s">
        <v>3642</v>
      </c>
      <c r="D548" s="745" t="s">
        <v>5903</v>
      </c>
      <c r="E548" s="794">
        <v>4000.0</v>
      </c>
      <c r="F548" s="745" t="s">
        <v>3778</v>
      </c>
      <c r="G548" s="745" t="s">
        <v>86</v>
      </c>
      <c r="H548" s="745" t="s">
        <v>29</v>
      </c>
      <c r="I548" s="745" t="s">
        <v>3486</v>
      </c>
      <c r="J548" s="755">
        <v>44362.0</v>
      </c>
      <c r="K548" s="762" t="s">
        <v>3660</v>
      </c>
      <c r="L548" s="754"/>
      <c r="M548" s="754"/>
      <c r="N548" s="754"/>
      <c r="O548" s="754"/>
      <c r="P548" s="754"/>
      <c r="Q548" s="754"/>
      <c r="R548" s="754"/>
      <c r="S548" s="754"/>
      <c r="T548" s="754"/>
      <c r="U548" s="754"/>
      <c r="V548" s="754"/>
      <c r="W548" s="754"/>
      <c r="X548" s="754"/>
      <c r="Y548" s="754"/>
      <c r="Z548" s="754"/>
      <c r="AA548" s="754"/>
      <c r="AB548" s="754"/>
      <c r="AC548" s="754"/>
      <c r="AD548" s="754"/>
      <c r="AE548" s="754"/>
      <c r="AF548" s="754"/>
      <c r="AG548" s="754"/>
      <c r="AH548" s="754"/>
      <c r="AI548" s="754"/>
      <c r="AJ548" s="754"/>
      <c r="AK548" s="754"/>
      <c r="AL548" s="754"/>
      <c r="AM548" s="754"/>
      <c r="AN548" s="754"/>
      <c r="AO548" s="754"/>
      <c r="AP548" s="754"/>
      <c r="AQ548" s="754"/>
      <c r="AR548" s="754"/>
      <c r="AS548" s="754"/>
      <c r="AT548" s="754"/>
      <c r="AU548" s="754"/>
    </row>
    <row r="549" ht="15.75" customHeight="1">
      <c r="A549" s="768">
        <v>44452.0</v>
      </c>
      <c r="B549" s="760" t="s">
        <v>2919</v>
      </c>
      <c r="C549" s="770" t="s">
        <v>2376</v>
      </c>
      <c r="D549" s="745" t="s">
        <v>5903</v>
      </c>
      <c r="E549" s="794">
        <v>20000.0</v>
      </c>
      <c r="F549" s="745" t="s">
        <v>2918</v>
      </c>
      <c r="G549" s="755" t="s">
        <v>18</v>
      </c>
      <c r="H549" s="755" t="s">
        <v>145</v>
      </c>
      <c r="I549" s="755" t="s">
        <v>146</v>
      </c>
      <c r="J549" s="755">
        <v>44295.0</v>
      </c>
      <c r="K549" s="758" t="s">
        <v>3657</v>
      </c>
      <c r="L549" s="754"/>
      <c r="M549" s="754"/>
      <c r="N549" s="754"/>
      <c r="O549" s="754"/>
      <c r="P549" s="754"/>
      <c r="Q549" s="754"/>
      <c r="R549" s="754"/>
      <c r="S549" s="754"/>
      <c r="T549" s="754"/>
      <c r="U549" s="754"/>
      <c r="V549" s="754"/>
      <c r="W549" s="754"/>
      <c r="X549" s="754"/>
      <c r="Y549" s="754"/>
      <c r="Z549" s="754"/>
      <c r="AA549" s="754"/>
      <c r="AB549" s="754"/>
      <c r="AC549" s="754"/>
      <c r="AD549" s="754"/>
      <c r="AE549" s="754"/>
      <c r="AF549" s="754"/>
      <c r="AG549" s="754"/>
      <c r="AH549" s="754"/>
      <c r="AI549" s="754"/>
      <c r="AJ549" s="754"/>
      <c r="AK549" s="754"/>
      <c r="AL549" s="754"/>
      <c r="AM549" s="754"/>
      <c r="AN549" s="754"/>
      <c r="AO549" s="754"/>
      <c r="AP549" s="754"/>
      <c r="AQ549" s="754"/>
      <c r="AR549" s="754"/>
      <c r="AS549" s="754"/>
      <c r="AT549" s="754"/>
      <c r="AU549" s="754"/>
    </row>
    <row r="550" ht="15.75" customHeight="1">
      <c r="A550" s="768">
        <v>44452.0</v>
      </c>
      <c r="B550" s="760" t="s">
        <v>3267</v>
      </c>
      <c r="C550" s="770" t="s">
        <v>2376</v>
      </c>
      <c r="D550" s="745" t="s">
        <v>5903</v>
      </c>
      <c r="E550" s="794">
        <v>5000.0</v>
      </c>
      <c r="F550" s="745" t="s">
        <v>3266</v>
      </c>
      <c r="G550" s="755" t="s">
        <v>18</v>
      </c>
      <c r="H550" s="755" t="s">
        <v>145</v>
      </c>
      <c r="I550" s="755" t="s">
        <v>171</v>
      </c>
      <c r="J550" s="755">
        <v>44319.0</v>
      </c>
      <c r="K550" s="758" t="s">
        <v>3651</v>
      </c>
      <c r="L550" s="754"/>
      <c r="M550" s="754"/>
      <c r="N550" s="754"/>
      <c r="O550" s="754"/>
      <c r="P550" s="754"/>
      <c r="Q550" s="754"/>
      <c r="R550" s="754"/>
      <c r="S550" s="754"/>
      <c r="T550" s="754"/>
      <c r="U550" s="754"/>
      <c r="V550" s="754"/>
      <c r="W550" s="754"/>
      <c r="X550" s="754"/>
      <c r="Y550" s="754"/>
      <c r="Z550" s="754"/>
      <c r="AA550" s="754"/>
      <c r="AB550" s="754"/>
      <c r="AC550" s="754"/>
      <c r="AD550" s="754"/>
      <c r="AE550" s="754"/>
      <c r="AF550" s="754"/>
      <c r="AG550" s="754"/>
      <c r="AH550" s="754"/>
      <c r="AI550" s="754"/>
      <c r="AJ550" s="754"/>
      <c r="AK550" s="754"/>
      <c r="AL550" s="754"/>
      <c r="AM550" s="754"/>
      <c r="AN550" s="754"/>
      <c r="AO550" s="754"/>
      <c r="AP550" s="754"/>
      <c r="AQ550" s="754"/>
      <c r="AR550" s="754"/>
      <c r="AS550" s="754"/>
      <c r="AT550" s="754"/>
      <c r="AU550" s="754"/>
    </row>
    <row r="551" ht="15.75" customHeight="1">
      <c r="A551" s="755">
        <v>44452.0</v>
      </c>
      <c r="B551" s="756" t="s">
        <v>6000</v>
      </c>
      <c r="C551" s="745" t="s">
        <v>3642</v>
      </c>
      <c r="D551" s="745" t="s">
        <v>5902</v>
      </c>
      <c r="E551" s="757">
        <v>0.0</v>
      </c>
      <c r="F551" s="745" t="s">
        <v>5023</v>
      </c>
      <c r="G551" s="745" t="s">
        <v>3901</v>
      </c>
      <c r="H551" s="745" t="s">
        <v>29</v>
      </c>
      <c r="I551" s="745" t="s">
        <v>86</v>
      </c>
      <c r="J551" s="755">
        <v>44250.0</v>
      </c>
      <c r="K551" s="762" t="s">
        <v>3693</v>
      </c>
      <c r="L551" s="754"/>
      <c r="M551" s="754"/>
      <c r="N551" s="754"/>
      <c r="O551" s="754"/>
      <c r="P551" s="754"/>
      <c r="Q551" s="754"/>
      <c r="R551" s="754"/>
      <c r="S551" s="754"/>
      <c r="T551" s="754"/>
      <c r="U551" s="754"/>
      <c r="V551" s="754"/>
      <c r="W551" s="754"/>
      <c r="X551" s="754"/>
      <c r="Y551" s="754"/>
      <c r="Z551" s="754"/>
      <c r="AA551" s="754"/>
      <c r="AB551" s="754"/>
      <c r="AC551" s="754"/>
      <c r="AD551" s="754"/>
      <c r="AE551" s="754"/>
      <c r="AF551" s="754"/>
      <c r="AG551" s="754"/>
      <c r="AH551" s="754"/>
      <c r="AI551" s="754"/>
      <c r="AJ551" s="754"/>
      <c r="AK551" s="754"/>
      <c r="AL551" s="754"/>
      <c r="AM551" s="754"/>
      <c r="AN551" s="754"/>
      <c r="AO551" s="754"/>
      <c r="AP551" s="754"/>
      <c r="AQ551" s="754"/>
      <c r="AR551" s="754"/>
      <c r="AS551" s="754"/>
      <c r="AT551" s="754"/>
      <c r="AU551" s="754"/>
    </row>
    <row r="552" ht="15.75" customHeight="1">
      <c r="A552" s="755">
        <v>44452.0</v>
      </c>
      <c r="B552" s="756" t="s">
        <v>6001</v>
      </c>
      <c r="C552" s="745" t="s">
        <v>3642</v>
      </c>
      <c r="D552" s="745" t="s">
        <v>5902</v>
      </c>
      <c r="E552" s="757">
        <v>0.0</v>
      </c>
      <c r="F552" s="745" t="s">
        <v>4939</v>
      </c>
      <c r="G552" s="745" t="s">
        <v>18</v>
      </c>
      <c r="H552" s="745" t="s">
        <v>29</v>
      </c>
      <c r="I552" s="745" t="s">
        <v>3650</v>
      </c>
      <c r="J552" s="755">
        <v>44120.0</v>
      </c>
      <c r="K552" s="762" t="s">
        <v>3651</v>
      </c>
      <c r="L552" s="754"/>
      <c r="M552" s="754"/>
      <c r="N552" s="754"/>
      <c r="O552" s="754"/>
      <c r="P552" s="754"/>
      <c r="Q552" s="754"/>
      <c r="R552" s="754"/>
      <c r="S552" s="754"/>
      <c r="T552" s="754"/>
      <c r="U552" s="754"/>
      <c r="V552" s="754"/>
      <c r="W552" s="754"/>
      <c r="X552" s="754"/>
      <c r="Y552" s="754"/>
      <c r="Z552" s="754"/>
      <c r="AA552" s="754"/>
      <c r="AB552" s="754"/>
      <c r="AC552" s="754"/>
      <c r="AD552" s="754"/>
      <c r="AE552" s="754"/>
      <c r="AF552" s="754"/>
      <c r="AG552" s="754"/>
      <c r="AH552" s="754"/>
      <c r="AI552" s="754"/>
      <c r="AJ552" s="754"/>
      <c r="AK552" s="754"/>
      <c r="AL552" s="754"/>
      <c r="AM552" s="754"/>
      <c r="AN552" s="754"/>
      <c r="AO552" s="754"/>
      <c r="AP552" s="754"/>
      <c r="AQ552" s="754"/>
      <c r="AR552" s="754"/>
      <c r="AS552" s="754"/>
      <c r="AT552" s="754"/>
      <c r="AU552" s="754"/>
    </row>
    <row r="553" ht="15.75" customHeight="1">
      <c r="A553" s="768">
        <v>44453.0</v>
      </c>
      <c r="B553" s="760" t="s">
        <v>2496</v>
      </c>
      <c r="C553" s="770" t="s">
        <v>2376</v>
      </c>
      <c r="D553" s="745" t="s">
        <v>5903</v>
      </c>
      <c r="E553" s="794">
        <v>10000.0</v>
      </c>
      <c r="F553" s="745" t="s">
        <v>2495</v>
      </c>
      <c r="G553" s="755" t="s">
        <v>18</v>
      </c>
      <c r="H553" s="755" t="s">
        <v>145</v>
      </c>
      <c r="I553" s="755" t="s">
        <v>171</v>
      </c>
      <c r="J553" s="755">
        <v>44295.0</v>
      </c>
      <c r="K553" s="758" t="s">
        <v>3647</v>
      </c>
      <c r="L553" s="754"/>
      <c r="M553" s="754"/>
      <c r="N553" s="754"/>
      <c r="O553" s="754"/>
      <c r="P553" s="754"/>
      <c r="Q553" s="754"/>
      <c r="R553" s="754"/>
      <c r="S553" s="754"/>
      <c r="T553" s="754"/>
      <c r="U553" s="754"/>
      <c r="V553" s="754"/>
      <c r="W553" s="754"/>
      <c r="X553" s="754"/>
      <c r="Y553" s="754"/>
      <c r="Z553" s="754"/>
      <c r="AA553" s="754"/>
      <c r="AB553" s="754"/>
      <c r="AC553" s="754"/>
      <c r="AD553" s="754"/>
      <c r="AE553" s="754"/>
      <c r="AF553" s="754"/>
      <c r="AG553" s="754"/>
      <c r="AH553" s="754"/>
      <c r="AI553" s="754"/>
      <c r="AJ553" s="754"/>
      <c r="AK553" s="754"/>
      <c r="AL553" s="754"/>
      <c r="AM553" s="754"/>
      <c r="AN553" s="754"/>
      <c r="AO553" s="754"/>
      <c r="AP553" s="754"/>
      <c r="AQ553" s="754"/>
      <c r="AR553" s="754"/>
      <c r="AS553" s="754"/>
      <c r="AT553" s="754"/>
      <c r="AU553" s="754"/>
    </row>
    <row r="554" ht="15.75" customHeight="1">
      <c r="A554" s="768">
        <v>44453.0</v>
      </c>
      <c r="B554" s="760" t="s">
        <v>2862</v>
      </c>
      <c r="C554" s="770" t="s">
        <v>2376</v>
      </c>
      <c r="D554" s="745" t="s">
        <v>5903</v>
      </c>
      <c r="E554" s="794">
        <v>300000.0</v>
      </c>
      <c r="F554" s="745" t="s">
        <v>2861</v>
      </c>
      <c r="G554" s="755" t="s">
        <v>2489</v>
      </c>
      <c r="H554" s="755" t="s">
        <v>29</v>
      </c>
      <c r="I554" s="755" t="s">
        <v>2489</v>
      </c>
      <c r="J554" s="755">
        <v>44021.0</v>
      </c>
      <c r="K554" s="758" t="s">
        <v>3651</v>
      </c>
      <c r="L554" s="754"/>
      <c r="M554" s="754"/>
      <c r="N554" s="754"/>
      <c r="O554" s="754"/>
      <c r="P554" s="754"/>
      <c r="Q554" s="754"/>
      <c r="R554" s="754"/>
      <c r="S554" s="754"/>
      <c r="T554" s="754"/>
      <c r="U554" s="754"/>
      <c r="V554" s="754"/>
      <c r="W554" s="754"/>
      <c r="X554" s="754"/>
      <c r="Y554" s="754"/>
      <c r="Z554" s="754"/>
      <c r="AA554" s="754"/>
      <c r="AB554" s="754"/>
      <c r="AC554" s="754"/>
      <c r="AD554" s="754"/>
      <c r="AE554" s="754"/>
      <c r="AF554" s="754"/>
      <c r="AG554" s="754"/>
      <c r="AH554" s="754"/>
      <c r="AI554" s="754"/>
      <c r="AJ554" s="754"/>
      <c r="AK554" s="754"/>
      <c r="AL554" s="754"/>
      <c r="AM554" s="754"/>
      <c r="AN554" s="754"/>
      <c r="AO554" s="754"/>
      <c r="AP554" s="754"/>
      <c r="AQ554" s="754"/>
      <c r="AR554" s="754"/>
      <c r="AS554" s="754"/>
      <c r="AT554" s="754"/>
      <c r="AU554" s="754"/>
    </row>
    <row r="555" ht="15.75" customHeight="1">
      <c r="A555" s="755">
        <v>44453.0</v>
      </c>
      <c r="B555" s="793" t="s">
        <v>6002</v>
      </c>
      <c r="C555" s="745" t="s">
        <v>3642</v>
      </c>
      <c r="D555" s="745" t="s">
        <v>5902</v>
      </c>
      <c r="E555" s="757">
        <v>0.0</v>
      </c>
      <c r="F555" s="745" t="s">
        <v>4100</v>
      </c>
      <c r="G555" s="745" t="s">
        <v>18</v>
      </c>
      <c r="H555" s="745" t="s">
        <v>29</v>
      </c>
      <c r="I555" s="745" t="s">
        <v>3650</v>
      </c>
      <c r="J555" s="755">
        <v>44202.0</v>
      </c>
      <c r="K555" s="762" t="s">
        <v>3651</v>
      </c>
      <c r="L555" s="754"/>
      <c r="M555" s="754"/>
      <c r="N555" s="754"/>
      <c r="O555" s="754"/>
      <c r="P555" s="754"/>
      <c r="Q555" s="754"/>
      <c r="R555" s="754"/>
      <c r="S555" s="754"/>
      <c r="T555" s="754"/>
      <c r="U555" s="754"/>
      <c r="V555" s="754"/>
      <c r="W555" s="754"/>
      <c r="X555" s="754"/>
      <c r="Y555" s="754"/>
      <c r="Z555" s="754"/>
      <c r="AA555" s="754"/>
      <c r="AB555" s="754"/>
      <c r="AC555" s="754"/>
      <c r="AD555" s="754"/>
      <c r="AE555" s="754"/>
      <c r="AF555" s="754"/>
      <c r="AG555" s="754"/>
      <c r="AH555" s="754"/>
      <c r="AI555" s="754"/>
      <c r="AJ555" s="754"/>
      <c r="AK555" s="754"/>
      <c r="AL555" s="754"/>
      <c r="AM555" s="754"/>
      <c r="AN555" s="754"/>
      <c r="AO555" s="754"/>
      <c r="AP555" s="754"/>
      <c r="AQ555" s="754"/>
      <c r="AR555" s="754"/>
      <c r="AS555" s="754"/>
      <c r="AT555" s="754"/>
      <c r="AU555" s="754"/>
    </row>
    <row r="556" ht="15.75" customHeight="1">
      <c r="A556" s="768">
        <v>44455.0</v>
      </c>
      <c r="B556" s="756" t="s">
        <v>6003</v>
      </c>
      <c r="C556" s="770" t="s">
        <v>3642</v>
      </c>
      <c r="D556" s="745" t="s">
        <v>5903</v>
      </c>
      <c r="E556" s="794">
        <v>135728.28</v>
      </c>
      <c r="F556" s="745" t="s">
        <v>3854</v>
      </c>
      <c r="G556" s="745" t="s">
        <v>18</v>
      </c>
      <c r="H556" s="745" t="s">
        <v>19</v>
      </c>
      <c r="I556" s="745" t="s">
        <v>230</v>
      </c>
      <c r="J556" s="755">
        <v>44204.0</v>
      </c>
      <c r="K556" s="762" t="s">
        <v>3651</v>
      </c>
      <c r="L556" s="754"/>
      <c r="M556" s="754"/>
      <c r="N556" s="754"/>
      <c r="O556" s="754"/>
      <c r="P556" s="754"/>
      <c r="Q556" s="754"/>
      <c r="R556" s="754"/>
      <c r="S556" s="754"/>
      <c r="T556" s="754"/>
      <c r="U556" s="754"/>
      <c r="V556" s="754"/>
      <c r="W556" s="754"/>
      <c r="X556" s="754"/>
      <c r="Y556" s="754"/>
      <c r="Z556" s="754"/>
      <c r="AA556" s="754"/>
      <c r="AB556" s="754"/>
      <c r="AC556" s="754"/>
      <c r="AD556" s="754"/>
      <c r="AE556" s="754"/>
      <c r="AF556" s="754"/>
      <c r="AG556" s="754"/>
      <c r="AH556" s="754"/>
      <c r="AI556" s="754"/>
      <c r="AJ556" s="754"/>
      <c r="AK556" s="754"/>
      <c r="AL556" s="754"/>
      <c r="AM556" s="754"/>
      <c r="AN556" s="754"/>
      <c r="AO556" s="754"/>
      <c r="AP556" s="754"/>
      <c r="AQ556" s="754"/>
      <c r="AR556" s="754"/>
      <c r="AS556" s="754"/>
      <c r="AT556" s="754"/>
      <c r="AU556" s="754"/>
    </row>
    <row r="557" ht="15.75" customHeight="1">
      <c r="A557" s="755">
        <v>44455.0</v>
      </c>
      <c r="B557" s="756" t="s">
        <v>3405</v>
      </c>
      <c r="C557" s="745" t="s">
        <v>2376</v>
      </c>
      <c r="D557" s="745" t="s">
        <v>5902</v>
      </c>
      <c r="E557" s="764">
        <v>107666.91</v>
      </c>
      <c r="F557" s="745" t="s">
        <v>3404</v>
      </c>
      <c r="G557" s="755" t="s">
        <v>2379</v>
      </c>
      <c r="H557" s="755" t="s">
        <v>29</v>
      </c>
      <c r="I557" s="755" t="s">
        <v>2380</v>
      </c>
      <c r="J557" s="755">
        <v>43843.0</v>
      </c>
      <c r="K557" s="758" t="s">
        <v>3660</v>
      </c>
      <c r="L557" s="754"/>
      <c r="M557" s="754"/>
      <c r="N557" s="754"/>
      <c r="O557" s="754"/>
      <c r="P557" s="754"/>
      <c r="Q557" s="754"/>
      <c r="R557" s="754"/>
      <c r="S557" s="754"/>
      <c r="T557" s="754"/>
      <c r="U557" s="754"/>
      <c r="V557" s="754"/>
      <c r="W557" s="754"/>
      <c r="X557" s="754"/>
      <c r="Y557" s="754"/>
      <c r="Z557" s="754"/>
      <c r="AA557" s="754"/>
      <c r="AB557" s="754"/>
      <c r="AC557" s="754"/>
      <c r="AD557" s="754"/>
      <c r="AE557" s="754"/>
      <c r="AF557" s="754"/>
      <c r="AG557" s="754"/>
      <c r="AH557" s="754"/>
      <c r="AI557" s="754"/>
      <c r="AJ557" s="754"/>
      <c r="AK557" s="754"/>
      <c r="AL557" s="754"/>
      <c r="AM557" s="754"/>
      <c r="AN557" s="754"/>
      <c r="AO557" s="754"/>
      <c r="AP557" s="754"/>
      <c r="AQ557" s="754"/>
      <c r="AR557" s="754"/>
      <c r="AS557" s="754"/>
      <c r="AT557" s="754"/>
      <c r="AU557" s="754"/>
    </row>
    <row r="558" ht="15.75" customHeight="1">
      <c r="A558" s="755">
        <v>44455.0</v>
      </c>
      <c r="B558" s="760" t="s">
        <v>6004</v>
      </c>
      <c r="C558" s="745" t="s">
        <v>3642</v>
      </c>
      <c r="D558" s="745" t="s">
        <v>5902</v>
      </c>
      <c r="E558" s="757">
        <v>0.0</v>
      </c>
      <c r="F558" s="745" t="s">
        <v>4623</v>
      </c>
      <c r="G558" s="745" t="s">
        <v>18</v>
      </c>
      <c r="H558" s="745" t="s">
        <v>29</v>
      </c>
      <c r="I558" s="745" t="s">
        <v>3650</v>
      </c>
      <c r="J558" s="755">
        <v>44384.0</v>
      </c>
      <c r="K558" s="762" t="s">
        <v>3657</v>
      </c>
      <c r="L558" s="754"/>
      <c r="M558" s="754"/>
      <c r="N558" s="754"/>
      <c r="O558" s="754"/>
      <c r="P558" s="754"/>
      <c r="Q558" s="754"/>
      <c r="R558" s="754"/>
      <c r="S558" s="754"/>
      <c r="T558" s="754"/>
      <c r="U558" s="754"/>
      <c r="V558" s="754"/>
      <c r="W558" s="754"/>
      <c r="X558" s="754"/>
      <c r="Y558" s="754"/>
      <c r="Z558" s="754"/>
      <c r="AA558" s="754"/>
      <c r="AB558" s="754"/>
      <c r="AC558" s="754"/>
      <c r="AD558" s="754"/>
      <c r="AE558" s="754"/>
      <c r="AF558" s="754"/>
      <c r="AG558" s="754"/>
      <c r="AH558" s="754"/>
      <c r="AI558" s="754"/>
      <c r="AJ558" s="754"/>
      <c r="AK558" s="754"/>
      <c r="AL558" s="754"/>
      <c r="AM558" s="754"/>
      <c r="AN558" s="754"/>
      <c r="AO558" s="754"/>
      <c r="AP558" s="754"/>
      <c r="AQ558" s="754"/>
      <c r="AR558" s="754"/>
      <c r="AS558" s="754"/>
      <c r="AT558" s="754"/>
      <c r="AU558" s="754"/>
    </row>
    <row r="559" ht="15.75" customHeight="1">
      <c r="A559" s="768">
        <v>44456.0</v>
      </c>
      <c r="B559" s="760" t="s">
        <v>2811</v>
      </c>
      <c r="C559" s="770" t="s">
        <v>2376</v>
      </c>
      <c r="D559" s="745" t="s">
        <v>5903</v>
      </c>
      <c r="E559" s="794">
        <v>7500.0</v>
      </c>
      <c r="F559" s="745" t="s">
        <v>2810</v>
      </c>
      <c r="G559" s="755" t="s">
        <v>2379</v>
      </c>
      <c r="H559" s="755" t="s">
        <v>29</v>
      </c>
      <c r="I559" s="755" t="s">
        <v>2380</v>
      </c>
      <c r="J559" s="755">
        <v>43703.0</v>
      </c>
      <c r="K559" s="758" t="s">
        <v>4033</v>
      </c>
      <c r="L559" s="754"/>
      <c r="M559" s="754"/>
      <c r="N559" s="754"/>
      <c r="O559" s="754"/>
      <c r="P559" s="754"/>
      <c r="Q559" s="754"/>
      <c r="R559" s="754"/>
      <c r="S559" s="754"/>
      <c r="T559" s="754"/>
      <c r="U559" s="754"/>
      <c r="V559" s="754"/>
      <c r="W559" s="754"/>
      <c r="X559" s="754"/>
      <c r="Y559" s="754"/>
      <c r="Z559" s="754"/>
      <c r="AA559" s="754"/>
      <c r="AB559" s="754"/>
      <c r="AC559" s="754"/>
      <c r="AD559" s="754"/>
      <c r="AE559" s="754"/>
      <c r="AF559" s="754"/>
      <c r="AG559" s="754"/>
      <c r="AH559" s="754"/>
      <c r="AI559" s="754"/>
      <c r="AJ559" s="754"/>
      <c r="AK559" s="754"/>
      <c r="AL559" s="754"/>
      <c r="AM559" s="754"/>
      <c r="AN559" s="754"/>
      <c r="AO559" s="754"/>
      <c r="AP559" s="754"/>
      <c r="AQ559" s="754"/>
      <c r="AR559" s="754"/>
      <c r="AS559" s="754"/>
      <c r="AT559" s="754"/>
      <c r="AU559" s="754"/>
    </row>
    <row r="560" ht="15.75" customHeight="1">
      <c r="A560" s="755">
        <v>44456.0</v>
      </c>
      <c r="B560" s="756" t="s">
        <v>6005</v>
      </c>
      <c r="C560" s="745" t="s">
        <v>3642</v>
      </c>
      <c r="D560" s="745" t="s">
        <v>5902</v>
      </c>
      <c r="E560" s="757">
        <v>0.0</v>
      </c>
      <c r="F560" s="745" t="s">
        <v>3649</v>
      </c>
      <c r="G560" s="745" t="s">
        <v>18</v>
      </c>
      <c r="H560" s="745" t="s">
        <v>29</v>
      </c>
      <c r="I560" s="745" t="s">
        <v>3650</v>
      </c>
      <c r="J560" s="755">
        <v>44186.0</v>
      </c>
      <c r="K560" s="762" t="s">
        <v>3651</v>
      </c>
      <c r="L560" s="754"/>
      <c r="M560" s="754"/>
      <c r="N560" s="754"/>
      <c r="O560" s="754"/>
      <c r="P560" s="754"/>
      <c r="Q560" s="754"/>
      <c r="R560" s="754"/>
      <c r="S560" s="754"/>
      <c r="T560" s="754"/>
      <c r="U560" s="754"/>
      <c r="V560" s="754"/>
      <c r="W560" s="754"/>
      <c r="X560" s="754"/>
      <c r="Y560" s="754"/>
      <c r="Z560" s="754"/>
      <c r="AA560" s="754"/>
      <c r="AB560" s="754"/>
      <c r="AC560" s="754"/>
      <c r="AD560" s="754"/>
      <c r="AE560" s="754"/>
      <c r="AF560" s="754"/>
      <c r="AG560" s="754"/>
      <c r="AH560" s="754"/>
      <c r="AI560" s="754"/>
      <c r="AJ560" s="754"/>
      <c r="AK560" s="754"/>
      <c r="AL560" s="754"/>
      <c r="AM560" s="754"/>
      <c r="AN560" s="754"/>
      <c r="AO560" s="754"/>
      <c r="AP560" s="754"/>
      <c r="AQ560" s="754"/>
      <c r="AR560" s="754"/>
      <c r="AS560" s="754"/>
      <c r="AT560" s="754"/>
      <c r="AU560" s="754"/>
    </row>
    <row r="561" ht="15.75" customHeight="1">
      <c r="A561" s="755">
        <v>44456.0</v>
      </c>
      <c r="B561" s="756" t="s">
        <v>6006</v>
      </c>
      <c r="C561" s="745" t="s">
        <v>3642</v>
      </c>
      <c r="D561" s="745" t="s">
        <v>5902</v>
      </c>
      <c r="E561" s="757">
        <v>0.0</v>
      </c>
      <c r="F561" s="745" t="s">
        <v>4454</v>
      </c>
      <c r="G561" s="745" t="s">
        <v>18</v>
      </c>
      <c r="H561" s="745" t="s">
        <v>29</v>
      </c>
      <c r="I561" s="745" t="s">
        <v>3650</v>
      </c>
      <c r="J561" s="755">
        <v>44456.0</v>
      </c>
      <c r="K561" s="762" t="s">
        <v>3693</v>
      </c>
      <c r="L561" s="754"/>
      <c r="M561" s="754"/>
      <c r="N561" s="754"/>
      <c r="O561" s="754"/>
      <c r="P561" s="754"/>
      <c r="Q561" s="754"/>
      <c r="R561" s="754"/>
      <c r="S561" s="754"/>
      <c r="T561" s="754"/>
      <c r="U561" s="754"/>
      <c r="V561" s="754"/>
      <c r="W561" s="754"/>
      <c r="X561" s="754"/>
      <c r="Y561" s="754"/>
      <c r="Z561" s="754"/>
      <c r="AA561" s="754"/>
      <c r="AB561" s="754"/>
      <c r="AC561" s="754"/>
      <c r="AD561" s="754"/>
      <c r="AE561" s="754"/>
      <c r="AF561" s="754"/>
      <c r="AG561" s="754"/>
      <c r="AH561" s="754"/>
      <c r="AI561" s="754"/>
      <c r="AJ561" s="754"/>
      <c r="AK561" s="754"/>
      <c r="AL561" s="754"/>
      <c r="AM561" s="754"/>
      <c r="AN561" s="754"/>
      <c r="AO561" s="754"/>
      <c r="AP561" s="754"/>
      <c r="AQ561" s="754"/>
      <c r="AR561" s="754"/>
      <c r="AS561" s="754"/>
      <c r="AT561" s="754"/>
      <c r="AU561" s="754"/>
    </row>
    <row r="562" ht="15.75" customHeight="1">
      <c r="A562" s="768">
        <v>44459.0</v>
      </c>
      <c r="B562" s="760" t="s">
        <v>2877</v>
      </c>
      <c r="C562" s="770" t="s">
        <v>2376</v>
      </c>
      <c r="D562" s="745" t="s">
        <v>5903</v>
      </c>
      <c r="E562" s="772">
        <v>159337.69</v>
      </c>
      <c r="F562" s="745" t="s">
        <v>1122</v>
      </c>
      <c r="G562" s="755" t="s">
        <v>18</v>
      </c>
      <c r="H562" s="755" t="s">
        <v>145</v>
      </c>
      <c r="I562" s="755" t="s">
        <v>146</v>
      </c>
      <c r="J562" s="755">
        <v>44280.0</v>
      </c>
      <c r="K562" s="758" t="s">
        <v>3657</v>
      </c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54"/>
      <c r="AB562" s="754"/>
      <c r="AC562" s="754"/>
      <c r="AD562" s="754"/>
      <c r="AE562" s="754"/>
      <c r="AF562" s="754"/>
      <c r="AG562" s="754"/>
      <c r="AH562" s="754"/>
      <c r="AI562" s="754"/>
      <c r="AJ562" s="754"/>
      <c r="AK562" s="754"/>
      <c r="AL562" s="754"/>
      <c r="AM562" s="754"/>
      <c r="AN562" s="754"/>
      <c r="AO562" s="754"/>
      <c r="AP562" s="754"/>
      <c r="AQ562" s="754"/>
      <c r="AR562" s="754"/>
      <c r="AS562" s="754"/>
      <c r="AT562" s="754"/>
      <c r="AU562" s="754"/>
    </row>
    <row r="563" ht="15.75" customHeight="1">
      <c r="A563" s="768">
        <v>44459.0</v>
      </c>
      <c r="B563" s="760" t="s">
        <v>2804</v>
      </c>
      <c r="C563" s="770" t="s">
        <v>2376</v>
      </c>
      <c r="D563" s="745" t="s">
        <v>5903</v>
      </c>
      <c r="E563" s="794">
        <v>20000.0</v>
      </c>
      <c r="F563" s="745" t="s">
        <v>2803</v>
      </c>
      <c r="G563" s="755" t="s">
        <v>18</v>
      </c>
      <c r="H563" s="755" t="s">
        <v>145</v>
      </c>
      <c r="I563" s="755" t="s">
        <v>171</v>
      </c>
      <c r="J563" s="755">
        <v>44319.0</v>
      </c>
      <c r="K563" s="758" t="s">
        <v>3647</v>
      </c>
      <c r="L563" s="754"/>
      <c r="M563" s="754"/>
      <c r="N563" s="754"/>
      <c r="O563" s="754"/>
      <c r="P563" s="754"/>
      <c r="Q563" s="754"/>
      <c r="R563" s="754"/>
      <c r="S563" s="754"/>
      <c r="T563" s="754"/>
      <c r="U563" s="754"/>
      <c r="V563" s="754"/>
      <c r="W563" s="754"/>
      <c r="X563" s="754"/>
      <c r="Y563" s="754"/>
      <c r="Z563" s="754"/>
      <c r="AA563" s="754"/>
      <c r="AB563" s="754"/>
      <c r="AC563" s="754"/>
      <c r="AD563" s="754"/>
      <c r="AE563" s="754"/>
      <c r="AF563" s="754"/>
      <c r="AG563" s="754"/>
      <c r="AH563" s="754"/>
      <c r="AI563" s="754"/>
      <c r="AJ563" s="754"/>
      <c r="AK563" s="754"/>
      <c r="AL563" s="754"/>
      <c r="AM563" s="754"/>
      <c r="AN563" s="754"/>
      <c r="AO563" s="754"/>
      <c r="AP563" s="754"/>
      <c r="AQ563" s="754"/>
      <c r="AR563" s="754"/>
      <c r="AS563" s="754"/>
      <c r="AT563" s="754"/>
      <c r="AU563" s="754"/>
    </row>
    <row r="564" ht="15.75" customHeight="1">
      <c r="A564" s="768">
        <v>44459.0</v>
      </c>
      <c r="B564" s="760" t="s">
        <v>2646</v>
      </c>
      <c r="C564" s="770" t="s">
        <v>2376</v>
      </c>
      <c r="D564" s="745" t="s">
        <v>5903</v>
      </c>
      <c r="E564" s="794">
        <v>271802.72</v>
      </c>
      <c r="F564" s="745" t="s">
        <v>2645</v>
      </c>
      <c r="G564" s="755" t="s">
        <v>18</v>
      </c>
      <c r="H564" s="755" t="s">
        <v>145</v>
      </c>
      <c r="I564" s="755" t="s">
        <v>146</v>
      </c>
      <c r="J564" s="755">
        <v>44328.0</v>
      </c>
      <c r="K564" s="758" t="s">
        <v>3651</v>
      </c>
      <c r="L564" s="754"/>
      <c r="M564" s="754"/>
      <c r="N564" s="754"/>
      <c r="O564" s="754"/>
      <c r="P564" s="754"/>
      <c r="Q564" s="754"/>
      <c r="R564" s="754"/>
      <c r="S564" s="754"/>
      <c r="T564" s="754"/>
      <c r="U564" s="754"/>
      <c r="V564" s="754"/>
      <c r="W564" s="754"/>
      <c r="X564" s="754"/>
      <c r="Y564" s="754"/>
      <c r="Z564" s="754"/>
      <c r="AA564" s="754"/>
      <c r="AB564" s="754"/>
      <c r="AC564" s="754"/>
      <c r="AD564" s="754"/>
      <c r="AE564" s="754"/>
      <c r="AF564" s="754"/>
      <c r="AG564" s="754"/>
      <c r="AH564" s="754"/>
      <c r="AI564" s="754"/>
      <c r="AJ564" s="754"/>
      <c r="AK564" s="754"/>
      <c r="AL564" s="754"/>
      <c r="AM564" s="754"/>
      <c r="AN564" s="754"/>
      <c r="AO564" s="754"/>
      <c r="AP564" s="754"/>
      <c r="AQ564" s="754"/>
      <c r="AR564" s="754"/>
      <c r="AS564" s="754"/>
      <c r="AT564" s="754"/>
      <c r="AU564" s="754"/>
    </row>
    <row r="565" ht="15.75" customHeight="1">
      <c r="A565" s="792">
        <v>44459.0</v>
      </c>
      <c r="B565" s="760" t="s">
        <v>5971</v>
      </c>
      <c r="C565" s="745" t="s">
        <v>3642</v>
      </c>
      <c r="D565" s="745" t="s">
        <v>5902</v>
      </c>
      <c r="E565" s="757">
        <v>0.0</v>
      </c>
      <c r="F565" s="745" t="s">
        <v>4193</v>
      </c>
      <c r="G565" s="745" t="s">
        <v>18</v>
      </c>
      <c r="H565" s="745" t="s">
        <v>29</v>
      </c>
      <c r="I565" s="745" t="s">
        <v>3533</v>
      </c>
      <c r="J565" s="755"/>
      <c r="K565" s="762" t="s">
        <v>3664</v>
      </c>
      <c r="L565" s="754"/>
      <c r="M565" s="754"/>
      <c r="N565" s="754"/>
      <c r="O565" s="754"/>
      <c r="P565" s="754"/>
      <c r="Q565" s="754"/>
      <c r="R565" s="754"/>
      <c r="S565" s="754"/>
      <c r="T565" s="754"/>
      <c r="U565" s="754"/>
      <c r="V565" s="754"/>
      <c r="W565" s="754"/>
      <c r="X565" s="754"/>
      <c r="Y565" s="754"/>
      <c r="Z565" s="754"/>
      <c r="AA565" s="754"/>
      <c r="AB565" s="754"/>
      <c r="AC565" s="754"/>
      <c r="AD565" s="754"/>
      <c r="AE565" s="754"/>
      <c r="AF565" s="754"/>
      <c r="AG565" s="754"/>
      <c r="AH565" s="754"/>
      <c r="AI565" s="754"/>
      <c r="AJ565" s="754"/>
      <c r="AK565" s="754"/>
      <c r="AL565" s="754"/>
      <c r="AM565" s="754"/>
      <c r="AN565" s="754"/>
      <c r="AO565" s="754"/>
      <c r="AP565" s="754"/>
      <c r="AQ565" s="754"/>
      <c r="AR565" s="754"/>
      <c r="AS565" s="754"/>
      <c r="AT565" s="754"/>
      <c r="AU565" s="754"/>
    </row>
    <row r="566" ht="15.75" customHeight="1">
      <c r="A566" s="768">
        <v>44460.0</v>
      </c>
      <c r="B566" s="760" t="s">
        <v>2457</v>
      </c>
      <c r="C566" s="770" t="s">
        <v>2376</v>
      </c>
      <c r="D566" s="745" t="s">
        <v>5903</v>
      </c>
      <c r="E566" s="794">
        <v>100000.0</v>
      </c>
      <c r="F566" s="745" t="s">
        <v>217</v>
      </c>
      <c r="G566" s="755" t="s">
        <v>18</v>
      </c>
      <c r="H566" s="755" t="s">
        <v>145</v>
      </c>
      <c r="I566" s="755" t="s">
        <v>146</v>
      </c>
      <c r="J566" s="755">
        <v>44266.0</v>
      </c>
      <c r="K566" s="758" t="s">
        <v>3647</v>
      </c>
      <c r="L566" s="754"/>
      <c r="M566" s="754"/>
      <c r="N566" s="754"/>
      <c r="O566" s="754"/>
      <c r="P566" s="754"/>
      <c r="Q566" s="754"/>
      <c r="R566" s="754"/>
      <c r="S566" s="754"/>
      <c r="T566" s="754"/>
      <c r="U566" s="754"/>
      <c r="V566" s="754"/>
      <c r="W566" s="754"/>
      <c r="X566" s="754"/>
      <c r="Y566" s="754"/>
      <c r="Z566" s="754"/>
      <c r="AA566" s="754"/>
      <c r="AB566" s="754"/>
      <c r="AC566" s="754"/>
      <c r="AD566" s="754"/>
      <c r="AE566" s="754"/>
      <c r="AF566" s="754"/>
      <c r="AG566" s="754"/>
      <c r="AH566" s="754"/>
      <c r="AI566" s="754"/>
      <c r="AJ566" s="754"/>
      <c r="AK566" s="754"/>
      <c r="AL566" s="754"/>
      <c r="AM566" s="754"/>
      <c r="AN566" s="754"/>
      <c r="AO566" s="754"/>
      <c r="AP566" s="754"/>
      <c r="AQ566" s="754"/>
      <c r="AR566" s="754"/>
      <c r="AS566" s="754"/>
      <c r="AT566" s="754"/>
      <c r="AU566" s="754"/>
    </row>
    <row r="567" ht="15.75" customHeight="1">
      <c r="A567" s="768">
        <v>44460.0</v>
      </c>
      <c r="B567" s="756" t="s">
        <v>6007</v>
      </c>
      <c r="C567" s="770" t="s">
        <v>3642</v>
      </c>
      <c r="D567" s="745" t="s">
        <v>2387</v>
      </c>
      <c r="E567" s="757">
        <v>157308.25</v>
      </c>
      <c r="F567" s="745" t="s">
        <v>4918</v>
      </c>
      <c r="G567" s="745" t="s">
        <v>2379</v>
      </c>
      <c r="H567" s="745" t="s">
        <v>29</v>
      </c>
      <c r="I567" s="745" t="s">
        <v>2379</v>
      </c>
      <c r="J567" s="755">
        <v>44250.0</v>
      </c>
      <c r="K567" s="762" t="s">
        <v>3651</v>
      </c>
      <c r="L567" s="754"/>
      <c r="M567" s="754"/>
      <c r="N567" s="754"/>
      <c r="O567" s="754"/>
      <c r="P567" s="754"/>
      <c r="Q567" s="754"/>
      <c r="R567" s="754"/>
      <c r="S567" s="754"/>
      <c r="T567" s="754"/>
      <c r="U567" s="754"/>
      <c r="V567" s="754"/>
      <c r="W567" s="754"/>
      <c r="X567" s="754"/>
      <c r="Y567" s="754"/>
      <c r="Z567" s="754"/>
      <c r="AA567" s="754"/>
      <c r="AB567" s="754"/>
      <c r="AC567" s="754"/>
      <c r="AD567" s="754"/>
      <c r="AE567" s="754"/>
      <c r="AF567" s="754"/>
      <c r="AG567" s="754"/>
      <c r="AH567" s="754"/>
      <c r="AI567" s="754"/>
      <c r="AJ567" s="754"/>
      <c r="AK567" s="754"/>
      <c r="AL567" s="754"/>
      <c r="AM567" s="754"/>
      <c r="AN567" s="754"/>
      <c r="AO567" s="754"/>
      <c r="AP567" s="754"/>
      <c r="AQ567" s="754"/>
      <c r="AR567" s="754"/>
      <c r="AS567" s="754"/>
      <c r="AT567" s="754"/>
      <c r="AU567" s="754"/>
    </row>
    <row r="568" ht="15.75" customHeight="1">
      <c r="A568" s="792">
        <v>44460.0</v>
      </c>
      <c r="B568" s="756" t="s">
        <v>6008</v>
      </c>
      <c r="C568" s="745" t="s">
        <v>3642</v>
      </c>
      <c r="D568" s="745" t="s">
        <v>5902</v>
      </c>
      <c r="E568" s="757">
        <v>0.0</v>
      </c>
      <c r="F568" s="745" t="s">
        <v>5204</v>
      </c>
      <c r="G568" s="745" t="s">
        <v>18</v>
      </c>
      <c r="H568" s="745" t="s">
        <v>29</v>
      </c>
      <c r="I568" s="745" t="s">
        <v>3650</v>
      </c>
      <c r="J568" s="755">
        <v>44088.0</v>
      </c>
      <c r="K568" s="762" t="s">
        <v>3664</v>
      </c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54"/>
      <c r="AB568" s="754"/>
      <c r="AC568" s="754"/>
      <c r="AD568" s="754"/>
      <c r="AE568" s="754"/>
      <c r="AF568" s="754"/>
      <c r="AG568" s="754"/>
      <c r="AH568" s="754"/>
      <c r="AI568" s="754"/>
      <c r="AJ568" s="754"/>
      <c r="AK568" s="754"/>
      <c r="AL568" s="754"/>
      <c r="AM568" s="754"/>
      <c r="AN568" s="754"/>
      <c r="AO568" s="754"/>
      <c r="AP568" s="754"/>
      <c r="AQ568" s="754"/>
      <c r="AR568" s="754"/>
      <c r="AS568" s="754"/>
      <c r="AT568" s="754"/>
      <c r="AU568" s="754"/>
    </row>
    <row r="569" ht="15.75" customHeight="1">
      <c r="A569" s="768">
        <v>44461.0</v>
      </c>
      <c r="B569" s="760" t="s">
        <v>3475</v>
      </c>
      <c r="C569" s="770" t="s">
        <v>3458</v>
      </c>
      <c r="D569" s="745" t="s">
        <v>5903</v>
      </c>
      <c r="E569" s="794">
        <v>50000.0</v>
      </c>
      <c r="F569" s="745" t="s">
        <v>387</v>
      </c>
      <c r="G569" s="755" t="s">
        <v>18</v>
      </c>
      <c r="H569" s="755" t="s">
        <v>29</v>
      </c>
      <c r="I569" s="755" t="s">
        <v>2633</v>
      </c>
      <c r="J569" s="755">
        <v>43934.0</v>
      </c>
      <c r="K569" s="758" t="s">
        <v>3647</v>
      </c>
      <c r="L569" s="754"/>
      <c r="M569" s="754"/>
      <c r="N569" s="754"/>
      <c r="O569" s="754"/>
      <c r="P569" s="754"/>
      <c r="Q569" s="754"/>
      <c r="R569" s="754"/>
      <c r="S569" s="754"/>
      <c r="T569" s="754"/>
      <c r="U569" s="754"/>
      <c r="V569" s="754"/>
      <c r="W569" s="754"/>
      <c r="X569" s="754"/>
      <c r="Y569" s="754"/>
      <c r="Z569" s="754"/>
      <c r="AA569" s="754"/>
      <c r="AB569" s="754"/>
      <c r="AC569" s="754"/>
      <c r="AD569" s="754"/>
      <c r="AE569" s="754"/>
      <c r="AF569" s="754"/>
      <c r="AG569" s="754"/>
      <c r="AH569" s="754"/>
      <c r="AI569" s="754"/>
      <c r="AJ569" s="754"/>
      <c r="AK569" s="754"/>
      <c r="AL569" s="754"/>
      <c r="AM569" s="754"/>
      <c r="AN569" s="754"/>
      <c r="AO569" s="754"/>
      <c r="AP569" s="754"/>
      <c r="AQ569" s="754"/>
      <c r="AR569" s="754"/>
      <c r="AS569" s="754"/>
      <c r="AT569" s="754"/>
      <c r="AU569" s="754"/>
    </row>
    <row r="570" ht="15.75" customHeight="1">
      <c r="A570" s="768">
        <v>44461.0</v>
      </c>
      <c r="B570" s="760" t="s">
        <v>2875</v>
      </c>
      <c r="C570" s="770" t="s">
        <v>2376</v>
      </c>
      <c r="D570" s="745" t="s">
        <v>5903</v>
      </c>
      <c r="E570" s="794">
        <v>30000.0</v>
      </c>
      <c r="F570" s="745" t="s">
        <v>2874</v>
      </c>
      <c r="G570" s="755" t="s">
        <v>18</v>
      </c>
      <c r="H570" s="755" t="s">
        <v>145</v>
      </c>
      <c r="I570" s="755" t="s">
        <v>146</v>
      </c>
      <c r="J570" s="755">
        <v>44319.0</v>
      </c>
      <c r="K570" s="758" t="s">
        <v>3651</v>
      </c>
      <c r="L570" s="754"/>
      <c r="M570" s="754"/>
      <c r="N570" s="754"/>
      <c r="O570" s="754"/>
      <c r="P570" s="754"/>
      <c r="Q570" s="754"/>
      <c r="R570" s="754"/>
      <c r="S570" s="754"/>
      <c r="T570" s="754"/>
      <c r="U570" s="754"/>
      <c r="V570" s="754"/>
      <c r="W570" s="754"/>
      <c r="X570" s="754"/>
      <c r="Y570" s="754"/>
      <c r="Z570" s="754"/>
      <c r="AA570" s="754"/>
      <c r="AB570" s="754"/>
      <c r="AC570" s="754"/>
      <c r="AD570" s="754"/>
      <c r="AE570" s="754"/>
      <c r="AF570" s="754"/>
      <c r="AG570" s="754"/>
      <c r="AH570" s="754"/>
      <c r="AI570" s="754"/>
      <c r="AJ570" s="754"/>
      <c r="AK570" s="754"/>
      <c r="AL570" s="754"/>
      <c r="AM570" s="754"/>
      <c r="AN570" s="754"/>
      <c r="AO570" s="754"/>
      <c r="AP570" s="754"/>
      <c r="AQ570" s="754"/>
      <c r="AR570" s="754"/>
      <c r="AS570" s="754"/>
      <c r="AT570" s="754"/>
      <c r="AU570" s="754"/>
    </row>
    <row r="571" ht="15.75" customHeight="1">
      <c r="A571" s="768">
        <v>44462.0</v>
      </c>
      <c r="B571" s="756" t="s">
        <v>5941</v>
      </c>
      <c r="C571" s="770" t="s">
        <v>3642</v>
      </c>
      <c r="D571" s="745" t="s">
        <v>5903</v>
      </c>
      <c r="E571" s="794">
        <v>20000.0</v>
      </c>
      <c r="F571" s="745" t="s">
        <v>4928</v>
      </c>
      <c r="G571" s="745" t="s">
        <v>86</v>
      </c>
      <c r="H571" s="745" t="s">
        <v>29</v>
      </c>
      <c r="I571" s="745" t="s">
        <v>4314</v>
      </c>
      <c r="J571" s="755">
        <v>44180.0</v>
      </c>
      <c r="K571" s="762" t="s">
        <v>3651</v>
      </c>
      <c r="L571" s="754"/>
      <c r="M571" s="754"/>
      <c r="N571" s="754"/>
      <c r="O571" s="754"/>
      <c r="P571" s="754"/>
      <c r="Q571" s="754"/>
      <c r="R571" s="754"/>
      <c r="S571" s="754"/>
      <c r="T571" s="754"/>
      <c r="U571" s="754"/>
      <c r="V571" s="754"/>
      <c r="W571" s="754"/>
      <c r="X571" s="754"/>
      <c r="Y571" s="754"/>
      <c r="Z571" s="754"/>
      <c r="AA571" s="754"/>
      <c r="AB571" s="754"/>
      <c r="AC571" s="754"/>
      <c r="AD571" s="754"/>
      <c r="AE571" s="754"/>
      <c r="AF571" s="754"/>
      <c r="AG571" s="754"/>
      <c r="AH571" s="754"/>
      <c r="AI571" s="754"/>
      <c r="AJ571" s="754"/>
      <c r="AK571" s="754"/>
      <c r="AL571" s="754"/>
      <c r="AM571" s="754"/>
      <c r="AN571" s="754"/>
      <c r="AO571" s="754"/>
      <c r="AP571" s="754"/>
      <c r="AQ571" s="754"/>
      <c r="AR571" s="754"/>
      <c r="AS571" s="754"/>
      <c r="AT571" s="754"/>
      <c r="AU571" s="754"/>
    </row>
    <row r="572" ht="15.75" customHeight="1">
      <c r="A572" s="768">
        <v>44462.0</v>
      </c>
      <c r="B572" s="756" t="s">
        <v>2517</v>
      </c>
      <c r="C572" s="770" t="s">
        <v>2376</v>
      </c>
      <c r="D572" s="745" t="s">
        <v>2387</v>
      </c>
      <c r="E572" s="794">
        <v>1421504.0</v>
      </c>
      <c r="F572" s="745" t="s">
        <v>2516</v>
      </c>
      <c r="G572" s="755" t="s">
        <v>18</v>
      </c>
      <c r="H572" s="755" t="s">
        <v>145</v>
      </c>
      <c r="I572" s="755" t="s">
        <v>146</v>
      </c>
      <c r="J572" s="755">
        <v>44280.0</v>
      </c>
      <c r="K572" s="758" t="s">
        <v>3664</v>
      </c>
      <c r="L572" s="754"/>
      <c r="M572" s="754"/>
      <c r="N572" s="754"/>
      <c r="O572" s="754"/>
      <c r="P572" s="754"/>
      <c r="Q572" s="754"/>
      <c r="R572" s="754"/>
      <c r="S572" s="754"/>
      <c r="T572" s="754"/>
      <c r="U572" s="754"/>
      <c r="V572" s="754"/>
      <c r="W572" s="754"/>
      <c r="X572" s="754"/>
      <c r="Y572" s="754"/>
      <c r="Z572" s="754"/>
      <c r="AA572" s="754"/>
      <c r="AB572" s="754"/>
      <c r="AC572" s="754"/>
      <c r="AD572" s="754"/>
      <c r="AE572" s="754"/>
      <c r="AF572" s="754"/>
      <c r="AG572" s="754"/>
      <c r="AH572" s="754"/>
      <c r="AI572" s="754"/>
      <c r="AJ572" s="754"/>
      <c r="AK572" s="754"/>
      <c r="AL572" s="754"/>
      <c r="AM572" s="754"/>
      <c r="AN572" s="754"/>
      <c r="AO572" s="754"/>
      <c r="AP572" s="754"/>
      <c r="AQ572" s="754"/>
      <c r="AR572" s="754"/>
      <c r="AS572" s="754"/>
      <c r="AT572" s="754"/>
      <c r="AU572" s="754"/>
    </row>
    <row r="573" ht="15.75" customHeight="1">
      <c r="A573" s="768">
        <v>44463.0</v>
      </c>
      <c r="B573" s="795" t="s">
        <v>2814</v>
      </c>
      <c r="C573" s="770" t="s">
        <v>2376</v>
      </c>
      <c r="D573" s="745" t="s">
        <v>5903</v>
      </c>
      <c r="E573" s="794">
        <v>8000.0</v>
      </c>
      <c r="F573" s="745" t="s">
        <v>2810</v>
      </c>
      <c r="G573" s="755" t="s">
        <v>2379</v>
      </c>
      <c r="H573" s="755" t="s">
        <v>29</v>
      </c>
      <c r="I573" s="755" t="s">
        <v>2380</v>
      </c>
      <c r="J573" s="755">
        <v>43704.0</v>
      </c>
      <c r="K573" s="758" t="s">
        <v>3660</v>
      </c>
      <c r="L573" s="754"/>
      <c r="M573" s="754"/>
      <c r="N573" s="754"/>
      <c r="O573" s="754"/>
      <c r="P573" s="754"/>
      <c r="Q573" s="754"/>
      <c r="R573" s="754"/>
      <c r="S573" s="754"/>
      <c r="T573" s="754"/>
      <c r="U573" s="754"/>
      <c r="V573" s="754"/>
      <c r="W573" s="754"/>
      <c r="X573" s="754"/>
      <c r="Y573" s="754"/>
      <c r="Z573" s="754"/>
      <c r="AA573" s="754"/>
      <c r="AB573" s="754"/>
      <c r="AC573" s="754"/>
      <c r="AD573" s="754"/>
      <c r="AE573" s="754"/>
      <c r="AF573" s="754"/>
      <c r="AG573" s="754"/>
      <c r="AH573" s="754"/>
      <c r="AI573" s="754"/>
      <c r="AJ573" s="754"/>
      <c r="AK573" s="754"/>
      <c r="AL573" s="754"/>
      <c r="AM573" s="754"/>
      <c r="AN573" s="754"/>
      <c r="AO573" s="754"/>
      <c r="AP573" s="754"/>
      <c r="AQ573" s="754"/>
      <c r="AR573" s="754"/>
      <c r="AS573" s="754"/>
      <c r="AT573" s="754"/>
      <c r="AU573" s="754"/>
    </row>
    <row r="574" ht="15.75" customHeight="1">
      <c r="A574" s="768">
        <v>44463.0</v>
      </c>
      <c r="B574" s="795" t="s">
        <v>3043</v>
      </c>
      <c r="C574" s="770" t="s">
        <v>2376</v>
      </c>
      <c r="D574" s="745" t="s">
        <v>5903</v>
      </c>
      <c r="E574" s="794">
        <v>20000.0</v>
      </c>
      <c r="F574" s="745" t="s">
        <v>3042</v>
      </c>
      <c r="G574" s="755" t="s">
        <v>18</v>
      </c>
      <c r="H574" s="755" t="s">
        <v>145</v>
      </c>
      <c r="I574" s="755" t="s">
        <v>171</v>
      </c>
      <c r="J574" s="755">
        <v>44322.0</v>
      </c>
      <c r="K574" s="758" t="s">
        <v>3651</v>
      </c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54"/>
      <c r="AB574" s="754"/>
      <c r="AC574" s="754"/>
      <c r="AD574" s="754"/>
      <c r="AE574" s="754"/>
      <c r="AF574" s="754"/>
      <c r="AG574" s="754"/>
      <c r="AH574" s="754"/>
      <c r="AI574" s="754"/>
      <c r="AJ574" s="754"/>
      <c r="AK574" s="754"/>
      <c r="AL574" s="754"/>
      <c r="AM574" s="754"/>
      <c r="AN574" s="754"/>
      <c r="AO574" s="754"/>
      <c r="AP574" s="754"/>
      <c r="AQ574" s="754"/>
      <c r="AR574" s="754"/>
      <c r="AS574" s="754"/>
      <c r="AT574" s="754"/>
      <c r="AU574" s="754"/>
    </row>
    <row r="575" ht="15.75" customHeight="1">
      <c r="A575" s="768">
        <v>44463.0</v>
      </c>
      <c r="B575" s="760" t="s">
        <v>2457</v>
      </c>
      <c r="C575" s="770" t="s">
        <v>2376</v>
      </c>
      <c r="D575" s="745" t="s">
        <v>5903</v>
      </c>
      <c r="E575" s="794">
        <v>300000.0</v>
      </c>
      <c r="F575" s="745" t="s">
        <v>217</v>
      </c>
      <c r="G575" s="755" t="s">
        <v>18</v>
      </c>
      <c r="H575" s="755" t="s">
        <v>145</v>
      </c>
      <c r="I575" s="755" t="s">
        <v>146</v>
      </c>
      <c r="J575" s="755">
        <v>44266.0</v>
      </c>
      <c r="K575" s="758" t="s">
        <v>3647</v>
      </c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54"/>
      <c r="AB575" s="754"/>
      <c r="AC575" s="754"/>
      <c r="AD575" s="754"/>
      <c r="AE575" s="754"/>
      <c r="AF575" s="754"/>
      <c r="AG575" s="754"/>
      <c r="AH575" s="754"/>
      <c r="AI575" s="754"/>
      <c r="AJ575" s="754"/>
      <c r="AK575" s="754"/>
      <c r="AL575" s="754"/>
      <c r="AM575" s="754"/>
      <c r="AN575" s="754"/>
      <c r="AO575" s="754"/>
      <c r="AP575" s="754"/>
      <c r="AQ575" s="754"/>
      <c r="AR575" s="754"/>
      <c r="AS575" s="754"/>
      <c r="AT575" s="754"/>
      <c r="AU575" s="754"/>
    </row>
    <row r="576" ht="15.75" customHeight="1">
      <c r="A576" s="768">
        <v>44466.0</v>
      </c>
      <c r="B576" s="795" t="s">
        <v>3267</v>
      </c>
      <c r="C576" s="770" t="s">
        <v>2376</v>
      </c>
      <c r="D576" s="745" t="s">
        <v>5903</v>
      </c>
      <c r="E576" s="794">
        <v>10000.0</v>
      </c>
      <c r="F576" s="745" t="s">
        <v>3266</v>
      </c>
      <c r="G576" s="755" t="s">
        <v>18</v>
      </c>
      <c r="H576" s="755" t="s">
        <v>145</v>
      </c>
      <c r="I576" s="755" t="s">
        <v>171</v>
      </c>
      <c r="J576" s="755">
        <v>44319.0</v>
      </c>
      <c r="K576" s="758" t="s">
        <v>3651</v>
      </c>
      <c r="L576" s="754"/>
      <c r="M576" s="754"/>
      <c r="N576" s="754"/>
      <c r="O576" s="754"/>
      <c r="P576" s="754"/>
      <c r="Q576" s="754"/>
      <c r="R576" s="754"/>
      <c r="S576" s="754"/>
      <c r="T576" s="754"/>
      <c r="U576" s="754"/>
      <c r="V576" s="754"/>
      <c r="W576" s="754"/>
      <c r="X576" s="754"/>
      <c r="Y576" s="754"/>
      <c r="Z576" s="754"/>
      <c r="AA576" s="754"/>
      <c r="AB576" s="754"/>
      <c r="AC576" s="754"/>
      <c r="AD576" s="754"/>
      <c r="AE576" s="754"/>
      <c r="AF576" s="754"/>
      <c r="AG576" s="754"/>
      <c r="AH576" s="754"/>
      <c r="AI576" s="754"/>
      <c r="AJ576" s="754"/>
      <c r="AK576" s="754"/>
      <c r="AL576" s="754"/>
      <c r="AM576" s="754"/>
      <c r="AN576" s="754"/>
      <c r="AO576" s="754"/>
      <c r="AP576" s="754"/>
      <c r="AQ576" s="754"/>
      <c r="AR576" s="754"/>
      <c r="AS576" s="754"/>
      <c r="AT576" s="754"/>
      <c r="AU576" s="754"/>
    </row>
    <row r="577" ht="15.75" customHeight="1">
      <c r="A577" s="768">
        <v>44466.0</v>
      </c>
      <c r="B577" s="756" t="s">
        <v>2870</v>
      </c>
      <c r="C577" s="770" t="s">
        <v>2376</v>
      </c>
      <c r="D577" s="745" t="s">
        <v>5903</v>
      </c>
      <c r="E577" s="794">
        <v>12000.0</v>
      </c>
      <c r="F577" s="745" t="s">
        <v>2869</v>
      </c>
      <c r="G577" s="755" t="s">
        <v>2379</v>
      </c>
      <c r="H577" s="755" t="s">
        <v>29</v>
      </c>
      <c r="I577" s="755" t="s">
        <v>2380</v>
      </c>
      <c r="J577" s="755">
        <v>43605.0</v>
      </c>
      <c r="K577" s="758" t="s">
        <v>3660</v>
      </c>
      <c r="L577" s="754"/>
      <c r="M577" s="754"/>
      <c r="N577" s="754"/>
      <c r="O577" s="754"/>
      <c r="P577" s="754"/>
      <c r="Q577" s="754"/>
      <c r="R577" s="754"/>
      <c r="S577" s="754"/>
      <c r="T577" s="754"/>
      <c r="U577" s="754"/>
      <c r="V577" s="754"/>
      <c r="W577" s="754"/>
      <c r="X577" s="754"/>
      <c r="Y577" s="754"/>
      <c r="Z577" s="754"/>
      <c r="AA577" s="754"/>
      <c r="AB577" s="754"/>
      <c r="AC577" s="754"/>
      <c r="AD577" s="754"/>
      <c r="AE577" s="754"/>
      <c r="AF577" s="754"/>
      <c r="AG577" s="754"/>
      <c r="AH577" s="754"/>
      <c r="AI577" s="754"/>
      <c r="AJ577" s="754"/>
      <c r="AK577" s="754"/>
      <c r="AL577" s="754"/>
      <c r="AM577" s="754"/>
      <c r="AN577" s="754"/>
      <c r="AO577" s="754"/>
      <c r="AP577" s="754"/>
      <c r="AQ577" s="754"/>
      <c r="AR577" s="754"/>
      <c r="AS577" s="754"/>
      <c r="AT577" s="754"/>
      <c r="AU577" s="754"/>
    </row>
    <row r="578" ht="15.75" customHeight="1">
      <c r="A578" s="768">
        <v>44466.0</v>
      </c>
      <c r="B578" s="795" t="s">
        <v>2662</v>
      </c>
      <c r="C578" s="770" t="s">
        <v>2376</v>
      </c>
      <c r="D578" s="745" t="s">
        <v>5903</v>
      </c>
      <c r="E578" s="794">
        <v>100000.0</v>
      </c>
      <c r="F578" s="745" t="s">
        <v>669</v>
      </c>
      <c r="G578" s="755" t="s">
        <v>18</v>
      </c>
      <c r="H578" s="755" t="s">
        <v>145</v>
      </c>
      <c r="I578" s="755" t="s">
        <v>2464</v>
      </c>
      <c r="J578" s="755">
        <v>44299.0</v>
      </c>
      <c r="K578" s="758" t="s">
        <v>3651</v>
      </c>
      <c r="L578" s="754"/>
      <c r="M578" s="754"/>
      <c r="N578" s="754"/>
      <c r="O578" s="754"/>
      <c r="P578" s="754"/>
      <c r="Q578" s="754"/>
      <c r="R578" s="754"/>
      <c r="S578" s="754"/>
      <c r="T578" s="754"/>
      <c r="U578" s="754"/>
      <c r="V578" s="754"/>
      <c r="W578" s="754"/>
      <c r="X578" s="754"/>
      <c r="Y578" s="754"/>
      <c r="Z578" s="754"/>
      <c r="AA578" s="754"/>
      <c r="AB578" s="754"/>
      <c r="AC578" s="754"/>
      <c r="AD578" s="754"/>
      <c r="AE578" s="754"/>
      <c r="AF578" s="754"/>
      <c r="AG578" s="754"/>
      <c r="AH578" s="754"/>
      <c r="AI578" s="754"/>
      <c r="AJ578" s="754"/>
      <c r="AK578" s="754"/>
      <c r="AL578" s="754"/>
      <c r="AM578" s="754"/>
      <c r="AN578" s="754"/>
      <c r="AO578" s="754"/>
      <c r="AP578" s="754"/>
      <c r="AQ578" s="754"/>
      <c r="AR578" s="754"/>
      <c r="AS578" s="754"/>
      <c r="AT578" s="754"/>
      <c r="AU578" s="754"/>
    </row>
    <row r="579" ht="15.75" customHeight="1">
      <c r="A579" s="792">
        <v>44467.0</v>
      </c>
      <c r="B579" s="796" t="s">
        <v>6009</v>
      </c>
      <c r="C579" s="745" t="s">
        <v>3642</v>
      </c>
      <c r="D579" s="745" t="s">
        <v>5902</v>
      </c>
      <c r="E579" s="757">
        <v>0.0</v>
      </c>
      <c r="F579" s="745" t="s">
        <v>4538</v>
      </c>
      <c r="G579" s="745" t="s">
        <v>86</v>
      </c>
      <c r="H579" s="745" t="s">
        <v>29</v>
      </c>
      <c r="I579" s="745" t="s">
        <v>5934</v>
      </c>
      <c r="J579" s="755">
        <v>44917.0</v>
      </c>
      <c r="K579" s="762" t="s">
        <v>3647</v>
      </c>
      <c r="L579" s="754"/>
      <c r="M579" s="754"/>
      <c r="N579" s="754"/>
      <c r="O579" s="754"/>
      <c r="P579" s="754"/>
      <c r="Q579" s="754"/>
      <c r="R579" s="754"/>
      <c r="S579" s="754"/>
      <c r="T579" s="754"/>
      <c r="U579" s="754"/>
      <c r="V579" s="754"/>
      <c r="W579" s="754"/>
      <c r="X579" s="754"/>
      <c r="Y579" s="754"/>
      <c r="Z579" s="754"/>
      <c r="AA579" s="754"/>
      <c r="AB579" s="754"/>
      <c r="AC579" s="754"/>
      <c r="AD579" s="754"/>
      <c r="AE579" s="754"/>
      <c r="AF579" s="754"/>
      <c r="AG579" s="754"/>
      <c r="AH579" s="754"/>
      <c r="AI579" s="754"/>
      <c r="AJ579" s="754"/>
      <c r="AK579" s="754"/>
      <c r="AL579" s="754"/>
      <c r="AM579" s="754"/>
      <c r="AN579" s="754"/>
      <c r="AO579" s="754"/>
      <c r="AP579" s="754"/>
      <c r="AQ579" s="754"/>
      <c r="AR579" s="754"/>
      <c r="AS579" s="754"/>
      <c r="AT579" s="754"/>
      <c r="AU579" s="754"/>
    </row>
    <row r="580" ht="15.75" customHeight="1">
      <c r="A580" s="768">
        <v>44468.0</v>
      </c>
      <c r="B580" s="795" t="s">
        <v>3151</v>
      </c>
      <c r="C580" s="770" t="s">
        <v>2376</v>
      </c>
      <c r="D580" s="745" t="s">
        <v>5903</v>
      </c>
      <c r="E580" s="794" t="s">
        <v>6010</v>
      </c>
      <c r="F580" s="745" t="s">
        <v>3150</v>
      </c>
      <c r="G580" s="755" t="s">
        <v>18</v>
      </c>
      <c r="H580" s="755" t="s">
        <v>145</v>
      </c>
      <c r="I580" s="755" t="s">
        <v>171</v>
      </c>
      <c r="J580" s="755">
        <v>44391.0</v>
      </c>
      <c r="K580" s="758" t="s">
        <v>3651</v>
      </c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54"/>
      <c r="AB580" s="754"/>
      <c r="AC580" s="754"/>
      <c r="AD580" s="754"/>
      <c r="AE580" s="754"/>
      <c r="AF580" s="754"/>
      <c r="AG580" s="754"/>
      <c r="AH580" s="754"/>
      <c r="AI580" s="754"/>
      <c r="AJ580" s="754"/>
      <c r="AK580" s="754"/>
      <c r="AL580" s="754"/>
      <c r="AM580" s="754"/>
      <c r="AN580" s="754"/>
      <c r="AO580" s="754"/>
      <c r="AP580" s="754"/>
      <c r="AQ580" s="754"/>
      <c r="AR580" s="754"/>
      <c r="AS580" s="754"/>
      <c r="AT580" s="754"/>
      <c r="AU580" s="754"/>
    </row>
    <row r="581" ht="15.75" customHeight="1">
      <c r="A581" s="768">
        <v>44468.0</v>
      </c>
      <c r="B581" s="795" t="s">
        <v>2841</v>
      </c>
      <c r="C581" s="770" t="s">
        <v>2376</v>
      </c>
      <c r="D581" s="745" t="s">
        <v>5903</v>
      </c>
      <c r="E581" s="794">
        <v>30000.0</v>
      </c>
      <c r="F581" s="745" t="s">
        <v>1064</v>
      </c>
      <c r="G581" s="755" t="s">
        <v>18</v>
      </c>
      <c r="H581" s="755" t="s">
        <v>145</v>
      </c>
      <c r="I581" s="755" t="s">
        <v>146</v>
      </c>
      <c r="J581" s="755">
        <v>44319.0</v>
      </c>
      <c r="K581" s="758" t="s">
        <v>3651</v>
      </c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54"/>
      <c r="AB581" s="754"/>
      <c r="AC581" s="754"/>
      <c r="AD581" s="754"/>
      <c r="AE581" s="754"/>
      <c r="AF581" s="754"/>
      <c r="AG581" s="754"/>
      <c r="AH581" s="754"/>
      <c r="AI581" s="754"/>
      <c r="AJ581" s="754"/>
      <c r="AK581" s="754"/>
      <c r="AL581" s="754"/>
      <c r="AM581" s="754"/>
      <c r="AN581" s="754"/>
      <c r="AO581" s="754"/>
      <c r="AP581" s="754"/>
      <c r="AQ581" s="754"/>
      <c r="AR581" s="754"/>
      <c r="AS581" s="754"/>
      <c r="AT581" s="754"/>
      <c r="AU581" s="754"/>
    </row>
    <row r="582" ht="15.75" customHeight="1">
      <c r="A582" s="768">
        <v>44468.0</v>
      </c>
      <c r="B582" s="795" t="s">
        <v>3238</v>
      </c>
      <c r="C582" s="770" t="s">
        <v>2376</v>
      </c>
      <c r="D582" s="745" t="s">
        <v>5903</v>
      </c>
      <c r="E582" s="794">
        <v>100000.0</v>
      </c>
      <c r="F582" s="745" t="s">
        <v>3237</v>
      </c>
      <c r="G582" s="755" t="s">
        <v>18</v>
      </c>
      <c r="H582" s="755" t="s">
        <v>145</v>
      </c>
      <c r="I582" s="755" t="s">
        <v>171</v>
      </c>
      <c r="J582" s="755">
        <v>44279.0</v>
      </c>
      <c r="K582" s="758" t="s">
        <v>3651</v>
      </c>
      <c r="L582" s="754"/>
      <c r="M582" s="754"/>
      <c r="N582" s="754"/>
      <c r="O582" s="754"/>
      <c r="P582" s="754"/>
      <c r="Q582" s="754"/>
      <c r="R582" s="754"/>
      <c r="S582" s="754"/>
      <c r="T582" s="754"/>
      <c r="U582" s="754"/>
      <c r="V582" s="754"/>
      <c r="W582" s="754"/>
      <c r="X582" s="754"/>
      <c r="Y582" s="754"/>
      <c r="Z582" s="754"/>
      <c r="AA582" s="754"/>
      <c r="AB582" s="754"/>
      <c r="AC582" s="754"/>
      <c r="AD582" s="754"/>
      <c r="AE582" s="754"/>
      <c r="AF582" s="754"/>
      <c r="AG582" s="754"/>
      <c r="AH582" s="754"/>
      <c r="AI582" s="754"/>
      <c r="AJ582" s="754"/>
      <c r="AK582" s="754"/>
      <c r="AL582" s="754"/>
      <c r="AM582" s="754"/>
      <c r="AN582" s="754"/>
      <c r="AO582" s="754"/>
      <c r="AP582" s="754"/>
      <c r="AQ582" s="754"/>
      <c r="AR582" s="754"/>
      <c r="AS582" s="754"/>
      <c r="AT582" s="754"/>
      <c r="AU582" s="754"/>
    </row>
    <row r="583" ht="15.75" customHeight="1">
      <c r="A583" s="768">
        <v>44468.0</v>
      </c>
      <c r="B583" s="795" t="s">
        <v>3046</v>
      </c>
      <c r="C583" s="770" t="s">
        <v>2376</v>
      </c>
      <c r="D583" s="745" t="s">
        <v>5903</v>
      </c>
      <c r="E583" s="794">
        <v>120000.0</v>
      </c>
      <c r="F583" s="745" t="s">
        <v>3045</v>
      </c>
      <c r="G583" s="755" t="s">
        <v>18</v>
      </c>
      <c r="H583" s="755" t="s">
        <v>145</v>
      </c>
      <c r="I583" s="755" t="s">
        <v>2464</v>
      </c>
      <c r="J583" s="755">
        <v>44279.0</v>
      </c>
      <c r="K583" s="758" t="s">
        <v>3647</v>
      </c>
      <c r="L583" s="754"/>
      <c r="M583" s="754"/>
      <c r="N583" s="754"/>
      <c r="O583" s="754"/>
      <c r="P583" s="754"/>
      <c r="Q583" s="754"/>
      <c r="R583" s="754"/>
      <c r="S583" s="754"/>
      <c r="T583" s="754"/>
      <c r="U583" s="754"/>
      <c r="V583" s="754"/>
      <c r="W583" s="754"/>
      <c r="X583" s="754"/>
      <c r="Y583" s="754"/>
      <c r="Z583" s="754"/>
      <c r="AA583" s="754"/>
      <c r="AB583" s="754"/>
      <c r="AC583" s="754"/>
      <c r="AD583" s="754"/>
      <c r="AE583" s="754"/>
      <c r="AF583" s="754"/>
      <c r="AG583" s="754"/>
      <c r="AH583" s="754"/>
      <c r="AI583" s="754"/>
      <c r="AJ583" s="754"/>
      <c r="AK583" s="754"/>
      <c r="AL583" s="754"/>
      <c r="AM583" s="754"/>
      <c r="AN583" s="754"/>
      <c r="AO583" s="754"/>
      <c r="AP583" s="754"/>
      <c r="AQ583" s="754"/>
      <c r="AR583" s="754"/>
      <c r="AS583" s="754"/>
      <c r="AT583" s="754"/>
      <c r="AU583" s="754"/>
    </row>
    <row r="584" ht="15.75" customHeight="1">
      <c r="A584" s="768">
        <v>44469.0</v>
      </c>
      <c r="B584" s="797" t="s">
        <v>6011</v>
      </c>
      <c r="C584" s="770" t="s">
        <v>3642</v>
      </c>
      <c r="D584" s="745" t="s">
        <v>2387</v>
      </c>
      <c r="E584" s="757">
        <v>456422.62</v>
      </c>
      <c r="F584" s="745" t="s">
        <v>4383</v>
      </c>
      <c r="G584" s="745" t="s">
        <v>86</v>
      </c>
      <c r="H584" s="745" t="s">
        <v>29</v>
      </c>
      <c r="I584" s="745" t="s">
        <v>3913</v>
      </c>
      <c r="J584" s="755">
        <v>44130.0</v>
      </c>
      <c r="K584" s="762" t="s">
        <v>3651</v>
      </c>
      <c r="L584" s="754"/>
      <c r="M584" s="754"/>
      <c r="N584" s="754"/>
      <c r="O584" s="754"/>
      <c r="P584" s="754"/>
      <c r="Q584" s="754"/>
      <c r="R584" s="754"/>
      <c r="S584" s="754"/>
      <c r="T584" s="754"/>
      <c r="U584" s="754"/>
      <c r="V584" s="754"/>
      <c r="W584" s="754"/>
      <c r="X584" s="754"/>
      <c r="Y584" s="754"/>
      <c r="Z584" s="754"/>
      <c r="AA584" s="754"/>
      <c r="AB584" s="754"/>
      <c r="AC584" s="754"/>
      <c r="AD584" s="754"/>
      <c r="AE584" s="754"/>
      <c r="AF584" s="754"/>
      <c r="AG584" s="754"/>
      <c r="AH584" s="754"/>
      <c r="AI584" s="754"/>
      <c r="AJ584" s="754"/>
      <c r="AK584" s="754"/>
      <c r="AL584" s="754"/>
      <c r="AM584" s="754"/>
      <c r="AN584" s="754"/>
      <c r="AO584" s="754"/>
      <c r="AP584" s="754"/>
      <c r="AQ584" s="754"/>
      <c r="AR584" s="754"/>
      <c r="AS584" s="754"/>
      <c r="AT584" s="754"/>
      <c r="AU584" s="754"/>
    </row>
    <row r="585" ht="15.75" customHeight="1">
      <c r="A585" s="768">
        <v>44469.0</v>
      </c>
      <c r="B585" s="795" t="s">
        <v>2398</v>
      </c>
      <c r="C585" s="770" t="s">
        <v>2376</v>
      </c>
      <c r="D585" s="745" t="s">
        <v>5903</v>
      </c>
      <c r="E585" s="794">
        <v>100000.0</v>
      </c>
      <c r="F585" s="745" t="s">
        <v>2397</v>
      </c>
      <c r="G585" s="755" t="s">
        <v>18</v>
      </c>
      <c r="H585" s="755" t="s">
        <v>145</v>
      </c>
      <c r="I585" s="755" t="s">
        <v>171</v>
      </c>
      <c r="J585" s="755">
        <v>44321.0</v>
      </c>
      <c r="K585" s="758" t="s">
        <v>3660</v>
      </c>
      <c r="L585" s="754"/>
      <c r="M585" s="754"/>
      <c r="N585" s="754"/>
      <c r="O585" s="754"/>
      <c r="P585" s="754"/>
      <c r="Q585" s="754"/>
      <c r="R585" s="754"/>
      <c r="S585" s="754"/>
      <c r="T585" s="754"/>
      <c r="U585" s="754"/>
      <c r="V585" s="754"/>
      <c r="W585" s="754"/>
      <c r="X585" s="754"/>
      <c r="Y585" s="754"/>
      <c r="Z585" s="754"/>
      <c r="AA585" s="754"/>
      <c r="AB585" s="754"/>
      <c r="AC585" s="754"/>
      <c r="AD585" s="754"/>
      <c r="AE585" s="754"/>
      <c r="AF585" s="754"/>
      <c r="AG585" s="754"/>
      <c r="AH585" s="754"/>
      <c r="AI585" s="754"/>
      <c r="AJ585" s="754"/>
      <c r="AK585" s="754"/>
      <c r="AL585" s="754"/>
      <c r="AM585" s="754"/>
      <c r="AN585" s="754"/>
      <c r="AO585" s="754"/>
      <c r="AP585" s="754"/>
      <c r="AQ585" s="754"/>
      <c r="AR585" s="754"/>
      <c r="AS585" s="754"/>
      <c r="AT585" s="754"/>
      <c r="AU585" s="754"/>
    </row>
    <row r="586" ht="15.75" customHeight="1">
      <c r="A586" s="768">
        <v>44470.0</v>
      </c>
      <c r="B586" s="760" t="s">
        <v>3222</v>
      </c>
      <c r="C586" s="770" t="s">
        <v>2376</v>
      </c>
      <c r="D586" s="745" t="s">
        <v>5903</v>
      </c>
      <c r="E586" s="794">
        <v>14000.0</v>
      </c>
      <c r="F586" s="745" t="s">
        <v>1868</v>
      </c>
      <c r="G586" s="755" t="s">
        <v>18</v>
      </c>
      <c r="H586" s="755" t="s">
        <v>145</v>
      </c>
      <c r="I586" s="755" t="s">
        <v>146</v>
      </c>
      <c r="J586" s="755">
        <v>44280.0</v>
      </c>
      <c r="K586" s="758" t="s">
        <v>3651</v>
      </c>
      <c r="L586" s="754"/>
      <c r="M586" s="754"/>
      <c r="N586" s="754"/>
      <c r="O586" s="754"/>
      <c r="P586" s="754"/>
      <c r="Q586" s="754"/>
      <c r="R586" s="754"/>
      <c r="S586" s="754"/>
      <c r="T586" s="754"/>
      <c r="U586" s="754"/>
      <c r="V586" s="754"/>
      <c r="W586" s="754"/>
      <c r="X586" s="754"/>
      <c r="Y586" s="754"/>
      <c r="Z586" s="754"/>
      <c r="AA586" s="754"/>
      <c r="AB586" s="754"/>
      <c r="AC586" s="754"/>
      <c r="AD586" s="754"/>
      <c r="AE586" s="754"/>
      <c r="AF586" s="754"/>
      <c r="AG586" s="754"/>
      <c r="AH586" s="754"/>
      <c r="AI586" s="754"/>
      <c r="AJ586" s="754"/>
      <c r="AK586" s="754"/>
      <c r="AL586" s="754"/>
      <c r="AM586" s="754"/>
      <c r="AN586" s="754"/>
      <c r="AO586" s="754"/>
      <c r="AP586" s="754"/>
      <c r="AQ586" s="754"/>
      <c r="AR586" s="754"/>
      <c r="AS586" s="754"/>
      <c r="AT586" s="754"/>
      <c r="AU586" s="754"/>
    </row>
    <row r="587" ht="15.75" customHeight="1">
      <c r="A587" s="768">
        <v>44470.0</v>
      </c>
      <c r="B587" s="795" t="s">
        <v>2888</v>
      </c>
      <c r="C587" s="770" t="s">
        <v>2376</v>
      </c>
      <c r="D587" s="745" t="s">
        <v>5903</v>
      </c>
      <c r="E587" s="794">
        <v>45000.0</v>
      </c>
      <c r="F587" s="745" t="s">
        <v>2887</v>
      </c>
      <c r="G587" s="755" t="s">
        <v>18</v>
      </c>
      <c r="H587" s="755" t="s">
        <v>145</v>
      </c>
      <c r="I587" s="755" t="s">
        <v>2464</v>
      </c>
      <c r="J587" s="755">
        <v>44266.0</v>
      </c>
      <c r="K587" s="758" t="s">
        <v>3660</v>
      </c>
      <c r="L587" s="754"/>
      <c r="M587" s="754"/>
      <c r="N587" s="754"/>
      <c r="O587" s="754"/>
      <c r="P587" s="754"/>
      <c r="Q587" s="754"/>
      <c r="R587" s="754"/>
      <c r="S587" s="754"/>
      <c r="T587" s="754"/>
      <c r="U587" s="754"/>
      <c r="V587" s="754"/>
      <c r="W587" s="754"/>
      <c r="X587" s="754"/>
      <c r="Y587" s="754"/>
      <c r="Z587" s="754"/>
      <c r="AA587" s="754"/>
      <c r="AB587" s="754"/>
      <c r="AC587" s="754"/>
      <c r="AD587" s="754"/>
      <c r="AE587" s="754"/>
      <c r="AF587" s="754"/>
      <c r="AG587" s="754"/>
      <c r="AH587" s="754"/>
      <c r="AI587" s="754"/>
      <c r="AJ587" s="754"/>
      <c r="AK587" s="754"/>
      <c r="AL587" s="754"/>
      <c r="AM587" s="754"/>
      <c r="AN587" s="754"/>
      <c r="AO587" s="754"/>
      <c r="AP587" s="754"/>
      <c r="AQ587" s="754"/>
      <c r="AR587" s="754"/>
      <c r="AS587" s="754"/>
      <c r="AT587" s="754"/>
      <c r="AU587" s="754"/>
    </row>
    <row r="588" ht="15.75" customHeight="1">
      <c r="A588" s="768">
        <v>44470.0</v>
      </c>
      <c r="B588" s="795" t="s">
        <v>2564</v>
      </c>
      <c r="C588" s="770" t="s">
        <v>2376</v>
      </c>
      <c r="D588" s="745" t="s">
        <v>5903</v>
      </c>
      <c r="E588" s="794">
        <v>10000.0</v>
      </c>
      <c r="F588" s="745" t="s">
        <v>2563</v>
      </c>
      <c r="G588" s="755" t="s">
        <v>18</v>
      </c>
      <c r="H588" s="755" t="s">
        <v>145</v>
      </c>
      <c r="I588" s="755" t="s">
        <v>2464</v>
      </c>
      <c r="J588" s="755">
        <v>44260.0</v>
      </c>
      <c r="K588" s="758" t="s">
        <v>3651</v>
      </c>
      <c r="L588" s="754"/>
      <c r="M588" s="754"/>
      <c r="N588" s="754"/>
      <c r="O588" s="754"/>
      <c r="P588" s="754"/>
      <c r="Q588" s="754"/>
      <c r="R588" s="754"/>
      <c r="S588" s="754"/>
      <c r="T588" s="754"/>
      <c r="U588" s="754"/>
      <c r="V588" s="754"/>
      <c r="W588" s="754"/>
      <c r="X588" s="754"/>
      <c r="Y588" s="754"/>
      <c r="Z588" s="754"/>
      <c r="AA588" s="754"/>
      <c r="AB588" s="754"/>
      <c r="AC588" s="754"/>
      <c r="AD588" s="754"/>
      <c r="AE588" s="754"/>
      <c r="AF588" s="754"/>
      <c r="AG588" s="754"/>
      <c r="AH588" s="754"/>
      <c r="AI588" s="754"/>
      <c r="AJ588" s="754"/>
      <c r="AK588" s="754"/>
      <c r="AL588" s="754"/>
      <c r="AM588" s="754"/>
      <c r="AN588" s="754"/>
      <c r="AO588" s="754"/>
      <c r="AP588" s="754"/>
      <c r="AQ588" s="754"/>
      <c r="AR588" s="754"/>
      <c r="AS588" s="754"/>
      <c r="AT588" s="754"/>
      <c r="AU588" s="754"/>
    </row>
    <row r="589" ht="15.75" customHeight="1">
      <c r="A589" s="768">
        <v>44470.0</v>
      </c>
      <c r="B589" s="795" t="s">
        <v>2652</v>
      </c>
      <c r="C589" s="770" t="s">
        <v>2376</v>
      </c>
      <c r="D589" s="745" t="s">
        <v>5903</v>
      </c>
      <c r="E589" s="794">
        <v>100000.0</v>
      </c>
      <c r="F589" s="745" t="s">
        <v>2651</v>
      </c>
      <c r="G589" s="755" t="s">
        <v>18</v>
      </c>
      <c r="H589" s="755" t="s">
        <v>145</v>
      </c>
      <c r="I589" s="755" t="s">
        <v>171</v>
      </c>
      <c r="J589" s="755">
        <v>44393.0</v>
      </c>
      <c r="K589" s="758" t="s">
        <v>4174</v>
      </c>
      <c r="L589" s="754"/>
      <c r="M589" s="754"/>
      <c r="N589" s="754"/>
      <c r="O589" s="754"/>
      <c r="P589" s="754"/>
      <c r="Q589" s="754"/>
      <c r="R589" s="754"/>
      <c r="S589" s="754"/>
      <c r="T589" s="754"/>
      <c r="U589" s="754"/>
      <c r="V589" s="754"/>
      <c r="W589" s="754"/>
      <c r="X589" s="754"/>
      <c r="Y589" s="754"/>
      <c r="Z589" s="754"/>
      <c r="AA589" s="754"/>
      <c r="AB589" s="754"/>
      <c r="AC589" s="754"/>
      <c r="AD589" s="754"/>
      <c r="AE589" s="754"/>
      <c r="AF589" s="754"/>
      <c r="AG589" s="754"/>
      <c r="AH589" s="754"/>
      <c r="AI589" s="754"/>
      <c r="AJ589" s="754"/>
      <c r="AK589" s="754"/>
      <c r="AL589" s="754"/>
      <c r="AM589" s="754"/>
      <c r="AN589" s="754"/>
      <c r="AO589" s="754"/>
      <c r="AP589" s="754"/>
      <c r="AQ589" s="754"/>
      <c r="AR589" s="754"/>
      <c r="AS589" s="754"/>
      <c r="AT589" s="754"/>
      <c r="AU589" s="754"/>
    </row>
    <row r="590" ht="15.75" customHeight="1">
      <c r="A590" s="792">
        <v>44470.0</v>
      </c>
      <c r="B590" s="779" t="s">
        <v>2564</v>
      </c>
      <c r="C590" s="745" t="s">
        <v>2376</v>
      </c>
      <c r="D590" s="745" t="s">
        <v>5902</v>
      </c>
      <c r="E590" s="757">
        <v>151371.24</v>
      </c>
      <c r="F590" s="745" t="s">
        <v>2563</v>
      </c>
      <c r="G590" s="755" t="s">
        <v>18</v>
      </c>
      <c r="H590" s="755" t="s">
        <v>145</v>
      </c>
      <c r="I590" s="755" t="s">
        <v>2464</v>
      </c>
      <c r="J590" s="755">
        <v>44260.0</v>
      </c>
      <c r="K590" s="758" t="s">
        <v>3651</v>
      </c>
      <c r="L590" s="754"/>
      <c r="M590" s="754"/>
      <c r="N590" s="754"/>
      <c r="O590" s="754"/>
      <c r="P590" s="754"/>
      <c r="Q590" s="754"/>
      <c r="R590" s="754"/>
      <c r="S590" s="754"/>
      <c r="T590" s="754"/>
      <c r="U590" s="754"/>
      <c r="V590" s="754"/>
      <c r="W590" s="754"/>
      <c r="X590" s="754"/>
      <c r="Y590" s="754"/>
      <c r="Z590" s="754"/>
      <c r="AA590" s="754"/>
      <c r="AB590" s="754"/>
      <c r="AC590" s="754"/>
      <c r="AD590" s="754"/>
      <c r="AE590" s="754"/>
      <c r="AF590" s="754"/>
      <c r="AG590" s="754"/>
      <c r="AH590" s="754"/>
      <c r="AI590" s="754"/>
      <c r="AJ590" s="754"/>
      <c r="AK590" s="754"/>
      <c r="AL590" s="754"/>
      <c r="AM590" s="754"/>
      <c r="AN590" s="754"/>
      <c r="AO590" s="754"/>
      <c r="AP590" s="754"/>
      <c r="AQ590" s="754"/>
      <c r="AR590" s="754"/>
      <c r="AS590" s="754"/>
      <c r="AT590" s="754"/>
      <c r="AU590" s="754"/>
    </row>
    <row r="591" ht="15.75" customHeight="1">
      <c r="A591" s="768">
        <v>44473.0</v>
      </c>
      <c r="B591" s="756" t="s">
        <v>3046</v>
      </c>
      <c r="C591" s="770" t="s">
        <v>2376</v>
      </c>
      <c r="D591" s="745" t="s">
        <v>5903</v>
      </c>
      <c r="E591" s="794">
        <v>80000.0</v>
      </c>
      <c r="F591" s="745" t="s">
        <v>3045</v>
      </c>
      <c r="G591" s="755" t="s">
        <v>18</v>
      </c>
      <c r="H591" s="755" t="s">
        <v>145</v>
      </c>
      <c r="I591" s="755" t="s">
        <v>2464</v>
      </c>
      <c r="J591" s="755">
        <v>44279.0</v>
      </c>
      <c r="K591" s="758" t="s">
        <v>3647</v>
      </c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54"/>
      <c r="AB591" s="754"/>
      <c r="AC591" s="754"/>
      <c r="AD591" s="754"/>
      <c r="AE591" s="754"/>
      <c r="AF591" s="754"/>
      <c r="AG591" s="754"/>
      <c r="AH591" s="754"/>
      <c r="AI591" s="754"/>
      <c r="AJ591" s="754"/>
      <c r="AK591" s="754"/>
      <c r="AL591" s="754"/>
      <c r="AM591" s="754"/>
      <c r="AN591" s="754"/>
      <c r="AO591" s="754"/>
      <c r="AP591" s="754"/>
      <c r="AQ591" s="754"/>
      <c r="AR591" s="754"/>
      <c r="AS591" s="754"/>
      <c r="AT591" s="754"/>
      <c r="AU591" s="754"/>
    </row>
    <row r="592" ht="15.75" customHeight="1">
      <c r="A592" s="792">
        <v>44473.0</v>
      </c>
      <c r="B592" s="760" t="s">
        <v>5981</v>
      </c>
      <c r="C592" s="745" t="s">
        <v>3642</v>
      </c>
      <c r="D592" s="745" t="s">
        <v>5902</v>
      </c>
      <c r="E592" s="757">
        <v>0.0</v>
      </c>
      <c r="F592" s="745" t="s">
        <v>5192</v>
      </c>
      <c r="G592" s="745" t="s">
        <v>86</v>
      </c>
      <c r="H592" s="745" t="s">
        <v>29</v>
      </c>
      <c r="I592" s="745" t="s">
        <v>4293</v>
      </c>
      <c r="J592" s="755">
        <v>44397.0</v>
      </c>
      <c r="K592" s="762" t="s">
        <v>3660</v>
      </c>
      <c r="L592" s="754"/>
      <c r="M592" s="754"/>
      <c r="N592" s="754"/>
      <c r="O592" s="754"/>
      <c r="P592" s="754"/>
      <c r="Q592" s="754"/>
      <c r="R592" s="754"/>
      <c r="S592" s="754"/>
      <c r="T592" s="754"/>
      <c r="U592" s="754"/>
      <c r="V592" s="754"/>
      <c r="W592" s="754"/>
      <c r="X592" s="754"/>
      <c r="Y592" s="754"/>
      <c r="Z592" s="754"/>
      <c r="AA592" s="754"/>
      <c r="AB592" s="754"/>
      <c r="AC592" s="754"/>
      <c r="AD592" s="754"/>
      <c r="AE592" s="754"/>
      <c r="AF592" s="754"/>
      <c r="AG592" s="754"/>
      <c r="AH592" s="754"/>
      <c r="AI592" s="754"/>
      <c r="AJ592" s="754"/>
      <c r="AK592" s="754"/>
      <c r="AL592" s="754"/>
      <c r="AM592" s="754"/>
      <c r="AN592" s="754"/>
      <c r="AO592" s="754"/>
      <c r="AP592" s="754"/>
      <c r="AQ592" s="754"/>
      <c r="AR592" s="754"/>
      <c r="AS592" s="754"/>
      <c r="AT592" s="754"/>
      <c r="AU592" s="754"/>
    </row>
    <row r="593" ht="15.75" customHeight="1">
      <c r="A593" s="792">
        <v>44473.0</v>
      </c>
      <c r="B593" s="796" t="s">
        <v>6012</v>
      </c>
      <c r="C593" s="745" t="s">
        <v>3642</v>
      </c>
      <c r="D593" s="745" t="s">
        <v>5902</v>
      </c>
      <c r="E593" s="757">
        <v>0.0</v>
      </c>
      <c r="F593" s="745" t="s">
        <v>3678</v>
      </c>
      <c r="G593" s="745" t="s">
        <v>18</v>
      </c>
      <c r="H593" s="745" t="s">
        <v>29</v>
      </c>
      <c r="I593" s="745" t="s">
        <v>3533</v>
      </c>
      <c r="J593" s="755">
        <v>44302.0</v>
      </c>
      <c r="K593" s="762" t="s">
        <v>3664</v>
      </c>
      <c r="L593" s="754"/>
      <c r="M593" s="754"/>
      <c r="N593" s="754"/>
      <c r="O593" s="754"/>
      <c r="P593" s="754"/>
      <c r="Q593" s="754"/>
      <c r="R593" s="754"/>
      <c r="S593" s="754"/>
      <c r="T593" s="754"/>
      <c r="U593" s="754"/>
      <c r="V593" s="754"/>
      <c r="W593" s="754"/>
      <c r="X593" s="754"/>
      <c r="Y593" s="754"/>
      <c r="Z593" s="754"/>
      <c r="AA593" s="754"/>
      <c r="AB593" s="754"/>
      <c r="AC593" s="754"/>
      <c r="AD593" s="754"/>
      <c r="AE593" s="754"/>
      <c r="AF593" s="754"/>
      <c r="AG593" s="754"/>
      <c r="AH593" s="754"/>
      <c r="AI593" s="754"/>
      <c r="AJ593" s="754"/>
      <c r="AK593" s="754"/>
      <c r="AL593" s="754"/>
      <c r="AM593" s="754"/>
      <c r="AN593" s="754"/>
      <c r="AO593" s="754"/>
      <c r="AP593" s="754"/>
      <c r="AQ593" s="754"/>
      <c r="AR593" s="754"/>
      <c r="AS593" s="754"/>
      <c r="AT593" s="754"/>
      <c r="AU593" s="754"/>
    </row>
    <row r="594" ht="15.75" customHeight="1">
      <c r="A594" s="792">
        <v>44473.0</v>
      </c>
      <c r="B594" s="756" t="s">
        <v>2587</v>
      </c>
      <c r="C594" s="745" t="s">
        <v>2376</v>
      </c>
      <c r="D594" s="745" t="s">
        <v>5902</v>
      </c>
      <c r="E594" s="757">
        <v>172836.33</v>
      </c>
      <c r="F594" s="745" t="s">
        <v>2586</v>
      </c>
      <c r="G594" s="755" t="s">
        <v>2379</v>
      </c>
      <c r="H594" s="755" t="s">
        <v>29</v>
      </c>
      <c r="I594" s="755" t="s">
        <v>2380</v>
      </c>
      <c r="J594" s="755">
        <v>43865.0</v>
      </c>
      <c r="K594" s="758" t="s">
        <v>3651</v>
      </c>
      <c r="L594" s="754"/>
      <c r="M594" s="754"/>
      <c r="N594" s="754"/>
      <c r="O594" s="754"/>
      <c r="P594" s="754"/>
      <c r="Q594" s="754"/>
      <c r="R594" s="754"/>
      <c r="S594" s="754"/>
      <c r="T594" s="754"/>
      <c r="U594" s="754"/>
      <c r="V594" s="754"/>
      <c r="W594" s="754"/>
      <c r="X594" s="754"/>
      <c r="Y594" s="754"/>
      <c r="Z594" s="754"/>
      <c r="AA594" s="754"/>
      <c r="AB594" s="754"/>
      <c r="AC594" s="754"/>
      <c r="AD594" s="754"/>
      <c r="AE594" s="754"/>
      <c r="AF594" s="754"/>
      <c r="AG594" s="754"/>
      <c r="AH594" s="754"/>
      <c r="AI594" s="754"/>
      <c r="AJ594" s="754"/>
      <c r="AK594" s="754"/>
      <c r="AL594" s="754"/>
      <c r="AM594" s="754"/>
      <c r="AN594" s="754"/>
      <c r="AO594" s="754"/>
      <c r="AP594" s="754"/>
      <c r="AQ594" s="754"/>
      <c r="AR594" s="754"/>
      <c r="AS594" s="754"/>
      <c r="AT594" s="754"/>
      <c r="AU594" s="754"/>
    </row>
    <row r="595" ht="15.75" customHeight="1">
      <c r="A595" s="792">
        <v>44473.0</v>
      </c>
      <c r="B595" s="796" t="s">
        <v>3096</v>
      </c>
      <c r="C595" s="745" t="s">
        <v>2376</v>
      </c>
      <c r="D595" s="745" t="s">
        <v>5902</v>
      </c>
      <c r="E595" s="757">
        <v>154589.27</v>
      </c>
      <c r="F595" s="745" t="s">
        <v>3095</v>
      </c>
      <c r="G595" s="755" t="s">
        <v>2379</v>
      </c>
      <c r="H595" s="755" t="s">
        <v>29</v>
      </c>
      <c r="I595" s="755" t="s">
        <v>2380</v>
      </c>
      <c r="J595" s="755">
        <v>43873.0</v>
      </c>
      <c r="K595" s="758" t="s">
        <v>3651</v>
      </c>
      <c r="L595" s="754"/>
      <c r="M595" s="754"/>
      <c r="N595" s="754"/>
      <c r="O595" s="754"/>
      <c r="P595" s="754"/>
      <c r="Q595" s="754"/>
      <c r="R595" s="754"/>
      <c r="S595" s="754"/>
      <c r="T595" s="754"/>
      <c r="U595" s="754"/>
      <c r="V595" s="754"/>
      <c r="W595" s="754"/>
      <c r="X595" s="754"/>
      <c r="Y595" s="754"/>
      <c r="Z595" s="754"/>
      <c r="AA595" s="754"/>
      <c r="AB595" s="754"/>
      <c r="AC595" s="754"/>
      <c r="AD595" s="754"/>
      <c r="AE595" s="754"/>
      <c r="AF595" s="754"/>
      <c r="AG595" s="754"/>
      <c r="AH595" s="754"/>
      <c r="AI595" s="754"/>
      <c r="AJ595" s="754"/>
      <c r="AK595" s="754"/>
      <c r="AL595" s="754"/>
      <c r="AM595" s="754"/>
      <c r="AN595" s="754"/>
      <c r="AO595" s="754"/>
      <c r="AP595" s="754"/>
      <c r="AQ595" s="754"/>
      <c r="AR595" s="754"/>
      <c r="AS595" s="754"/>
      <c r="AT595" s="754"/>
      <c r="AU595" s="754"/>
    </row>
    <row r="596" ht="15.75" customHeight="1">
      <c r="A596" s="792">
        <v>44473.0</v>
      </c>
      <c r="B596" s="779" t="s">
        <v>3046</v>
      </c>
      <c r="C596" s="745" t="s">
        <v>2376</v>
      </c>
      <c r="D596" s="745" t="s">
        <v>5902</v>
      </c>
      <c r="E596" s="757">
        <v>237009.79</v>
      </c>
      <c r="F596" s="745" t="s">
        <v>3045</v>
      </c>
      <c r="G596" s="755" t="s">
        <v>18</v>
      </c>
      <c r="H596" s="755" t="s">
        <v>145</v>
      </c>
      <c r="I596" s="755" t="s">
        <v>2464</v>
      </c>
      <c r="J596" s="755">
        <v>44279.0</v>
      </c>
      <c r="K596" s="758" t="s">
        <v>3647</v>
      </c>
      <c r="L596" s="754"/>
      <c r="M596" s="754"/>
      <c r="N596" s="754"/>
      <c r="O596" s="754"/>
      <c r="P596" s="754"/>
      <c r="Q596" s="754"/>
      <c r="R596" s="754"/>
      <c r="S596" s="754"/>
      <c r="T596" s="754"/>
      <c r="U596" s="754"/>
      <c r="V596" s="754"/>
      <c r="W596" s="754"/>
      <c r="X596" s="754"/>
      <c r="Y596" s="754"/>
      <c r="Z596" s="754"/>
      <c r="AA596" s="754"/>
      <c r="AB596" s="754"/>
      <c r="AC596" s="754"/>
      <c r="AD596" s="754"/>
      <c r="AE596" s="754"/>
      <c r="AF596" s="754"/>
      <c r="AG596" s="754"/>
      <c r="AH596" s="754"/>
      <c r="AI596" s="754"/>
      <c r="AJ596" s="754"/>
      <c r="AK596" s="754"/>
      <c r="AL596" s="754"/>
      <c r="AM596" s="754"/>
      <c r="AN596" s="754"/>
      <c r="AO596" s="754"/>
      <c r="AP596" s="754"/>
      <c r="AQ596" s="754"/>
      <c r="AR596" s="754"/>
      <c r="AS596" s="754"/>
      <c r="AT596" s="754"/>
      <c r="AU596" s="754"/>
    </row>
    <row r="597" ht="15.75" customHeight="1">
      <c r="A597" s="768">
        <v>44474.0</v>
      </c>
      <c r="B597" s="760" t="s">
        <v>2564</v>
      </c>
      <c r="C597" s="770" t="s">
        <v>2376</v>
      </c>
      <c r="D597" s="745" t="s">
        <v>5903</v>
      </c>
      <c r="E597" s="772">
        <v>49307.71</v>
      </c>
      <c r="F597" s="745" t="s">
        <v>2563</v>
      </c>
      <c r="G597" s="755" t="s">
        <v>18</v>
      </c>
      <c r="H597" s="755" t="s">
        <v>145</v>
      </c>
      <c r="I597" s="755" t="s">
        <v>2464</v>
      </c>
      <c r="J597" s="755">
        <v>44260.0</v>
      </c>
      <c r="K597" s="758" t="s">
        <v>3651</v>
      </c>
      <c r="L597" s="754"/>
      <c r="M597" s="754"/>
      <c r="N597" s="754"/>
      <c r="O597" s="754"/>
      <c r="P597" s="754"/>
      <c r="Q597" s="754"/>
      <c r="R597" s="754"/>
      <c r="S597" s="754"/>
      <c r="T597" s="754"/>
      <c r="U597" s="754"/>
      <c r="V597" s="754"/>
      <c r="W597" s="754"/>
      <c r="X597" s="754"/>
      <c r="Y597" s="754"/>
      <c r="Z597" s="754"/>
      <c r="AA597" s="754"/>
      <c r="AB597" s="754"/>
      <c r="AC597" s="754"/>
      <c r="AD597" s="754"/>
      <c r="AE597" s="754"/>
      <c r="AF597" s="754"/>
      <c r="AG597" s="754"/>
      <c r="AH597" s="754"/>
      <c r="AI597" s="754"/>
      <c r="AJ597" s="754"/>
      <c r="AK597" s="754"/>
      <c r="AL597" s="754"/>
      <c r="AM597" s="754"/>
      <c r="AN597" s="754"/>
      <c r="AO597" s="754"/>
      <c r="AP597" s="754"/>
      <c r="AQ597" s="754"/>
      <c r="AR597" s="754"/>
      <c r="AS597" s="754"/>
      <c r="AT597" s="754"/>
      <c r="AU597" s="754"/>
    </row>
    <row r="598" ht="15.75" customHeight="1">
      <c r="A598" s="768">
        <v>44474.0</v>
      </c>
      <c r="B598" s="760" t="s">
        <v>2877</v>
      </c>
      <c r="C598" s="770" t="s">
        <v>2376</v>
      </c>
      <c r="D598" s="745" t="s">
        <v>5903</v>
      </c>
      <c r="E598" s="794">
        <v>56000.0</v>
      </c>
      <c r="F598" s="745" t="s">
        <v>1122</v>
      </c>
      <c r="G598" s="755" t="s">
        <v>18</v>
      </c>
      <c r="H598" s="755" t="s">
        <v>145</v>
      </c>
      <c r="I598" s="755" t="s">
        <v>146</v>
      </c>
      <c r="J598" s="755">
        <v>44280.0</v>
      </c>
      <c r="K598" s="758" t="s">
        <v>3657</v>
      </c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54"/>
      <c r="AB598" s="754"/>
      <c r="AC598" s="754"/>
      <c r="AD598" s="754"/>
      <c r="AE598" s="754"/>
      <c r="AF598" s="754"/>
      <c r="AG598" s="754"/>
      <c r="AH598" s="754"/>
      <c r="AI598" s="754"/>
      <c r="AJ598" s="754"/>
      <c r="AK598" s="754"/>
      <c r="AL598" s="754"/>
      <c r="AM598" s="754"/>
      <c r="AN598" s="754"/>
      <c r="AO598" s="754"/>
      <c r="AP598" s="754"/>
      <c r="AQ598" s="754"/>
      <c r="AR598" s="754"/>
      <c r="AS598" s="754"/>
      <c r="AT598" s="754"/>
      <c r="AU598" s="754"/>
    </row>
    <row r="599" ht="15.75" customHeight="1">
      <c r="A599" s="768">
        <v>44474.0</v>
      </c>
      <c r="B599" s="760" t="s">
        <v>2804</v>
      </c>
      <c r="C599" s="770" t="s">
        <v>2376</v>
      </c>
      <c r="D599" s="745" t="s">
        <v>5903</v>
      </c>
      <c r="E599" s="794">
        <v>5500.0</v>
      </c>
      <c r="F599" s="745" t="s">
        <v>2803</v>
      </c>
      <c r="G599" s="755" t="s">
        <v>18</v>
      </c>
      <c r="H599" s="755" t="s">
        <v>145</v>
      </c>
      <c r="I599" s="755" t="s">
        <v>171</v>
      </c>
      <c r="J599" s="755">
        <v>44319.0</v>
      </c>
      <c r="K599" s="758" t="s">
        <v>3647</v>
      </c>
      <c r="L599" s="754"/>
      <c r="M599" s="754"/>
      <c r="N599" s="754"/>
      <c r="O599" s="754"/>
      <c r="P599" s="754"/>
      <c r="Q599" s="754"/>
      <c r="R599" s="754"/>
      <c r="S599" s="754"/>
      <c r="T599" s="754"/>
      <c r="U599" s="754"/>
      <c r="V599" s="754"/>
      <c r="W599" s="754"/>
      <c r="X599" s="754"/>
      <c r="Y599" s="754"/>
      <c r="Z599" s="754"/>
      <c r="AA599" s="754"/>
      <c r="AB599" s="754"/>
      <c r="AC599" s="754"/>
      <c r="AD599" s="754"/>
      <c r="AE599" s="754"/>
      <c r="AF599" s="754"/>
      <c r="AG599" s="754"/>
      <c r="AH599" s="754"/>
      <c r="AI599" s="754"/>
      <c r="AJ599" s="754"/>
      <c r="AK599" s="754"/>
      <c r="AL599" s="754"/>
      <c r="AM599" s="754"/>
      <c r="AN599" s="754"/>
      <c r="AO599" s="754"/>
      <c r="AP599" s="754"/>
      <c r="AQ599" s="754"/>
      <c r="AR599" s="754"/>
      <c r="AS599" s="754"/>
      <c r="AT599" s="754"/>
      <c r="AU599" s="754"/>
    </row>
    <row r="600" ht="15.75" customHeight="1">
      <c r="A600" s="768">
        <v>44474.0</v>
      </c>
      <c r="B600" s="760" t="s">
        <v>2855</v>
      </c>
      <c r="C600" s="770" t="s">
        <v>2376</v>
      </c>
      <c r="D600" s="745" t="s">
        <v>5903</v>
      </c>
      <c r="E600" s="794">
        <v>175000.0</v>
      </c>
      <c r="F600" s="745" t="s">
        <v>2854</v>
      </c>
      <c r="G600" s="755" t="s">
        <v>18</v>
      </c>
      <c r="H600" s="755" t="s">
        <v>145</v>
      </c>
      <c r="I600" s="755" t="s">
        <v>146</v>
      </c>
      <c r="J600" s="755">
        <v>44313.0</v>
      </c>
      <c r="K600" s="758" t="s">
        <v>3651</v>
      </c>
      <c r="L600" s="754"/>
      <c r="M600" s="754"/>
      <c r="N600" s="754"/>
      <c r="O600" s="754"/>
      <c r="P600" s="754"/>
      <c r="Q600" s="754"/>
      <c r="R600" s="754"/>
      <c r="S600" s="754"/>
      <c r="T600" s="754"/>
      <c r="U600" s="754"/>
      <c r="V600" s="754"/>
      <c r="W600" s="754"/>
      <c r="X600" s="754"/>
      <c r="Y600" s="754"/>
      <c r="Z600" s="754"/>
      <c r="AA600" s="754"/>
      <c r="AB600" s="754"/>
      <c r="AC600" s="754"/>
      <c r="AD600" s="754"/>
      <c r="AE600" s="754"/>
      <c r="AF600" s="754"/>
      <c r="AG600" s="754"/>
      <c r="AH600" s="754"/>
      <c r="AI600" s="754"/>
      <c r="AJ600" s="754"/>
      <c r="AK600" s="754"/>
      <c r="AL600" s="754"/>
      <c r="AM600" s="754"/>
      <c r="AN600" s="754"/>
      <c r="AO600" s="754"/>
      <c r="AP600" s="754"/>
      <c r="AQ600" s="754"/>
      <c r="AR600" s="754"/>
      <c r="AS600" s="754"/>
      <c r="AT600" s="754"/>
      <c r="AU600" s="754"/>
    </row>
    <row r="601" ht="15.75" customHeight="1">
      <c r="A601" s="768">
        <v>44474.0</v>
      </c>
      <c r="B601" s="760" t="s">
        <v>2529</v>
      </c>
      <c r="C601" s="770" t="s">
        <v>2376</v>
      </c>
      <c r="D601" s="745" t="s">
        <v>5903</v>
      </c>
      <c r="E601" s="794">
        <v>10000.0</v>
      </c>
      <c r="F601" s="745" t="s">
        <v>362</v>
      </c>
      <c r="G601" s="755" t="s">
        <v>18</v>
      </c>
      <c r="H601" s="755" t="s">
        <v>145</v>
      </c>
      <c r="I601" s="755" t="s">
        <v>146</v>
      </c>
      <c r="J601" s="755">
        <v>44421.0</v>
      </c>
      <c r="K601" s="758" t="s">
        <v>3651</v>
      </c>
      <c r="L601" s="754"/>
      <c r="M601" s="754"/>
      <c r="N601" s="754"/>
      <c r="O601" s="754"/>
      <c r="P601" s="754"/>
      <c r="Q601" s="754"/>
      <c r="R601" s="754"/>
      <c r="S601" s="754"/>
      <c r="T601" s="754"/>
      <c r="U601" s="754"/>
      <c r="V601" s="754"/>
      <c r="W601" s="754"/>
      <c r="X601" s="754"/>
      <c r="Y601" s="754"/>
      <c r="Z601" s="754"/>
      <c r="AA601" s="754"/>
      <c r="AB601" s="754"/>
      <c r="AC601" s="754"/>
      <c r="AD601" s="754"/>
      <c r="AE601" s="754"/>
      <c r="AF601" s="754"/>
      <c r="AG601" s="754"/>
      <c r="AH601" s="754"/>
      <c r="AI601" s="754"/>
      <c r="AJ601" s="754"/>
      <c r="AK601" s="754"/>
      <c r="AL601" s="754"/>
      <c r="AM601" s="754"/>
      <c r="AN601" s="754"/>
      <c r="AO601" s="754"/>
      <c r="AP601" s="754"/>
      <c r="AQ601" s="754"/>
      <c r="AR601" s="754"/>
      <c r="AS601" s="754"/>
      <c r="AT601" s="754"/>
      <c r="AU601" s="754"/>
    </row>
    <row r="602" ht="15.75" customHeight="1">
      <c r="A602" s="768">
        <v>44474.0</v>
      </c>
      <c r="B602" s="760" t="s">
        <v>2628</v>
      </c>
      <c r="C602" s="770" t="s">
        <v>2376</v>
      </c>
      <c r="D602" s="745" t="s">
        <v>5903</v>
      </c>
      <c r="E602" s="794">
        <v>10000.0</v>
      </c>
      <c r="F602" s="745" t="s">
        <v>582</v>
      </c>
      <c r="G602" s="755" t="s">
        <v>18</v>
      </c>
      <c r="H602" s="755" t="s">
        <v>145</v>
      </c>
      <c r="I602" s="755" t="s">
        <v>146</v>
      </c>
      <c r="J602" s="755">
        <v>44280.0</v>
      </c>
      <c r="K602" s="758" t="s">
        <v>3651</v>
      </c>
      <c r="L602" s="754"/>
      <c r="M602" s="754"/>
      <c r="N602" s="754"/>
      <c r="O602" s="754"/>
      <c r="P602" s="754"/>
      <c r="Q602" s="754"/>
      <c r="R602" s="754"/>
      <c r="S602" s="754"/>
      <c r="T602" s="754"/>
      <c r="U602" s="754"/>
      <c r="V602" s="754"/>
      <c r="W602" s="754"/>
      <c r="X602" s="754"/>
      <c r="Y602" s="754"/>
      <c r="Z602" s="754"/>
      <c r="AA602" s="754"/>
      <c r="AB602" s="754"/>
      <c r="AC602" s="754"/>
      <c r="AD602" s="754"/>
      <c r="AE602" s="754"/>
      <c r="AF602" s="754"/>
      <c r="AG602" s="754"/>
      <c r="AH602" s="754"/>
      <c r="AI602" s="754"/>
      <c r="AJ602" s="754"/>
      <c r="AK602" s="754"/>
      <c r="AL602" s="754"/>
      <c r="AM602" s="754"/>
      <c r="AN602" s="754"/>
      <c r="AO602" s="754"/>
      <c r="AP602" s="754"/>
      <c r="AQ602" s="754"/>
      <c r="AR602" s="754"/>
      <c r="AS602" s="754"/>
      <c r="AT602" s="754"/>
      <c r="AU602" s="754"/>
    </row>
    <row r="603" ht="15.75" customHeight="1">
      <c r="A603" s="768">
        <v>44474.0</v>
      </c>
      <c r="B603" s="760" t="s">
        <v>2811</v>
      </c>
      <c r="C603" s="770" t="s">
        <v>2376</v>
      </c>
      <c r="D603" s="745" t="s">
        <v>5903</v>
      </c>
      <c r="E603" s="794">
        <v>10000.0</v>
      </c>
      <c r="F603" s="745" t="s">
        <v>2810</v>
      </c>
      <c r="G603" s="755" t="s">
        <v>2379</v>
      </c>
      <c r="H603" s="755" t="s">
        <v>29</v>
      </c>
      <c r="I603" s="755" t="s">
        <v>2380</v>
      </c>
      <c r="J603" s="755">
        <v>43703.0</v>
      </c>
      <c r="K603" s="758" t="s">
        <v>4033</v>
      </c>
      <c r="L603" s="754"/>
      <c r="M603" s="754"/>
      <c r="N603" s="754"/>
      <c r="O603" s="754"/>
      <c r="P603" s="754"/>
      <c r="Q603" s="754"/>
      <c r="R603" s="754"/>
      <c r="S603" s="754"/>
      <c r="T603" s="754"/>
      <c r="U603" s="754"/>
      <c r="V603" s="754"/>
      <c r="W603" s="754"/>
      <c r="X603" s="754"/>
      <c r="Y603" s="754"/>
      <c r="Z603" s="754"/>
      <c r="AA603" s="754"/>
      <c r="AB603" s="754"/>
      <c r="AC603" s="754"/>
      <c r="AD603" s="754"/>
      <c r="AE603" s="754"/>
      <c r="AF603" s="754"/>
      <c r="AG603" s="754"/>
      <c r="AH603" s="754"/>
      <c r="AI603" s="754"/>
      <c r="AJ603" s="754"/>
      <c r="AK603" s="754"/>
      <c r="AL603" s="754"/>
      <c r="AM603" s="754"/>
      <c r="AN603" s="754"/>
      <c r="AO603" s="754"/>
      <c r="AP603" s="754"/>
      <c r="AQ603" s="754"/>
      <c r="AR603" s="754"/>
      <c r="AS603" s="754"/>
      <c r="AT603" s="754"/>
      <c r="AU603" s="754"/>
    </row>
    <row r="604" ht="15.75" customHeight="1">
      <c r="A604" s="768">
        <v>44474.0</v>
      </c>
      <c r="B604" s="760" t="s">
        <v>2676</v>
      </c>
      <c r="C604" s="770" t="s">
        <v>2376</v>
      </c>
      <c r="D604" s="745" t="s">
        <v>5903</v>
      </c>
      <c r="E604" s="794">
        <v>40000.0</v>
      </c>
      <c r="F604" s="745" t="s">
        <v>691</v>
      </c>
      <c r="G604" s="755" t="s">
        <v>18</v>
      </c>
      <c r="H604" s="755" t="s">
        <v>145</v>
      </c>
      <c r="I604" s="755" t="s">
        <v>146</v>
      </c>
      <c r="J604" s="755">
        <v>44321.0</v>
      </c>
      <c r="K604" s="758" t="s">
        <v>3651</v>
      </c>
      <c r="L604" s="754"/>
      <c r="M604" s="754"/>
      <c r="N604" s="754"/>
      <c r="O604" s="754"/>
      <c r="P604" s="754"/>
      <c r="Q604" s="754"/>
      <c r="R604" s="754"/>
      <c r="S604" s="754"/>
      <c r="T604" s="754"/>
      <c r="U604" s="754"/>
      <c r="V604" s="754"/>
      <c r="W604" s="754"/>
      <c r="X604" s="754"/>
      <c r="Y604" s="754"/>
      <c r="Z604" s="754"/>
      <c r="AA604" s="754"/>
      <c r="AB604" s="754"/>
      <c r="AC604" s="754"/>
      <c r="AD604" s="754"/>
      <c r="AE604" s="754"/>
      <c r="AF604" s="754"/>
      <c r="AG604" s="754"/>
      <c r="AH604" s="754"/>
      <c r="AI604" s="754"/>
      <c r="AJ604" s="754"/>
      <c r="AK604" s="754"/>
      <c r="AL604" s="754"/>
      <c r="AM604" s="754"/>
      <c r="AN604" s="754"/>
      <c r="AO604" s="754"/>
      <c r="AP604" s="754"/>
      <c r="AQ604" s="754"/>
      <c r="AR604" s="754"/>
      <c r="AS604" s="754"/>
      <c r="AT604" s="754"/>
      <c r="AU604" s="754"/>
    </row>
    <row r="605" ht="15.75" customHeight="1">
      <c r="A605" s="768">
        <v>44474.0</v>
      </c>
      <c r="B605" s="760" t="s">
        <v>2925</v>
      </c>
      <c r="C605" s="770" t="s">
        <v>2376</v>
      </c>
      <c r="D605" s="745" t="s">
        <v>5903</v>
      </c>
      <c r="E605" s="794">
        <v>150000.0</v>
      </c>
      <c r="F605" s="745" t="s">
        <v>2924</v>
      </c>
      <c r="G605" s="755" t="s">
        <v>2379</v>
      </c>
      <c r="H605" s="755" t="s">
        <v>29</v>
      </c>
      <c r="I605" s="755" t="s">
        <v>2380</v>
      </c>
      <c r="J605" s="755">
        <v>43879.0</v>
      </c>
      <c r="K605" s="758" t="s">
        <v>3651</v>
      </c>
      <c r="L605" s="754"/>
      <c r="M605" s="754"/>
      <c r="N605" s="754"/>
      <c r="O605" s="754"/>
      <c r="P605" s="754"/>
      <c r="Q605" s="754"/>
      <c r="R605" s="754"/>
      <c r="S605" s="754"/>
      <c r="T605" s="754"/>
      <c r="U605" s="754"/>
      <c r="V605" s="754"/>
      <c r="W605" s="754"/>
      <c r="X605" s="754"/>
      <c r="Y605" s="754"/>
      <c r="Z605" s="754"/>
      <c r="AA605" s="754"/>
      <c r="AB605" s="754"/>
      <c r="AC605" s="754"/>
      <c r="AD605" s="754"/>
      <c r="AE605" s="754"/>
      <c r="AF605" s="754"/>
      <c r="AG605" s="754"/>
      <c r="AH605" s="754"/>
      <c r="AI605" s="754"/>
      <c r="AJ605" s="754"/>
      <c r="AK605" s="754"/>
      <c r="AL605" s="754"/>
      <c r="AM605" s="754"/>
      <c r="AN605" s="754"/>
      <c r="AO605" s="754"/>
      <c r="AP605" s="754"/>
      <c r="AQ605" s="754"/>
      <c r="AR605" s="754"/>
      <c r="AS605" s="754"/>
      <c r="AT605" s="754"/>
      <c r="AU605" s="754"/>
    </row>
    <row r="606" ht="15.75" customHeight="1">
      <c r="A606" s="768">
        <v>44475.0</v>
      </c>
      <c r="B606" s="760" t="s">
        <v>3046</v>
      </c>
      <c r="C606" s="770" t="s">
        <v>2376</v>
      </c>
      <c r="D606" s="745" t="s">
        <v>5903</v>
      </c>
      <c r="E606" s="794">
        <v>30000.0</v>
      </c>
      <c r="F606" s="745" t="s">
        <v>3045</v>
      </c>
      <c r="G606" s="755" t="s">
        <v>18</v>
      </c>
      <c r="H606" s="755" t="s">
        <v>145</v>
      </c>
      <c r="I606" s="755" t="s">
        <v>2464</v>
      </c>
      <c r="J606" s="755">
        <v>44279.0</v>
      </c>
      <c r="K606" s="758" t="s">
        <v>3647</v>
      </c>
      <c r="L606" s="754"/>
      <c r="M606" s="754"/>
      <c r="N606" s="754"/>
      <c r="O606" s="754"/>
      <c r="P606" s="754"/>
      <c r="Q606" s="754"/>
      <c r="R606" s="754"/>
      <c r="S606" s="754"/>
      <c r="T606" s="754"/>
      <c r="U606" s="754"/>
      <c r="V606" s="754"/>
      <c r="W606" s="754"/>
      <c r="X606" s="754"/>
      <c r="Y606" s="754"/>
      <c r="Z606" s="754"/>
      <c r="AA606" s="754"/>
      <c r="AB606" s="754"/>
      <c r="AC606" s="754"/>
      <c r="AD606" s="754"/>
      <c r="AE606" s="754"/>
      <c r="AF606" s="754"/>
      <c r="AG606" s="754"/>
      <c r="AH606" s="754"/>
      <c r="AI606" s="754"/>
      <c r="AJ606" s="754"/>
      <c r="AK606" s="754"/>
      <c r="AL606" s="754"/>
      <c r="AM606" s="754"/>
      <c r="AN606" s="754"/>
      <c r="AO606" s="754"/>
      <c r="AP606" s="754"/>
      <c r="AQ606" s="754"/>
      <c r="AR606" s="754"/>
      <c r="AS606" s="754"/>
      <c r="AT606" s="754"/>
      <c r="AU606" s="754"/>
    </row>
    <row r="607" ht="15.75" customHeight="1">
      <c r="A607" s="768">
        <v>44475.0</v>
      </c>
      <c r="B607" s="760" t="s">
        <v>3043</v>
      </c>
      <c r="C607" s="770" t="s">
        <v>2376</v>
      </c>
      <c r="D607" s="745" t="s">
        <v>5903</v>
      </c>
      <c r="E607" s="794">
        <v>20000.0</v>
      </c>
      <c r="F607" s="745" t="s">
        <v>3042</v>
      </c>
      <c r="G607" s="755" t="s">
        <v>18</v>
      </c>
      <c r="H607" s="755" t="s">
        <v>145</v>
      </c>
      <c r="I607" s="755" t="s">
        <v>171</v>
      </c>
      <c r="J607" s="755">
        <v>44322.0</v>
      </c>
      <c r="K607" s="758" t="s">
        <v>3651</v>
      </c>
      <c r="L607" s="754"/>
      <c r="M607" s="754"/>
      <c r="N607" s="754"/>
      <c r="O607" s="754"/>
      <c r="P607" s="754"/>
      <c r="Q607" s="754"/>
      <c r="R607" s="754"/>
      <c r="S607" s="754"/>
      <c r="T607" s="754"/>
      <c r="U607" s="754"/>
      <c r="V607" s="754"/>
      <c r="W607" s="754"/>
      <c r="X607" s="754"/>
      <c r="Y607" s="754"/>
      <c r="Z607" s="754"/>
      <c r="AA607" s="754"/>
      <c r="AB607" s="754"/>
      <c r="AC607" s="754"/>
      <c r="AD607" s="754"/>
      <c r="AE607" s="754"/>
      <c r="AF607" s="754"/>
      <c r="AG607" s="754"/>
      <c r="AH607" s="754"/>
      <c r="AI607" s="754"/>
      <c r="AJ607" s="754"/>
      <c r="AK607" s="754"/>
      <c r="AL607" s="754"/>
      <c r="AM607" s="754"/>
      <c r="AN607" s="754"/>
      <c r="AO607" s="754"/>
      <c r="AP607" s="754"/>
      <c r="AQ607" s="754"/>
      <c r="AR607" s="754"/>
      <c r="AS607" s="754"/>
      <c r="AT607" s="754"/>
      <c r="AU607" s="754"/>
    </row>
    <row r="608" ht="15.75" customHeight="1">
      <c r="A608" s="768">
        <v>44476.0</v>
      </c>
      <c r="B608" s="760" t="s">
        <v>6013</v>
      </c>
      <c r="C608" s="770" t="s">
        <v>2376</v>
      </c>
      <c r="D608" s="745" t="s">
        <v>2387</v>
      </c>
      <c r="E608" s="798">
        <v>121689.31</v>
      </c>
      <c r="F608" s="745" t="s">
        <v>2791</v>
      </c>
      <c r="G608" s="755" t="s">
        <v>18</v>
      </c>
      <c r="H608" s="755" t="s">
        <v>145</v>
      </c>
      <c r="I608" s="755" t="s">
        <v>146</v>
      </c>
      <c r="J608" s="755">
        <v>44333.0</v>
      </c>
      <c r="K608" s="758" t="s">
        <v>3651</v>
      </c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54"/>
      <c r="AB608" s="754"/>
      <c r="AC608" s="754"/>
      <c r="AD608" s="754"/>
      <c r="AE608" s="754"/>
      <c r="AF608" s="754"/>
      <c r="AG608" s="754"/>
      <c r="AH608" s="754"/>
      <c r="AI608" s="754"/>
      <c r="AJ608" s="754"/>
      <c r="AK608" s="754"/>
      <c r="AL608" s="754"/>
      <c r="AM608" s="754"/>
      <c r="AN608" s="754"/>
      <c r="AO608" s="754"/>
      <c r="AP608" s="754"/>
      <c r="AQ608" s="754"/>
      <c r="AR608" s="754"/>
      <c r="AS608" s="754"/>
      <c r="AT608" s="754"/>
      <c r="AU608" s="754"/>
    </row>
    <row r="609" ht="15.75" customHeight="1">
      <c r="A609" s="768">
        <v>44477.0</v>
      </c>
      <c r="B609" s="799" t="s">
        <v>5938</v>
      </c>
      <c r="C609" s="770" t="s">
        <v>3642</v>
      </c>
      <c r="D609" s="745" t="s">
        <v>2387</v>
      </c>
      <c r="E609" s="798">
        <v>94947.93</v>
      </c>
      <c r="F609" s="745" t="s">
        <v>5078</v>
      </c>
      <c r="G609" s="745" t="s">
        <v>86</v>
      </c>
      <c r="H609" s="745" t="s">
        <v>29</v>
      </c>
      <c r="I609" s="745" t="s">
        <v>5079</v>
      </c>
      <c r="J609" s="755">
        <v>44105.0</v>
      </c>
      <c r="K609" s="762" t="s">
        <v>3664</v>
      </c>
      <c r="L609" s="754"/>
      <c r="M609" s="754"/>
      <c r="N609" s="754"/>
      <c r="O609" s="754"/>
      <c r="P609" s="754"/>
      <c r="Q609" s="754"/>
      <c r="R609" s="754"/>
      <c r="S609" s="754"/>
      <c r="T609" s="754"/>
      <c r="U609" s="754"/>
      <c r="V609" s="754"/>
      <c r="W609" s="754"/>
      <c r="X609" s="754"/>
      <c r="Y609" s="754"/>
      <c r="Z609" s="754"/>
      <c r="AA609" s="754"/>
      <c r="AB609" s="754"/>
      <c r="AC609" s="754"/>
      <c r="AD609" s="754"/>
      <c r="AE609" s="754"/>
      <c r="AF609" s="754"/>
      <c r="AG609" s="754"/>
      <c r="AH609" s="754"/>
      <c r="AI609" s="754"/>
      <c r="AJ609" s="754"/>
      <c r="AK609" s="754"/>
      <c r="AL609" s="754"/>
      <c r="AM609" s="754"/>
      <c r="AN609" s="754"/>
      <c r="AO609" s="754"/>
      <c r="AP609" s="754"/>
      <c r="AQ609" s="754"/>
      <c r="AR609" s="754"/>
      <c r="AS609" s="754"/>
      <c r="AT609" s="754"/>
      <c r="AU609" s="754"/>
    </row>
    <row r="610" ht="15.75" customHeight="1">
      <c r="A610" s="792">
        <v>44477.0</v>
      </c>
      <c r="B610" s="756" t="s">
        <v>6014</v>
      </c>
      <c r="C610" s="745" t="s">
        <v>3642</v>
      </c>
      <c r="D610" s="745" t="s">
        <v>5902</v>
      </c>
      <c r="E610" s="757">
        <v>0.0</v>
      </c>
      <c r="F610" s="745" t="s">
        <v>4232</v>
      </c>
      <c r="G610" s="745" t="s">
        <v>86</v>
      </c>
      <c r="H610" s="745" t="s">
        <v>29</v>
      </c>
      <c r="I610" s="745" t="s">
        <v>3486</v>
      </c>
      <c r="J610" s="755">
        <v>44238.0</v>
      </c>
      <c r="K610" s="762" t="s">
        <v>3647</v>
      </c>
      <c r="L610" s="754"/>
      <c r="M610" s="754"/>
      <c r="N610" s="754"/>
      <c r="O610" s="754"/>
      <c r="P610" s="754"/>
      <c r="Q610" s="754"/>
      <c r="R610" s="754"/>
      <c r="S610" s="754"/>
      <c r="T610" s="754"/>
      <c r="U610" s="754"/>
      <c r="V610" s="754"/>
      <c r="W610" s="754"/>
      <c r="X610" s="754"/>
      <c r="Y610" s="754"/>
      <c r="Z610" s="754"/>
      <c r="AA610" s="754"/>
      <c r="AB610" s="754"/>
      <c r="AC610" s="754"/>
      <c r="AD610" s="754"/>
      <c r="AE610" s="754"/>
      <c r="AF610" s="754"/>
      <c r="AG610" s="754"/>
      <c r="AH610" s="754"/>
      <c r="AI610" s="754"/>
      <c r="AJ610" s="754"/>
      <c r="AK610" s="754"/>
      <c r="AL610" s="754"/>
      <c r="AM610" s="754"/>
      <c r="AN610" s="754"/>
      <c r="AO610" s="754"/>
      <c r="AP610" s="754"/>
      <c r="AQ610" s="754"/>
      <c r="AR610" s="754"/>
      <c r="AS610" s="754"/>
      <c r="AT610" s="754"/>
      <c r="AU610" s="754"/>
    </row>
    <row r="611" ht="15.75" customHeight="1">
      <c r="A611" s="768">
        <v>44480.0</v>
      </c>
      <c r="B611" s="795" t="s">
        <v>3333</v>
      </c>
      <c r="C611" s="770" t="s">
        <v>2376</v>
      </c>
      <c r="D611" s="745" t="s">
        <v>5903</v>
      </c>
      <c r="E611" s="794">
        <v>20000.0</v>
      </c>
      <c r="F611" s="745" t="s">
        <v>3332</v>
      </c>
      <c r="G611" s="755" t="s">
        <v>18</v>
      </c>
      <c r="H611" s="755" t="s">
        <v>145</v>
      </c>
      <c r="I611" s="755" t="s">
        <v>146</v>
      </c>
      <c r="J611" s="755">
        <v>44263.0</v>
      </c>
      <c r="K611" s="758" t="s">
        <v>3660</v>
      </c>
      <c r="L611" s="754"/>
      <c r="M611" s="754"/>
      <c r="N611" s="754"/>
      <c r="O611" s="754"/>
      <c r="P611" s="754"/>
      <c r="Q611" s="754"/>
      <c r="R611" s="754"/>
      <c r="S611" s="754"/>
      <c r="T611" s="754"/>
      <c r="U611" s="754"/>
      <c r="V611" s="754"/>
      <c r="W611" s="754"/>
      <c r="X611" s="754"/>
      <c r="Y611" s="754"/>
      <c r="Z611" s="754"/>
      <c r="AA611" s="754"/>
      <c r="AB611" s="754"/>
      <c r="AC611" s="754"/>
      <c r="AD611" s="754"/>
      <c r="AE611" s="754"/>
      <c r="AF611" s="754"/>
      <c r="AG611" s="754"/>
      <c r="AH611" s="754"/>
      <c r="AI611" s="754"/>
      <c r="AJ611" s="754"/>
      <c r="AK611" s="754"/>
      <c r="AL611" s="754"/>
      <c r="AM611" s="754"/>
      <c r="AN611" s="754"/>
      <c r="AO611" s="754"/>
      <c r="AP611" s="754"/>
      <c r="AQ611" s="754"/>
      <c r="AR611" s="754"/>
      <c r="AS611" s="754"/>
      <c r="AT611" s="754"/>
      <c r="AU611" s="754"/>
    </row>
    <row r="612" ht="15.75" customHeight="1">
      <c r="A612" s="792">
        <v>44480.0</v>
      </c>
      <c r="B612" s="779" t="s">
        <v>3107</v>
      </c>
      <c r="C612" s="745" t="s">
        <v>2376</v>
      </c>
      <c r="D612" s="745" t="s">
        <v>5902</v>
      </c>
      <c r="E612" s="757">
        <v>489398.81</v>
      </c>
      <c r="F612" s="745" t="s">
        <v>3106</v>
      </c>
      <c r="G612" s="755" t="s">
        <v>18</v>
      </c>
      <c r="H612" s="755" t="s">
        <v>145</v>
      </c>
      <c r="I612" s="755" t="s">
        <v>171</v>
      </c>
      <c r="J612" s="755">
        <v>44280.0</v>
      </c>
      <c r="K612" s="758" t="s">
        <v>3647</v>
      </c>
      <c r="L612" s="754"/>
      <c r="M612" s="754"/>
      <c r="N612" s="754"/>
      <c r="O612" s="754"/>
      <c r="P612" s="754"/>
      <c r="Q612" s="754"/>
      <c r="R612" s="754"/>
      <c r="S612" s="754"/>
      <c r="T612" s="754"/>
      <c r="U612" s="754"/>
      <c r="V612" s="754"/>
      <c r="W612" s="754"/>
      <c r="X612" s="754"/>
      <c r="Y612" s="754"/>
      <c r="Z612" s="754"/>
      <c r="AA612" s="754"/>
      <c r="AB612" s="754"/>
      <c r="AC612" s="754"/>
      <c r="AD612" s="754"/>
      <c r="AE612" s="754"/>
      <c r="AF612" s="754"/>
      <c r="AG612" s="754"/>
      <c r="AH612" s="754"/>
      <c r="AI612" s="754"/>
      <c r="AJ612" s="754"/>
      <c r="AK612" s="754"/>
      <c r="AL612" s="754"/>
      <c r="AM612" s="754"/>
      <c r="AN612" s="754"/>
      <c r="AO612" s="754"/>
      <c r="AP612" s="754"/>
      <c r="AQ612" s="754"/>
      <c r="AR612" s="754"/>
      <c r="AS612" s="754"/>
      <c r="AT612" s="754"/>
      <c r="AU612" s="754"/>
    </row>
    <row r="613" ht="15.75" customHeight="1">
      <c r="A613" s="768">
        <v>44482.0</v>
      </c>
      <c r="B613" s="760" t="s">
        <v>6015</v>
      </c>
      <c r="C613" s="770" t="s">
        <v>3642</v>
      </c>
      <c r="D613" s="745" t="s">
        <v>2387</v>
      </c>
      <c r="E613" s="798">
        <v>274363.67</v>
      </c>
      <c r="F613" s="745" t="s">
        <v>5098</v>
      </c>
      <c r="G613" s="745" t="s">
        <v>18</v>
      </c>
      <c r="H613" s="745" t="s">
        <v>19</v>
      </c>
      <c r="I613" s="745" t="s">
        <v>5099</v>
      </c>
      <c r="J613" s="755">
        <v>44356.0</v>
      </c>
      <c r="K613" s="762" t="s">
        <v>3660</v>
      </c>
      <c r="L613" s="754"/>
      <c r="M613" s="754"/>
      <c r="N613" s="754"/>
      <c r="O613" s="754"/>
      <c r="P613" s="754"/>
      <c r="Q613" s="754"/>
      <c r="R613" s="754"/>
      <c r="S613" s="754"/>
      <c r="T613" s="754"/>
      <c r="U613" s="754"/>
      <c r="V613" s="754"/>
      <c r="W613" s="754"/>
      <c r="X613" s="754"/>
      <c r="Y613" s="754"/>
      <c r="Z613" s="754"/>
      <c r="AA613" s="754"/>
      <c r="AB613" s="754"/>
      <c r="AC613" s="754"/>
      <c r="AD613" s="754"/>
      <c r="AE613" s="754"/>
      <c r="AF613" s="754"/>
      <c r="AG613" s="754"/>
      <c r="AH613" s="754"/>
      <c r="AI613" s="754"/>
      <c r="AJ613" s="754"/>
      <c r="AK613" s="754"/>
      <c r="AL613" s="754"/>
      <c r="AM613" s="754"/>
      <c r="AN613" s="754"/>
      <c r="AO613" s="754"/>
      <c r="AP613" s="754"/>
      <c r="AQ613" s="754"/>
      <c r="AR613" s="754"/>
      <c r="AS613" s="754"/>
      <c r="AT613" s="754"/>
      <c r="AU613" s="754"/>
    </row>
    <row r="614" ht="15.75" customHeight="1">
      <c r="A614" s="768">
        <v>44482.0</v>
      </c>
      <c r="B614" s="756" t="s">
        <v>6016</v>
      </c>
      <c r="C614" s="770" t="s">
        <v>3642</v>
      </c>
      <c r="D614" s="745" t="s">
        <v>5903</v>
      </c>
      <c r="E614" s="798">
        <v>150000.0</v>
      </c>
      <c r="F614" s="745" t="s">
        <v>4417</v>
      </c>
      <c r="G614" s="745" t="s">
        <v>2379</v>
      </c>
      <c r="H614" s="745" t="s">
        <v>29</v>
      </c>
      <c r="I614" s="745" t="s">
        <v>2379</v>
      </c>
      <c r="J614" s="755">
        <v>44118.0</v>
      </c>
      <c r="K614" s="762" t="s">
        <v>3664</v>
      </c>
      <c r="L614" s="754"/>
      <c r="M614" s="754"/>
      <c r="N614" s="754"/>
      <c r="O614" s="754"/>
      <c r="P614" s="754"/>
      <c r="Q614" s="754"/>
      <c r="R614" s="754"/>
      <c r="S614" s="754"/>
      <c r="T614" s="754"/>
      <c r="U614" s="754"/>
      <c r="V614" s="754"/>
      <c r="W614" s="754"/>
      <c r="X614" s="754"/>
      <c r="Y614" s="754"/>
      <c r="Z614" s="754"/>
      <c r="AA614" s="754"/>
      <c r="AB614" s="754"/>
      <c r="AC614" s="754"/>
      <c r="AD614" s="754"/>
      <c r="AE614" s="754"/>
      <c r="AF614" s="754"/>
      <c r="AG614" s="754"/>
      <c r="AH614" s="754"/>
      <c r="AI614" s="754"/>
      <c r="AJ614" s="754"/>
      <c r="AK614" s="754"/>
      <c r="AL614" s="754"/>
      <c r="AM614" s="754"/>
      <c r="AN614" s="754"/>
      <c r="AO614" s="754"/>
      <c r="AP614" s="754"/>
      <c r="AQ614" s="754"/>
      <c r="AR614" s="754"/>
      <c r="AS614" s="754"/>
      <c r="AT614" s="754"/>
      <c r="AU614" s="754"/>
    </row>
    <row r="615" ht="15.75" customHeight="1">
      <c r="A615" s="792">
        <v>44482.0</v>
      </c>
      <c r="B615" s="756" t="s">
        <v>2885</v>
      </c>
      <c r="C615" s="745" t="s">
        <v>2376</v>
      </c>
      <c r="D615" s="745" t="s">
        <v>5902</v>
      </c>
      <c r="E615" s="757">
        <v>15.64</v>
      </c>
      <c r="F615" s="745" t="s">
        <v>2884</v>
      </c>
      <c r="G615" s="755" t="s">
        <v>2379</v>
      </c>
      <c r="H615" s="755" t="s">
        <v>29</v>
      </c>
      <c r="I615" s="755" t="s">
        <v>2392</v>
      </c>
      <c r="J615" s="755">
        <v>43559.0</v>
      </c>
      <c r="K615" s="758" t="s">
        <v>4033</v>
      </c>
      <c r="L615" s="754"/>
      <c r="M615" s="754"/>
      <c r="N615" s="754"/>
      <c r="O615" s="754"/>
      <c r="P615" s="754"/>
      <c r="Q615" s="754"/>
      <c r="R615" s="754"/>
      <c r="S615" s="754"/>
      <c r="T615" s="754"/>
      <c r="U615" s="754"/>
      <c r="V615" s="754"/>
      <c r="W615" s="754"/>
      <c r="X615" s="754"/>
      <c r="Y615" s="754"/>
      <c r="Z615" s="754"/>
      <c r="AA615" s="754"/>
      <c r="AB615" s="754"/>
      <c r="AC615" s="754"/>
      <c r="AD615" s="754"/>
      <c r="AE615" s="754"/>
      <c r="AF615" s="754"/>
      <c r="AG615" s="754"/>
      <c r="AH615" s="754"/>
      <c r="AI615" s="754"/>
      <c r="AJ615" s="754"/>
      <c r="AK615" s="754"/>
      <c r="AL615" s="754"/>
      <c r="AM615" s="754"/>
      <c r="AN615" s="754"/>
      <c r="AO615" s="754"/>
      <c r="AP615" s="754"/>
      <c r="AQ615" s="754"/>
      <c r="AR615" s="754"/>
      <c r="AS615" s="754"/>
      <c r="AT615" s="754"/>
      <c r="AU615" s="754"/>
    </row>
    <row r="616" ht="15.75" customHeight="1">
      <c r="A616" s="792">
        <v>44482.0</v>
      </c>
      <c r="B616" s="756" t="s">
        <v>2852</v>
      </c>
      <c r="C616" s="745" t="s">
        <v>2376</v>
      </c>
      <c r="D616" s="745" t="s">
        <v>5902</v>
      </c>
      <c r="E616" s="757">
        <v>115.28</v>
      </c>
      <c r="F616" s="745" t="s">
        <v>2851</v>
      </c>
      <c r="G616" s="755" t="s">
        <v>2379</v>
      </c>
      <c r="H616" s="755" t="s">
        <v>29</v>
      </c>
      <c r="I616" s="755" t="s">
        <v>2380</v>
      </c>
      <c r="J616" s="755">
        <v>43620.0</v>
      </c>
      <c r="K616" s="758" t="s">
        <v>3664</v>
      </c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54"/>
      <c r="AB616" s="754"/>
      <c r="AC616" s="754"/>
      <c r="AD616" s="754"/>
      <c r="AE616" s="754"/>
      <c r="AF616" s="754"/>
      <c r="AG616" s="754"/>
      <c r="AH616" s="754"/>
      <c r="AI616" s="754"/>
      <c r="AJ616" s="754"/>
      <c r="AK616" s="754"/>
      <c r="AL616" s="754"/>
      <c r="AM616" s="754"/>
      <c r="AN616" s="754"/>
      <c r="AO616" s="754"/>
      <c r="AP616" s="754"/>
      <c r="AQ616" s="754"/>
      <c r="AR616" s="754"/>
      <c r="AS616" s="754"/>
      <c r="AT616" s="754"/>
      <c r="AU616" s="754"/>
    </row>
    <row r="617" ht="15.75" customHeight="1">
      <c r="A617" s="792">
        <v>44482.0</v>
      </c>
      <c r="B617" s="756" t="s">
        <v>2706</v>
      </c>
      <c r="C617" s="745" t="s">
        <v>2376</v>
      </c>
      <c r="D617" s="745" t="s">
        <v>5902</v>
      </c>
      <c r="E617" s="757">
        <v>13.08</v>
      </c>
      <c r="F617" s="745" t="s">
        <v>2705</v>
      </c>
      <c r="G617" s="755" t="s">
        <v>2379</v>
      </c>
      <c r="H617" s="755" t="s">
        <v>29</v>
      </c>
      <c r="I617" s="755" t="s">
        <v>2380</v>
      </c>
      <c r="J617" s="755">
        <v>43675.0</v>
      </c>
      <c r="K617" s="758" t="s">
        <v>4033</v>
      </c>
      <c r="L617" s="754"/>
      <c r="M617" s="754"/>
      <c r="N617" s="754"/>
      <c r="O617" s="754"/>
      <c r="P617" s="754"/>
      <c r="Q617" s="754"/>
      <c r="R617" s="754"/>
      <c r="S617" s="754"/>
      <c r="T617" s="754"/>
      <c r="U617" s="754"/>
      <c r="V617" s="754"/>
      <c r="W617" s="754"/>
      <c r="X617" s="754"/>
      <c r="Y617" s="754"/>
      <c r="Z617" s="754"/>
      <c r="AA617" s="754"/>
      <c r="AB617" s="754"/>
      <c r="AC617" s="754"/>
      <c r="AD617" s="754"/>
      <c r="AE617" s="754"/>
      <c r="AF617" s="754"/>
      <c r="AG617" s="754"/>
      <c r="AH617" s="754"/>
      <c r="AI617" s="754"/>
      <c r="AJ617" s="754"/>
      <c r="AK617" s="754"/>
      <c r="AL617" s="754"/>
      <c r="AM617" s="754"/>
      <c r="AN617" s="754"/>
      <c r="AO617" s="754"/>
      <c r="AP617" s="754"/>
      <c r="AQ617" s="754"/>
      <c r="AR617" s="754"/>
      <c r="AS617" s="754"/>
      <c r="AT617" s="754"/>
      <c r="AU617" s="754"/>
    </row>
    <row r="618" ht="15.75" customHeight="1">
      <c r="A618" s="792">
        <v>44482.0</v>
      </c>
      <c r="B618" s="756" t="s">
        <v>2680</v>
      </c>
      <c r="C618" s="745" t="s">
        <v>2376</v>
      </c>
      <c r="D618" s="745" t="s">
        <v>5902</v>
      </c>
      <c r="E618" s="757"/>
      <c r="F618" s="745" t="s">
        <v>2679</v>
      </c>
      <c r="G618" s="755" t="s">
        <v>2379</v>
      </c>
      <c r="H618" s="755" t="s">
        <v>29</v>
      </c>
      <c r="I618" s="755" t="s">
        <v>2379</v>
      </c>
      <c r="J618" s="755" t="s">
        <v>2429</v>
      </c>
      <c r="K618" s="758" t="s">
        <v>3651</v>
      </c>
      <c r="L618" s="754"/>
      <c r="M618" s="754"/>
      <c r="N618" s="754"/>
      <c r="O618" s="754"/>
      <c r="P618" s="754"/>
      <c r="Q618" s="754"/>
      <c r="R618" s="754"/>
      <c r="S618" s="754"/>
      <c r="T618" s="754"/>
      <c r="U618" s="754"/>
      <c r="V618" s="754"/>
      <c r="W618" s="754"/>
      <c r="X618" s="754"/>
      <c r="Y618" s="754"/>
      <c r="Z618" s="754"/>
      <c r="AA618" s="754"/>
      <c r="AB618" s="754"/>
      <c r="AC618" s="754"/>
      <c r="AD618" s="754"/>
      <c r="AE618" s="754"/>
      <c r="AF618" s="754"/>
      <c r="AG618" s="754"/>
      <c r="AH618" s="754"/>
      <c r="AI618" s="754"/>
      <c r="AJ618" s="754"/>
      <c r="AK618" s="754"/>
      <c r="AL618" s="754"/>
      <c r="AM618" s="754"/>
      <c r="AN618" s="754"/>
      <c r="AO618" s="754"/>
      <c r="AP618" s="754"/>
      <c r="AQ618" s="754"/>
      <c r="AR618" s="754"/>
      <c r="AS618" s="754"/>
      <c r="AT618" s="754"/>
      <c r="AU618" s="754"/>
    </row>
    <row r="619" ht="15.75" customHeight="1">
      <c r="A619" s="792">
        <v>44482.0</v>
      </c>
      <c r="B619" s="756" t="s">
        <v>2639</v>
      </c>
      <c r="C619" s="745" t="s">
        <v>2376</v>
      </c>
      <c r="D619" s="745" t="s">
        <v>5902</v>
      </c>
      <c r="E619" s="757">
        <v>3049.18</v>
      </c>
      <c r="F619" s="745" t="s">
        <v>2638</v>
      </c>
      <c r="G619" s="755" t="s">
        <v>2379</v>
      </c>
      <c r="H619" s="755" t="s">
        <v>29</v>
      </c>
      <c r="I619" s="755" t="s">
        <v>2379</v>
      </c>
      <c r="J619" s="755">
        <v>44124.0</v>
      </c>
      <c r="K619" s="758" t="s">
        <v>3651</v>
      </c>
      <c r="L619" s="754"/>
      <c r="M619" s="754"/>
      <c r="N619" s="754"/>
      <c r="O619" s="754"/>
      <c r="P619" s="754"/>
      <c r="Q619" s="754"/>
      <c r="R619" s="754"/>
      <c r="S619" s="754"/>
      <c r="T619" s="754"/>
      <c r="U619" s="754"/>
      <c r="V619" s="754"/>
      <c r="W619" s="754"/>
      <c r="X619" s="754"/>
      <c r="Y619" s="754"/>
      <c r="Z619" s="754"/>
      <c r="AA619" s="754"/>
      <c r="AB619" s="754"/>
      <c r="AC619" s="754"/>
      <c r="AD619" s="754"/>
      <c r="AE619" s="754"/>
      <c r="AF619" s="754"/>
      <c r="AG619" s="754"/>
      <c r="AH619" s="754"/>
      <c r="AI619" s="754"/>
      <c r="AJ619" s="754"/>
      <c r="AK619" s="754"/>
      <c r="AL619" s="754"/>
      <c r="AM619" s="754"/>
      <c r="AN619" s="754"/>
      <c r="AO619" s="754"/>
      <c r="AP619" s="754"/>
      <c r="AQ619" s="754"/>
      <c r="AR619" s="754"/>
      <c r="AS619" s="754"/>
      <c r="AT619" s="754"/>
      <c r="AU619" s="754"/>
    </row>
    <row r="620" ht="15.75" customHeight="1">
      <c r="A620" s="792">
        <v>44482.0</v>
      </c>
      <c r="B620" s="756" t="s">
        <v>2643</v>
      </c>
      <c r="C620" s="745" t="s">
        <v>2376</v>
      </c>
      <c r="D620" s="745" t="s">
        <v>5902</v>
      </c>
      <c r="E620" s="757">
        <v>693.98</v>
      </c>
      <c r="F620" s="745" t="s">
        <v>2642</v>
      </c>
      <c r="G620" s="755" t="s">
        <v>2379</v>
      </c>
      <c r="H620" s="755" t="s">
        <v>29</v>
      </c>
      <c r="I620" s="755" t="s">
        <v>2379</v>
      </c>
      <c r="J620" s="755">
        <v>44118.0</v>
      </c>
      <c r="K620" s="758" t="s">
        <v>3651</v>
      </c>
      <c r="L620" s="754"/>
      <c r="M620" s="754"/>
      <c r="N620" s="754"/>
      <c r="O620" s="754"/>
      <c r="P620" s="754"/>
      <c r="Q620" s="754"/>
      <c r="R620" s="754"/>
      <c r="S620" s="754"/>
      <c r="T620" s="754"/>
      <c r="U620" s="754"/>
      <c r="V620" s="754"/>
      <c r="W620" s="754"/>
      <c r="X620" s="754"/>
      <c r="Y620" s="754"/>
      <c r="Z620" s="754"/>
      <c r="AA620" s="754"/>
      <c r="AB620" s="754"/>
      <c r="AC620" s="754"/>
      <c r="AD620" s="754"/>
      <c r="AE620" s="754"/>
      <c r="AF620" s="754"/>
      <c r="AG620" s="754"/>
      <c r="AH620" s="754"/>
      <c r="AI620" s="754"/>
      <c r="AJ620" s="754"/>
      <c r="AK620" s="754"/>
      <c r="AL620" s="754"/>
      <c r="AM620" s="754"/>
      <c r="AN620" s="754"/>
      <c r="AO620" s="754"/>
      <c r="AP620" s="754"/>
      <c r="AQ620" s="754"/>
      <c r="AR620" s="754"/>
      <c r="AS620" s="754"/>
      <c r="AT620" s="754"/>
      <c r="AU620" s="754"/>
    </row>
    <row r="621" ht="15.75" customHeight="1">
      <c r="A621" s="792">
        <v>44482.0</v>
      </c>
      <c r="B621" s="756" t="s">
        <v>2606</v>
      </c>
      <c r="C621" s="745" t="s">
        <v>2376</v>
      </c>
      <c r="D621" s="745" t="s">
        <v>5902</v>
      </c>
      <c r="E621" s="757"/>
      <c r="F621" s="745" t="s">
        <v>2605</v>
      </c>
      <c r="G621" s="755" t="s">
        <v>2379</v>
      </c>
      <c r="H621" s="755" t="s">
        <v>29</v>
      </c>
      <c r="I621" s="755" t="s">
        <v>2392</v>
      </c>
      <c r="J621" s="755">
        <v>43609.0</v>
      </c>
      <c r="K621" s="758" t="s">
        <v>3664</v>
      </c>
      <c r="L621" s="754"/>
      <c r="M621" s="754"/>
      <c r="N621" s="754"/>
      <c r="O621" s="754"/>
      <c r="P621" s="754"/>
      <c r="Q621" s="754"/>
      <c r="R621" s="754"/>
      <c r="S621" s="754"/>
      <c r="T621" s="754"/>
      <c r="U621" s="754"/>
      <c r="V621" s="754"/>
      <c r="W621" s="754"/>
      <c r="X621" s="754"/>
      <c r="Y621" s="754"/>
      <c r="Z621" s="754"/>
      <c r="AA621" s="754"/>
      <c r="AB621" s="754"/>
      <c r="AC621" s="754"/>
      <c r="AD621" s="754"/>
      <c r="AE621" s="754"/>
      <c r="AF621" s="754"/>
      <c r="AG621" s="754"/>
      <c r="AH621" s="754"/>
      <c r="AI621" s="754"/>
      <c r="AJ621" s="754"/>
      <c r="AK621" s="754"/>
      <c r="AL621" s="754"/>
      <c r="AM621" s="754"/>
      <c r="AN621" s="754"/>
      <c r="AO621" s="754"/>
      <c r="AP621" s="754"/>
      <c r="AQ621" s="754"/>
      <c r="AR621" s="754"/>
      <c r="AS621" s="754"/>
      <c r="AT621" s="754"/>
      <c r="AU621" s="754"/>
    </row>
    <row r="622" ht="15.75" customHeight="1">
      <c r="A622" s="792">
        <v>44482.0</v>
      </c>
      <c r="B622" s="756" t="s">
        <v>2608</v>
      </c>
      <c r="C622" s="745" t="s">
        <v>2376</v>
      </c>
      <c r="D622" s="745" t="s">
        <v>5902</v>
      </c>
      <c r="E622" s="757"/>
      <c r="F622" s="745" t="s">
        <v>2605</v>
      </c>
      <c r="G622" s="755" t="s">
        <v>2379</v>
      </c>
      <c r="H622" s="755" t="s">
        <v>29</v>
      </c>
      <c r="I622" s="755" t="s">
        <v>2392</v>
      </c>
      <c r="J622" s="755">
        <v>43609.0</v>
      </c>
      <c r="K622" s="758" t="s">
        <v>3660</v>
      </c>
      <c r="L622" s="754"/>
      <c r="M622" s="754"/>
      <c r="N622" s="754"/>
      <c r="O622" s="754"/>
      <c r="P622" s="754"/>
      <c r="Q622" s="754"/>
      <c r="R622" s="754"/>
      <c r="S622" s="754"/>
      <c r="T622" s="754"/>
      <c r="U622" s="754"/>
      <c r="V622" s="754"/>
      <c r="W622" s="754"/>
      <c r="X622" s="754"/>
      <c r="Y622" s="754"/>
      <c r="Z622" s="754"/>
      <c r="AA622" s="754"/>
      <c r="AB622" s="754"/>
      <c r="AC622" s="754"/>
      <c r="AD622" s="754"/>
      <c r="AE622" s="754"/>
      <c r="AF622" s="754"/>
      <c r="AG622" s="754"/>
      <c r="AH622" s="754"/>
      <c r="AI622" s="754"/>
      <c r="AJ622" s="754"/>
      <c r="AK622" s="754"/>
      <c r="AL622" s="754"/>
      <c r="AM622" s="754"/>
      <c r="AN622" s="754"/>
      <c r="AO622" s="754"/>
      <c r="AP622" s="754"/>
      <c r="AQ622" s="754"/>
      <c r="AR622" s="754"/>
      <c r="AS622" s="754"/>
      <c r="AT622" s="754"/>
      <c r="AU622" s="754"/>
    </row>
    <row r="623" ht="15.75" customHeight="1">
      <c r="A623" s="792">
        <v>44482.0</v>
      </c>
      <c r="B623" s="756" t="s">
        <v>2593</v>
      </c>
      <c r="C623" s="745" t="s">
        <v>2376</v>
      </c>
      <c r="D623" s="745" t="s">
        <v>5902</v>
      </c>
      <c r="E623" s="757"/>
      <c r="F623" s="745"/>
      <c r="G623" s="755"/>
      <c r="H623" s="755"/>
      <c r="I623" s="755"/>
      <c r="J623" s="755"/>
      <c r="K623" s="758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54"/>
      <c r="AB623" s="754"/>
      <c r="AC623" s="754"/>
      <c r="AD623" s="754"/>
      <c r="AE623" s="754"/>
      <c r="AF623" s="754"/>
      <c r="AG623" s="754"/>
      <c r="AH623" s="754"/>
      <c r="AI623" s="754"/>
      <c r="AJ623" s="754"/>
      <c r="AK623" s="754"/>
      <c r="AL623" s="754"/>
      <c r="AM623" s="754"/>
      <c r="AN623" s="754"/>
      <c r="AO623" s="754"/>
      <c r="AP623" s="754"/>
      <c r="AQ623" s="754"/>
      <c r="AR623" s="754"/>
      <c r="AS623" s="754"/>
      <c r="AT623" s="754"/>
      <c r="AU623" s="754"/>
    </row>
    <row r="624" ht="15.75" customHeight="1">
      <c r="A624" s="792">
        <v>44482.0</v>
      </c>
      <c r="B624" s="756" t="s">
        <v>2428</v>
      </c>
      <c r="C624" s="745" t="s">
        <v>2376</v>
      </c>
      <c r="D624" s="745" t="s">
        <v>5902</v>
      </c>
      <c r="E624" s="757"/>
      <c r="F624" s="745" t="s">
        <v>2427</v>
      </c>
      <c r="G624" s="755" t="s">
        <v>2379</v>
      </c>
      <c r="H624" s="755" t="s">
        <v>29</v>
      </c>
      <c r="I624" s="755" t="s">
        <v>2380</v>
      </c>
      <c r="J624" s="755" t="s">
        <v>2429</v>
      </c>
      <c r="K624" s="758" t="s">
        <v>3651</v>
      </c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54"/>
      <c r="AB624" s="754"/>
      <c r="AC624" s="754"/>
      <c r="AD624" s="754"/>
      <c r="AE624" s="754"/>
      <c r="AF624" s="754"/>
      <c r="AG624" s="754"/>
      <c r="AH624" s="754"/>
      <c r="AI624" s="754"/>
      <c r="AJ624" s="754"/>
      <c r="AK624" s="754"/>
      <c r="AL624" s="754"/>
      <c r="AM624" s="754"/>
      <c r="AN624" s="754"/>
      <c r="AO624" s="754"/>
      <c r="AP624" s="754"/>
      <c r="AQ624" s="754"/>
      <c r="AR624" s="754"/>
      <c r="AS624" s="754"/>
      <c r="AT624" s="754"/>
      <c r="AU624" s="754"/>
    </row>
    <row r="625" ht="15.75" customHeight="1">
      <c r="A625" s="792">
        <v>44482.0</v>
      </c>
      <c r="B625" s="756" t="s">
        <v>5938</v>
      </c>
      <c r="C625" s="745" t="s">
        <v>3642</v>
      </c>
      <c r="D625" s="745" t="s">
        <v>5902</v>
      </c>
      <c r="E625" s="757">
        <v>0.0</v>
      </c>
      <c r="F625" s="745" t="s">
        <v>5078</v>
      </c>
      <c r="G625" s="745" t="s">
        <v>86</v>
      </c>
      <c r="H625" s="745" t="s">
        <v>29</v>
      </c>
      <c r="I625" s="745" t="s">
        <v>5079</v>
      </c>
      <c r="J625" s="755">
        <v>44105.0</v>
      </c>
      <c r="K625" s="762" t="s">
        <v>3664</v>
      </c>
      <c r="L625" s="754"/>
      <c r="M625" s="754"/>
      <c r="N625" s="754"/>
      <c r="O625" s="754"/>
      <c r="P625" s="754"/>
      <c r="Q625" s="754"/>
      <c r="R625" s="754"/>
      <c r="S625" s="754"/>
      <c r="T625" s="754"/>
      <c r="U625" s="754"/>
      <c r="V625" s="754"/>
      <c r="W625" s="754"/>
      <c r="X625" s="754"/>
      <c r="Y625" s="754"/>
      <c r="Z625" s="754"/>
      <c r="AA625" s="754"/>
      <c r="AB625" s="754"/>
      <c r="AC625" s="754"/>
      <c r="AD625" s="754"/>
      <c r="AE625" s="754"/>
      <c r="AF625" s="754"/>
      <c r="AG625" s="754"/>
      <c r="AH625" s="754"/>
      <c r="AI625" s="754"/>
      <c r="AJ625" s="754"/>
      <c r="AK625" s="754"/>
      <c r="AL625" s="754"/>
      <c r="AM625" s="754"/>
      <c r="AN625" s="754"/>
      <c r="AO625" s="754"/>
      <c r="AP625" s="754"/>
      <c r="AQ625" s="754"/>
      <c r="AR625" s="754"/>
      <c r="AS625" s="754"/>
      <c r="AT625" s="754"/>
      <c r="AU625" s="754"/>
    </row>
    <row r="626" ht="15.75" customHeight="1">
      <c r="A626" s="768">
        <v>44483.0</v>
      </c>
      <c r="B626" s="800" t="s">
        <v>2820</v>
      </c>
      <c r="C626" s="745" t="s">
        <v>2376</v>
      </c>
      <c r="D626" s="745" t="s">
        <v>2387</v>
      </c>
      <c r="E626" s="801">
        <v>73572.75</v>
      </c>
      <c r="F626" s="745" t="s">
        <v>2819</v>
      </c>
      <c r="G626" s="755" t="s">
        <v>2379</v>
      </c>
      <c r="H626" s="755" t="s">
        <v>29</v>
      </c>
      <c r="I626" s="755" t="s">
        <v>2380</v>
      </c>
      <c r="J626" s="755">
        <v>43875.0</v>
      </c>
      <c r="K626" s="758" t="s">
        <v>3660</v>
      </c>
      <c r="L626" s="754"/>
      <c r="M626" s="754"/>
      <c r="N626" s="754"/>
      <c r="O626" s="754"/>
      <c r="P626" s="754"/>
      <c r="Q626" s="754"/>
      <c r="R626" s="754"/>
      <c r="S626" s="754"/>
      <c r="T626" s="754"/>
      <c r="U626" s="754"/>
      <c r="V626" s="754"/>
      <c r="W626" s="754"/>
      <c r="X626" s="754"/>
      <c r="Y626" s="754"/>
      <c r="Z626" s="754"/>
      <c r="AA626" s="754"/>
      <c r="AB626" s="754"/>
      <c r="AC626" s="754"/>
      <c r="AD626" s="754"/>
      <c r="AE626" s="754"/>
      <c r="AF626" s="754"/>
      <c r="AG626" s="754"/>
      <c r="AH626" s="754"/>
      <c r="AI626" s="754"/>
      <c r="AJ626" s="754"/>
      <c r="AK626" s="754"/>
      <c r="AL626" s="754"/>
      <c r="AM626" s="754"/>
      <c r="AN626" s="754"/>
      <c r="AO626" s="754"/>
      <c r="AP626" s="754"/>
      <c r="AQ626" s="754"/>
      <c r="AR626" s="754"/>
      <c r="AS626" s="754"/>
      <c r="AT626" s="754"/>
      <c r="AU626" s="754"/>
    </row>
    <row r="627" ht="15.75" customHeight="1">
      <c r="A627" s="768">
        <v>44483.0</v>
      </c>
      <c r="B627" s="800" t="s">
        <v>2919</v>
      </c>
      <c r="C627" s="745" t="s">
        <v>2376</v>
      </c>
      <c r="D627" s="745" t="s">
        <v>5903</v>
      </c>
      <c r="E627" s="794">
        <v>10000.0</v>
      </c>
      <c r="F627" s="745" t="s">
        <v>2918</v>
      </c>
      <c r="G627" s="755" t="s">
        <v>18</v>
      </c>
      <c r="H627" s="755" t="s">
        <v>145</v>
      </c>
      <c r="I627" s="755" t="s">
        <v>146</v>
      </c>
      <c r="J627" s="755">
        <v>44295.0</v>
      </c>
      <c r="K627" s="758" t="s">
        <v>3657</v>
      </c>
      <c r="L627" s="754"/>
      <c r="M627" s="754"/>
      <c r="N627" s="754"/>
      <c r="O627" s="754"/>
      <c r="P627" s="754"/>
      <c r="Q627" s="754"/>
      <c r="R627" s="754"/>
      <c r="S627" s="754"/>
      <c r="T627" s="754"/>
      <c r="U627" s="754"/>
      <c r="V627" s="754"/>
      <c r="W627" s="754"/>
      <c r="X627" s="754"/>
      <c r="Y627" s="754"/>
      <c r="Z627" s="754"/>
      <c r="AA627" s="754"/>
      <c r="AB627" s="754"/>
      <c r="AC627" s="754"/>
      <c r="AD627" s="754"/>
      <c r="AE627" s="754"/>
      <c r="AF627" s="754"/>
      <c r="AG627" s="754"/>
      <c r="AH627" s="754"/>
      <c r="AI627" s="754"/>
      <c r="AJ627" s="754"/>
      <c r="AK627" s="754"/>
      <c r="AL627" s="754"/>
      <c r="AM627" s="754"/>
      <c r="AN627" s="754"/>
      <c r="AO627" s="754"/>
      <c r="AP627" s="754"/>
      <c r="AQ627" s="754"/>
      <c r="AR627" s="754"/>
      <c r="AS627" s="754"/>
      <c r="AT627" s="754"/>
      <c r="AU627" s="754"/>
    </row>
    <row r="628" ht="15.75" customHeight="1">
      <c r="A628" s="768">
        <v>44484.0</v>
      </c>
      <c r="B628" s="773" t="s">
        <v>2804</v>
      </c>
      <c r="C628" s="770" t="s">
        <v>2376</v>
      </c>
      <c r="D628" s="745" t="s">
        <v>5902</v>
      </c>
      <c r="E628" s="802">
        <v>161212.56</v>
      </c>
      <c r="F628" s="745" t="s">
        <v>2803</v>
      </c>
      <c r="G628" s="755" t="s">
        <v>18</v>
      </c>
      <c r="H628" s="755" t="s">
        <v>145</v>
      </c>
      <c r="I628" s="755" t="s">
        <v>171</v>
      </c>
      <c r="J628" s="755">
        <v>44319.0</v>
      </c>
      <c r="K628" s="758" t="s">
        <v>3647</v>
      </c>
      <c r="L628" s="754"/>
      <c r="M628" s="754"/>
      <c r="N628" s="754"/>
      <c r="O628" s="754"/>
      <c r="P628" s="754"/>
      <c r="Q628" s="754"/>
      <c r="R628" s="754"/>
      <c r="S628" s="754"/>
      <c r="T628" s="754"/>
      <c r="U628" s="754"/>
      <c r="V628" s="754"/>
      <c r="W628" s="754"/>
      <c r="X628" s="754"/>
      <c r="Y628" s="754"/>
      <c r="Z628" s="754"/>
      <c r="AA628" s="754"/>
      <c r="AB628" s="754"/>
      <c r="AC628" s="754"/>
      <c r="AD628" s="754"/>
      <c r="AE628" s="754"/>
      <c r="AF628" s="754"/>
      <c r="AG628" s="754"/>
      <c r="AH628" s="754"/>
      <c r="AI628" s="754"/>
      <c r="AJ628" s="754"/>
      <c r="AK628" s="754"/>
      <c r="AL628" s="754"/>
      <c r="AM628" s="754"/>
      <c r="AN628" s="754"/>
      <c r="AO628" s="754"/>
      <c r="AP628" s="754"/>
      <c r="AQ628" s="754"/>
      <c r="AR628" s="754"/>
      <c r="AS628" s="754"/>
      <c r="AT628" s="754"/>
      <c r="AU628" s="754"/>
    </row>
    <row r="629" ht="15.75" customHeight="1">
      <c r="A629" s="792">
        <v>44484.0</v>
      </c>
      <c r="B629" s="756" t="s">
        <v>3355</v>
      </c>
      <c r="C629" s="745" t="s">
        <v>2376</v>
      </c>
      <c r="D629" s="745" t="s">
        <v>5902</v>
      </c>
      <c r="E629" s="757"/>
      <c r="F629" s="745" t="s">
        <v>3354</v>
      </c>
      <c r="G629" s="755" t="s">
        <v>2379</v>
      </c>
      <c r="H629" s="755" t="s">
        <v>29</v>
      </c>
      <c r="I629" s="755" t="s">
        <v>2392</v>
      </c>
      <c r="J629" s="755" t="s">
        <v>2429</v>
      </c>
      <c r="K629" s="758" t="s">
        <v>3660</v>
      </c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54"/>
      <c r="AB629" s="754"/>
      <c r="AC629" s="754"/>
      <c r="AD629" s="754"/>
      <c r="AE629" s="754"/>
      <c r="AF629" s="754"/>
      <c r="AG629" s="754"/>
      <c r="AH629" s="754"/>
      <c r="AI629" s="754"/>
      <c r="AJ629" s="754"/>
      <c r="AK629" s="754"/>
      <c r="AL629" s="754"/>
      <c r="AM629" s="754"/>
      <c r="AN629" s="754"/>
      <c r="AO629" s="754"/>
      <c r="AP629" s="754"/>
      <c r="AQ629" s="754"/>
      <c r="AR629" s="754"/>
      <c r="AS629" s="754"/>
      <c r="AT629" s="754"/>
      <c r="AU629" s="754"/>
    </row>
    <row r="630" ht="15.75" customHeight="1">
      <c r="A630" s="792">
        <v>44484.0</v>
      </c>
      <c r="B630" s="756" t="s">
        <v>3358</v>
      </c>
      <c r="C630" s="745" t="s">
        <v>2376</v>
      </c>
      <c r="D630" s="745" t="s">
        <v>5902</v>
      </c>
      <c r="E630" s="757"/>
      <c r="F630" s="745" t="s">
        <v>3354</v>
      </c>
      <c r="G630" s="755" t="s">
        <v>2379</v>
      </c>
      <c r="H630" s="755" t="s">
        <v>29</v>
      </c>
      <c r="I630" s="755" t="s">
        <v>2392</v>
      </c>
      <c r="J630" s="755" t="s">
        <v>2429</v>
      </c>
      <c r="K630" s="758" t="s">
        <v>3664</v>
      </c>
      <c r="L630" s="754"/>
      <c r="M630" s="754"/>
      <c r="N630" s="754"/>
      <c r="O630" s="754"/>
      <c r="P630" s="754"/>
      <c r="Q630" s="754"/>
      <c r="R630" s="754"/>
      <c r="S630" s="754"/>
      <c r="T630" s="754"/>
      <c r="U630" s="754"/>
      <c r="V630" s="754"/>
      <c r="W630" s="754"/>
      <c r="X630" s="754"/>
      <c r="Y630" s="754"/>
      <c r="Z630" s="754"/>
      <c r="AA630" s="754"/>
      <c r="AB630" s="754"/>
      <c r="AC630" s="754"/>
      <c r="AD630" s="754"/>
      <c r="AE630" s="754"/>
      <c r="AF630" s="754"/>
      <c r="AG630" s="754"/>
      <c r="AH630" s="754"/>
      <c r="AI630" s="754"/>
      <c r="AJ630" s="754"/>
      <c r="AK630" s="754"/>
      <c r="AL630" s="754"/>
      <c r="AM630" s="754"/>
      <c r="AN630" s="754"/>
      <c r="AO630" s="754"/>
      <c r="AP630" s="754"/>
      <c r="AQ630" s="754"/>
      <c r="AR630" s="754"/>
      <c r="AS630" s="754"/>
      <c r="AT630" s="754"/>
      <c r="AU630" s="754"/>
    </row>
    <row r="631" ht="15.75" customHeight="1">
      <c r="A631" s="792">
        <v>44484.0</v>
      </c>
      <c r="B631" s="796" t="s">
        <v>3260</v>
      </c>
      <c r="C631" s="745" t="s">
        <v>2376</v>
      </c>
      <c r="D631" s="745" t="s">
        <v>5902</v>
      </c>
      <c r="E631" s="757">
        <v>1.47</v>
      </c>
      <c r="F631" s="745" t="s">
        <v>3259</v>
      </c>
      <c r="G631" s="755" t="s">
        <v>2379</v>
      </c>
      <c r="H631" s="755" t="s">
        <v>29</v>
      </c>
      <c r="I631" s="755" t="s">
        <v>2392</v>
      </c>
      <c r="J631" s="755">
        <v>43861.0</v>
      </c>
      <c r="K631" s="758" t="s">
        <v>3660</v>
      </c>
      <c r="L631" s="754"/>
      <c r="M631" s="754"/>
      <c r="N631" s="754"/>
      <c r="O631" s="754"/>
      <c r="P631" s="754"/>
      <c r="Q631" s="754"/>
      <c r="R631" s="754"/>
      <c r="S631" s="754"/>
      <c r="T631" s="754"/>
      <c r="U631" s="754"/>
      <c r="V631" s="754"/>
      <c r="W631" s="754"/>
      <c r="X631" s="754"/>
      <c r="Y631" s="754"/>
      <c r="Z631" s="754"/>
      <c r="AA631" s="754"/>
      <c r="AB631" s="754"/>
      <c r="AC631" s="754"/>
      <c r="AD631" s="754"/>
      <c r="AE631" s="754"/>
      <c r="AF631" s="754"/>
      <c r="AG631" s="754"/>
      <c r="AH631" s="754"/>
      <c r="AI631" s="754"/>
      <c r="AJ631" s="754"/>
      <c r="AK631" s="754"/>
      <c r="AL631" s="754"/>
      <c r="AM631" s="754"/>
      <c r="AN631" s="754"/>
      <c r="AO631" s="754"/>
      <c r="AP631" s="754"/>
      <c r="AQ631" s="754"/>
      <c r="AR631" s="754"/>
      <c r="AS631" s="754"/>
      <c r="AT631" s="754"/>
      <c r="AU631" s="754"/>
    </row>
    <row r="632" ht="15.75" customHeight="1">
      <c r="A632" s="792">
        <v>44484.0</v>
      </c>
      <c r="B632" s="756" t="s">
        <v>3110</v>
      </c>
      <c r="C632" s="745" t="s">
        <v>2376</v>
      </c>
      <c r="D632" s="745" t="s">
        <v>5902</v>
      </c>
      <c r="E632" s="757">
        <v>2.93</v>
      </c>
      <c r="F632" s="745" t="s">
        <v>3109</v>
      </c>
      <c r="G632" s="755" t="s">
        <v>2379</v>
      </c>
      <c r="H632" s="755" t="s">
        <v>29</v>
      </c>
      <c r="I632" s="755" t="s">
        <v>2392</v>
      </c>
      <c r="J632" s="755">
        <v>43622.0</v>
      </c>
      <c r="K632" s="758" t="s">
        <v>3660</v>
      </c>
      <c r="L632" s="754"/>
      <c r="M632" s="754"/>
      <c r="N632" s="754"/>
      <c r="O632" s="754"/>
      <c r="P632" s="754"/>
      <c r="Q632" s="754"/>
      <c r="R632" s="754"/>
      <c r="S632" s="754"/>
      <c r="T632" s="754"/>
      <c r="U632" s="754"/>
      <c r="V632" s="754"/>
      <c r="W632" s="754"/>
      <c r="X632" s="754"/>
      <c r="Y632" s="754"/>
      <c r="Z632" s="754"/>
      <c r="AA632" s="754"/>
      <c r="AB632" s="754"/>
      <c r="AC632" s="754"/>
      <c r="AD632" s="754"/>
      <c r="AE632" s="754"/>
      <c r="AF632" s="754"/>
      <c r="AG632" s="754"/>
      <c r="AH632" s="754"/>
      <c r="AI632" s="754"/>
      <c r="AJ632" s="754"/>
      <c r="AK632" s="754"/>
      <c r="AL632" s="754"/>
      <c r="AM632" s="754"/>
      <c r="AN632" s="754"/>
      <c r="AO632" s="754"/>
      <c r="AP632" s="754"/>
      <c r="AQ632" s="754"/>
      <c r="AR632" s="754"/>
      <c r="AS632" s="754"/>
      <c r="AT632" s="754"/>
      <c r="AU632" s="754"/>
    </row>
    <row r="633" ht="15.75" customHeight="1">
      <c r="A633" s="792">
        <v>44484.0</v>
      </c>
      <c r="B633" s="756" t="s">
        <v>3112</v>
      </c>
      <c r="C633" s="745" t="s">
        <v>2376</v>
      </c>
      <c r="D633" s="745" t="s">
        <v>5902</v>
      </c>
      <c r="E633" s="757"/>
      <c r="F633" s="745" t="s">
        <v>3109</v>
      </c>
      <c r="G633" s="755" t="s">
        <v>2379</v>
      </c>
      <c r="H633" s="755" t="s">
        <v>29</v>
      </c>
      <c r="I633" s="755" t="s">
        <v>2392</v>
      </c>
      <c r="J633" s="755">
        <v>43622.0</v>
      </c>
      <c r="K633" s="758" t="s">
        <v>3651</v>
      </c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54"/>
      <c r="AB633" s="754"/>
      <c r="AC633" s="754"/>
      <c r="AD633" s="754"/>
      <c r="AE633" s="754"/>
      <c r="AF633" s="754"/>
      <c r="AG633" s="754"/>
      <c r="AH633" s="754"/>
      <c r="AI633" s="754"/>
      <c r="AJ633" s="754"/>
      <c r="AK633" s="754"/>
      <c r="AL633" s="754"/>
      <c r="AM633" s="754"/>
      <c r="AN633" s="754"/>
      <c r="AO633" s="754"/>
      <c r="AP633" s="754"/>
      <c r="AQ633" s="754"/>
      <c r="AR633" s="754"/>
      <c r="AS633" s="754"/>
      <c r="AT633" s="754"/>
      <c r="AU633" s="754"/>
    </row>
    <row r="634" ht="15.75" customHeight="1">
      <c r="A634" s="792">
        <v>44484.0</v>
      </c>
      <c r="B634" s="796" t="s">
        <v>3066</v>
      </c>
      <c r="C634" s="745" t="s">
        <v>2376</v>
      </c>
      <c r="D634" s="745" t="s">
        <v>5902</v>
      </c>
      <c r="E634" s="757">
        <v>0.22</v>
      </c>
      <c r="F634" s="745" t="s">
        <v>3065</v>
      </c>
      <c r="G634" s="755" t="s">
        <v>2379</v>
      </c>
      <c r="H634" s="755" t="s">
        <v>29</v>
      </c>
      <c r="I634" s="755" t="s">
        <v>2379</v>
      </c>
      <c r="J634" s="755">
        <v>44036.0</v>
      </c>
      <c r="K634" s="758" t="s">
        <v>3660</v>
      </c>
      <c r="L634" s="754"/>
      <c r="M634" s="754"/>
      <c r="N634" s="754"/>
      <c r="O634" s="754"/>
      <c r="P634" s="754"/>
      <c r="Q634" s="754"/>
      <c r="R634" s="754"/>
      <c r="S634" s="754"/>
      <c r="T634" s="754"/>
      <c r="U634" s="754"/>
      <c r="V634" s="754"/>
      <c r="W634" s="754"/>
      <c r="X634" s="754"/>
      <c r="Y634" s="754"/>
      <c r="Z634" s="754"/>
      <c r="AA634" s="754"/>
      <c r="AB634" s="754"/>
      <c r="AC634" s="754"/>
      <c r="AD634" s="754"/>
      <c r="AE634" s="754"/>
      <c r="AF634" s="754"/>
      <c r="AG634" s="754"/>
      <c r="AH634" s="754"/>
      <c r="AI634" s="754"/>
      <c r="AJ634" s="754"/>
      <c r="AK634" s="754"/>
      <c r="AL634" s="754"/>
      <c r="AM634" s="754"/>
      <c r="AN634" s="754"/>
      <c r="AO634" s="754"/>
      <c r="AP634" s="754"/>
      <c r="AQ634" s="754"/>
      <c r="AR634" s="754"/>
      <c r="AS634" s="754"/>
      <c r="AT634" s="754"/>
      <c r="AU634" s="754"/>
    </row>
    <row r="635" ht="15.75" customHeight="1">
      <c r="A635" s="792">
        <v>44484.0</v>
      </c>
      <c r="B635" s="756" t="s">
        <v>3007</v>
      </c>
      <c r="C635" s="745" t="s">
        <v>2376</v>
      </c>
      <c r="D635" s="745" t="s">
        <v>5902</v>
      </c>
      <c r="E635" s="757"/>
      <c r="F635" s="745" t="s">
        <v>3006</v>
      </c>
      <c r="G635" s="755" t="s">
        <v>2379</v>
      </c>
      <c r="H635" s="755" t="s">
        <v>29</v>
      </c>
      <c r="I635" s="755" t="s">
        <v>2392</v>
      </c>
      <c r="J635" s="755" t="s">
        <v>2429</v>
      </c>
      <c r="K635" s="758" t="s">
        <v>3660</v>
      </c>
      <c r="L635" s="754"/>
      <c r="M635" s="754"/>
      <c r="N635" s="754"/>
      <c r="O635" s="754"/>
      <c r="P635" s="754"/>
      <c r="Q635" s="754"/>
      <c r="R635" s="754"/>
      <c r="S635" s="754"/>
      <c r="T635" s="754"/>
      <c r="U635" s="754"/>
      <c r="V635" s="754"/>
      <c r="W635" s="754"/>
      <c r="X635" s="754"/>
      <c r="Y635" s="754"/>
      <c r="Z635" s="754"/>
      <c r="AA635" s="754"/>
      <c r="AB635" s="754"/>
      <c r="AC635" s="754"/>
      <c r="AD635" s="754"/>
      <c r="AE635" s="754"/>
      <c r="AF635" s="754"/>
      <c r="AG635" s="754"/>
      <c r="AH635" s="754"/>
      <c r="AI635" s="754"/>
      <c r="AJ635" s="754"/>
      <c r="AK635" s="754"/>
      <c r="AL635" s="754"/>
      <c r="AM635" s="754"/>
      <c r="AN635" s="754"/>
      <c r="AO635" s="754"/>
      <c r="AP635" s="754"/>
      <c r="AQ635" s="754"/>
      <c r="AR635" s="754"/>
      <c r="AS635" s="754"/>
      <c r="AT635" s="754"/>
      <c r="AU635" s="754"/>
    </row>
    <row r="636" ht="15.75" customHeight="1">
      <c r="A636" s="792">
        <v>44484.0</v>
      </c>
      <c r="B636" s="796" t="s">
        <v>2974</v>
      </c>
      <c r="C636" s="745" t="s">
        <v>2376</v>
      </c>
      <c r="D636" s="745" t="s">
        <v>5902</v>
      </c>
      <c r="E636" s="757">
        <v>146.69</v>
      </c>
      <c r="F636" s="745" t="s">
        <v>2973</v>
      </c>
      <c r="G636" s="755" t="s">
        <v>2379</v>
      </c>
      <c r="H636" s="755" t="s">
        <v>29</v>
      </c>
      <c r="I636" s="755" t="s">
        <v>2380</v>
      </c>
      <c r="J636" s="755">
        <v>43732.0</v>
      </c>
      <c r="K636" s="758" t="s">
        <v>4033</v>
      </c>
      <c r="L636" s="754"/>
      <c r="M636" s="754"/>
      <c r="N636" s="754"/>
      <c r="O636" s="754"/>
      <c r="P636" s="754"/>
      <c r="Q636" s="754"/>
      <c r="R636" s="754"/>
      <c r="S636" s="754"/>
      <c r="T636" s="754"/>
      <c r="U636" s="754"/>
      <c r="V636" s="754"/>
      <c r="W636" s="754"/>
      <c r="X636" s="754"/>
      <c r="Y636" s="754"/>
      <c r="Z636" s="754"/>
      <c r="AA636" s="754"/>
      <c r="AB636" s="754"/>
      <c r="AC636" s="754"/>
      <c r="AD636" s="754"/>
      <c r="AE636" s="754"/>
      <c r="AF636" s="754"/>
      <c r="AG636" s="754"/>
      <c r="AH636" s="754"/>
      <c r="AI636" s="754"/>
      <c r="AJ636" s="754"/>
      <c r="AK636" s="754"/>
      <c r="AL636" s="754"/>
      <c r="AM636" s="754"/>
      <c r="AN636" s="754"/>
      <c r="AO636" s="754"/>
      <c r="AP636" s="754"/>
      <c r="AQ636" s="754"/>
      <c r="AR636" s="754"/>
      <c r="AS636" s="754"/>
      <c r="AT636" s="754"/>
      <c r="AU636" s="754"/>
    </row>
    <row r="637" ht="15.75" customHeight="1">
      <c r="A637" s="792">
        <v>44484.0</v>
      </c>
      <c r="B637" s="756" t="s">
        <v>2916</v>
      </c>
      <c r="C637" s="745" t="s">
        <v>2376</v>
      </c>
      <c r="D637" s="745" t="s">
        <v>5902</v>
      </c>
      <c r="E637" s="757">
        <v>78.0</v>
      </c>
      <c r="F637" s="745" t="s">
        <v>2915</v>
      </c>
      <c r="G637" s="755" t="s">
        <v>2379</v>
      </c>
      <c r="H637" s="755" t="s">
        <v>29</v>
      </c>
      <c r="I637" s="755" t="s">
        <v>2392</v>
      </c>
      <c r="J637" s="755">
        <v>43853.0</v>
      </c>
      <c r="K637" s="758" t="s">
        <v>3651</v>
      </c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54"/>
      <c r="AB637" s="754"/>
      <c r="AC637" s="754"/>
      <c r="AD637" s="754"/>
      <c r="AE637" s="754"/>
      <c r="AF637" s="754"/>
      <c r="AG637" s="754"/>
      <c r="AH637" s="754"/>
      <c r="AI637" s="754"/>
      <c r="AJ637" s="754"/>
      <c r="AK637" s="754"/>
      <c r="AL637" s="754"/>
      <c r="AM637" s="754"/>
      <c r="AN637" s="754"/>
      <c r="AO637" s="754"/>
      <c r="AP637" s="754"/>
      <c r="AQ637" s="754"/>
      <c r="AR637" s="754"/>
      <c r="AS637" s="754"/>
      <c r="AT637" s="754"/>
      <c r="AU637" s="754"/>
    </row>
    <row r="638" ht="15.75" customHeight="1">
      <c r="A638" s="768">
        <v>44488.0</v>
      </c>
      <c r="B638" s="803" t="s">
        <v>6017</v>
      </c>
      <c r="C638" s="770" t="s">
        <v>3642</v>
      </c>
      <c r="D638" s="745" t="s">
        <v>2387</v>
      </c>
      <c r="E638" s="802">
        <v>44080.95</v>
      </c>
      <c r="F638" s="745" t="s">
        <v>4103</v>
      </c>
      <c r="G638" s="745" t="s">
        <v>86</v>
      </c>
      <c r="H638" s="745" t="s">
        <v>29</v>
      </c>
      <c r="I638" s="745" t="s">
        <v>6018</v>
      </c>
      <c r="J638" s="755">
        <v>44537.0</v>
      </c>
      <c r="K638" s="762" t="s">
        <v>3647</v>
      </c>
      <c r="L638" s="754"/>
      <c r="M638" s="754"/>
      <c r="N638" s="754"/>
      <c r="O638" s="754"/>
      <c r="P638" s="754"/>
      <c r="Q638" s="754"/>
      <c r="R638" s="754"/>
      <c r="S638" s="754"/>
      <c r="T638" s="754"/>
      <c r="U638" s="754"/>
      <c r="V638" s="754"/>
      <c r="W638" s="754"/>
      <c r="X638" s="754"/>
      <c r="Y638" s="754"/>
      <c r="Z638" s="754"/>
      <c r="AA638" s="754"/>
      <c r="AB638" s="754"/>
      <c r="AC638" s="754"/>
      <c r="AD638" s="754"/>
      <c r="AE638" s="754"/>
      <c r="AF638" s="754"/>
      <c r="AG638" s="754"/>
      <c r="AH638" s="754"/>
      <c r="AI638" s="754"/>
      <c r="AJ638" s="754"/>
      <c r="AK638" s="754"/>
      <c r="AL638" s="754"/>
      <c r="AM638" s="754"/>
      <c r="AN638" s="754"/>
      <c r="AO638" s="754"/>
      <c r="AP638" s="754"/>
      <c r="AQ638" s="754"/>
      <c r="AR638" s="754"/>
      <c r="AS638" s="754"/>
      <c r="AT638" s="754"/>
      <c r="AU638" s="754"/>
    </row>
    <row r="639" ht="15.75" customHeight="1">
      <c r="A639" s="768">
        <v>44489.0</v>
      </c>
      <c r="B639" s="800" t="s">
        <v>2652</v>
      </c>
      <c r="C639" s="770" t="s">
        <v>2376</v>
      </c>
      <c r="D639" s="745" t="s">
        <v>5903</v>
      </c>
      <c r="E639" s="802">
        <v>70000.0</v>
      </c>
      <c r="F639" s="745" t="s">
        <v>2651</v>
      </c>
      <c r="G639" s="755" t="s">
        <v>18</v>
      </c>
      <c r="H639" s="755" t="s">
        <v>145</v>
      </c>
      <c r="I639" s="755" t="s">
        <v>171</v>
      </c>
      <c r="J639" s="755">
        <v>44393.0</v>
      </c>
      <c r="K639" s="758" t="s">
        <v>4174</v>
      </c>
      <c r="L639" s="754"/>
      <c r="M639" s="754"/>
      <c r="N639" s="754"/>
      <c r="O639" s="754"/>
      <c r="P639" s="754"/>
      <c r="Q639" s="754"/>
      <c r="R639" s="754"/>
      <c r="S639" s="754"/>
      <c r="T639" s="754"/>
      <c r="U639" s="754"/>
      <c r="V639" s="754"/>
      <c r="W639" s="754"/>
      <c r="X639" s="754"/>
      <c r="Y639" s="754"/>
      <c r="Z639" s="754"/>
      <c r="AA639" s="754"/>
      <c r="AB639" s="754"/>
      <c r="AC639" s="754"/>
      <c r="AD639" s="754"/>
      <c r="AE639" s="754"/>
      <c r="AF639" s="754"/>
      <c r="AG639" s="754"/>
      <c r="AH639" s="754"/>
      <c r="AI639" s="754"/>
      <c r="AJ639" s="754"/>
      <c r="AK639" s="754"/>
      <c r="AL639" s="754"/>
      <c r="AM639" s="754"/>
      <c r="AN639" s="754"/>
      <c r="AO639" s="754"/>
      <c r="AP639" s="754"/>
      <c r="AQ639" s="754"/>
      <c r="AR639" s="754"/>
      <c r="AS639" s="754"/>
      <c r="AT639" s="754"/>
      <c r="AU639" s="754"/>
    </row>
    <row r="640" ht="15.75" customHeight="1">
      <c r="A640" s="768">
        <v>44489.0</v>
      </c>
      <c r="B640" s="800" t="s">
        <v>6019</v>
      </c>
      <c r="C640" s="770" t="s">
        <v>3642</v>
      </c>
      <c r="D640" s="745" t="s">
        <v>5903</v>
      </c>
      <c r="E640" s="802">
        <v>100000.0</v>
      </c>
      <c r="F640" s="804" t="s">
        <v>2915</v>
      </c>
      <c r="G640" s="745" t="s">
        <v>2379</v>
      </c>
      <c r="H640" s="745" t="s">
        <v>29</v>
      </c>
      <c r="I640" s="745" t="s">
        <v>2379</v>
      </c>
      <c r="J640" s="745" t="s">
        <v>6020</v>
      </c>
      <c r="K640" s="762" t="s">
        <v>3660</v>
      </c>
      <c r="L640" s="754"/>
      <c r="M640" s="754"/>
      <c r="N640" s="754"/>
      <c r="O640" s="754"/>
      <c r="P640" s="754"/>
      <c r="Q640" s="754"/>
      <c r="R640" s="754"/>
      <c r="S640" s="754"/>
      <c r="T640" s="754"/>
      <c r="U640" s="754"/>
      <c r="V640" s="754"/>
      <c r="W640" s="754"/>
      <c r="X640" s="754"/>
      <c r="Y640" s="754"/>
      <c r="Z640" s="754"/>
      <c r="AA640" s="754"/>
      <c r="AB640" s="754"/>
      <c r="AC640" s="754"/>
      <c r="AD640" s="754"/>
      <c r="AE640" s="754"/>
      <c r="AF640" s="754"/>
      <c r="AG640" s="754"/>
      <c r="AH640" s="754"/>
      <c r="AI640" s="754"/>
      <c r="AJ640" s="754"/>
      <c r="AK640" s="754"/>
      <c r="AL640" s="754"/>
      <c r="AM640" s="754"/>
      <c r="AN640" s="754"/>
      <c r="AO640" s="754"/>
      <c r="AP640" s="754"/>
      <c r="AQ640" s="754"/>
      <c r="AR640" s="754"/>
      <c r="AS640" s="754"/>
      <c r="AT640" s="754"/>
      <c r="AU640" s="754"/>
    </row>
    <row r="641" ht="15.75" customHeight="1">
      <c r="A641" s="768">
        <v>44489.0</v>
      </c>
      <c r="B641" s="769" t="s">
        <v>6021</v>
      </c>
      <c r="C641" s="770" t="s">
        <v>3642</v>
      </c>
      <c r="D641" s="745" t="s">
        <v>5902</v>
      </c>
      <c r="E641" s="802">
        <v>90625.34</v>
      </c>
      <c r="F641" s="745" t="s">
        <v>4915</v>
      </c>
      <c r="G641" s="745" t="s">
        <v>18</v>
      </c>
      <c r="H641" s="745" t="s">
        <v>19</v>
      </c>
      <c r="I641" s="745" t="s">
        <v>230</v>
      </c>
      <c r="J641" s="755">
        <v>44362.0</v>
      </c>
      <c r="K641" s="762" t="s">
        <v>3647</v>
      </c>
      <c r="L641" s="754"/>
      <c r="M641" s="754"/>
      <c r="N641" s="754"/>
      <c r="O641" s="754"/>
      <c r="P641" s="754"/>
      <c r="Q641" s="754"/>
      <c r="R641" s="754"/>
      <c r="S641" s="754"/>
      <c r="T641" s="754"/>
      <c r="U641" s="754"/>
      <c r="V641" s="754"/>
      <c r="W641" s="754"/>
      <c r="X641" s="754"/>
      <c r="Y641" s="754"/>
      <c r="Z641" s="754"/>
      <c r="AA641" s="754"/>
      <c r="AB641" s="754"/>
      <c r="AC641" s="754"/>
      <c r="AD641" s="754"/>
      <c r="AE641" s="754"/>
      <c r="AF641" s="754"/>
      <c r="AG641" s="754"/>
      <c r="AH641" s="754"/>
      <c r="AI641" s="754"/>
      <c r="AJ641" s="754"/>
      <c r="AK641" s="754"/>
      <c r="AL641" s="754"/>
      <c r="AM641" s="754"/>
      <c r="AN641" s="754"/>
      <c r="AO641" s="754"/>
      <c r="AP641" s="754"/>
      <c r="AQ641" s="754"/>
      <c r="AR641" s="754"/>
      <c r="AS641" s="754"/>
      <c r="AT641" s="754"/>
      <c r="AU641" s="754"/>
    </row>
    <row r="642" ht="15.75" customHeight="1">
      <c r="A642" s="768">
        <v>44490.0</v>
      </c>
      <c r="B642" s="803" t="s">
        <v>5941</v>
      </c>
      <c r="C642" s="770" t="s">
        <v>3642</v>
      </c>
      <c r="D642" s="745" t="s">
        <v>5903</v>
      </c>
      <c r="E642" s="802">
        <v>16000.0</v>
      </c>
      <c r="F642" s="745" t="s">
        <v>4928</v>
      </c>
      <c r="G642" s="745" t="s">
        <v>86</v>
      </c>
      <c r="H642" s="745" t="s">
        <v>29</v>
      </c>
      <c r="I642" s="745" t="s">
        <v>4314</v>
      </c>
      <c r="J642" s="755">
        <v>44180.0</v>
      </c>
      <c r="K642" s="762" t="s">
        <v>3651</v>
      </c>
      <c r="L642" s="754"/>
      <c r="M642" s="754"/>
      <c r="N642" s="754"/>
      <c r="O642" s="754"/>
      <c r="P642" s="754"/>
      <c r="Q642" s="754"/>
      <c r="R642" s="754"/>
      <c r="S642" s="754"/>
      <c r="T642" s="754"/>
      <c r="U642" s="754"/>
      <c r="V642" s="754"/>
      <c r="W642" s="754"/>
      <c r="X642" s="754"/>
      <c r="Y642" s="754"/>
      <c r="Z642" s="754"/>
      <c r="AA642" s="754"/>
      <c r="AB642" s="754"/>
      <c r="AC642" s="754"/>
      <c r="AD642" s="754"/>
      <c r="AE642" s="754"/>
      <c r="AF642" s="754"/>
      <c r="AG642" s="754"/>
      <c r="AH642" s="754"/>
      <c r="AI642" s="754"/>
      <c r="AJ642" s="754"/>
      <c r="AK642" s="754"/>
      <c r="AL642" s="754"/>
      <c r="AM642" s="754"/>
      <c r="AN642" s="754"/>
      <c r="AO642" s="754"/>
      <c r="AP642" s="754"/>
      <c r="AQ642" s="754"/>
      <c r="AR642" s="754"/>
      <c r="AS642" s="754"/>
      <c r="AT642" s="754"/>
      <c r="AU642" s="754"/>
    </row>
    <row r="643" ht="15.75" customHeight="1">
      <c r="A643" s="768">
        <v>44490.0</v>
      </c>
      <c r="B643" s="805" t="s">
        <v>6022</v>
      </c>
      <c r="C643" s="770" t="s">
        <v>3642</v>
      </c>
      <c r="D643" s="745" t="s">
        <v>5902</v>
      </c>
      <c r="E643" s="802">
        <v>661576.63</v>
      </c>
      <c r="F643" s="745" t="s">
        <v>5180</v>
      </c>
      <c r="G643" s="745" t="s">
        <v>86</v>
      </c>
      <c r="H643" s="745" t="s">
        <v>29</v>
      </c>
      <c r="I643" s="745" t="s">
        <v>3972</v>
      </c>
      <c r="J643" s="755">
        <v>44490.0</v>
      </c>
      <c r="K643" s="762" t="s">
        <v>3647</v>
      </c>
      <c r="L643" s="754"/>
      <c r="M643" s="754"/>
      <c r="N643" s="754"/>
      <c r="O643" s="754"/>
      <c r="P643" s="754"/>
      <c r="Q643" s="754"/>
      <c r="R643" s="754"/>
      <c r="S643" s="754"/>
      <c r="T643" s="754"/>
      <c r="U643" s="754"/>
      <c r="V643" s="754"/>
      <c r="W643" s="754"/>
      <c r="X643" s="754"/>
      <c r="Y643" s="754"/>
      <c r="Z643" s="754"/>
      <c r="AA643" s="754"/>
      <c r="AB643" s="754"/>
      <c r="AC643" s="754"/>
      <c r="AD643" s="754"/>
      <c r="AE643" s="754"/>
      <c r="AF643" s="754"/>
      <c r="AG643" s="754"/>
      <c r="AH643" s="754"/>
      <c r="AI643" s="754"/>
      <c r="AJ643" s="754"/>
      <c r="AK643" s="754"/>
      <c r="AL643" s="754"/>
      <c r="AM643" s="754"/>
      <c r="AN643" s="754"/>
      <c r="AO643" s="754"/>
      <c r="AP643" s="754"/>
      <c r="AQ643" s="754"/>
      <c r="AR643" s="754"/>
      <c r="AS643" s="754"/>
      <c r="AT643" s="754"/>
      <c r="AU643" s="754"/>
    </row>
    <row r="644" ht="15.75" customHeight="1">
      <c r="A644" s="768">
        <v>44490.0</v>
      </c>
      <c r="B644" s="756" t="s">
        <v>2527</v>
      </c>
      <c r="C644" s="770" t="s">
        <v>2376</v>
      </c>
      <c r="D644" s="745" t="s">
        <v>5902</v>
      </c>
      <c r="E644" s="802">
        <v>1915.0</v>
      </c>
      <c r="F644" s="745" t="s">
        <v>2526</v>
      </c>
      <c r="G644" s="755" t="s">
        <v>2379</v>
      </c>
      <c r="H644" s="755" t="s">
        <v>29</v>
      </c>
      <c r="I644" s="755" t="s">
        <v>2380</v>
      </c>
      <c r="J644" s="755">
        <v>43725.0</v>
      </c>
      <c r="K644" s="758" t="s">
        <v>4033</v>
      </c>
      <c r="L644" s="754"/>
      <c r="M644" s="754"/>
      <c r="N644" s="754"/>
      <c r="O644" s="754"/>
      <c r="P644" s="754"/>
      <c r="Q644" s="754"/>
      <c r="R644" s="754"/>
      <c r="S644" s="754"/>
      <c r="T644" s="754"/>
      <c r="U644" s="754"/>
      <c r="V644" s="754"/>
      <c r="W644" s="754"/>
      <c r="X644" s="754"/>
      <c r="Y644" s="754"/>
      <c r="Z644" s="754"/>
      <c r="AA644" s="754"/>
      <c r="AB644" s="754"/>
      <c r="AC644" s="754"/>
      <c r="AD644" s="754"/>
      <c r="AE644" s="754"/>
      <c r="AF644" s="754"/>
      <c r="AG644" s="754"/>
      <c r="AH644" s="754"/>
      <c r="AI644" s="754"/>
      <c r="AJ644" s="754"/>
      <c r="AK644" s="754"/>
      <c r="AL644" s="754"/>
      <c r="AM644" s="754"/>
      <c r="AN644" s="754"/>
      <c r="AO644" s="754"/>
      <c r="AP644" s="754"/>
      <c r="AQ644" s="754"/>
      <c r="AR644" s="754"/>
      <c r="AS644" s="754"/>
      <c r="AT644" s="754"/>
      <c r="AU644" s="754"/>
    </row>
    <row r="645" ht="15.75" customHeight="1">
      <c r="A645" s="768">
        <v>44490.0</v>
      </c>
      <c r="B645" s="769" t="s">
        <v>3235</v>
      </c>
      <c r="C645" s="770" t="s">
        <v>2376</v>
      </c>
      <c r="D645" s="745" t="s">
        <v>5903</v>
      </c>
      <c r="E645" s="802">
        <v>3000.0</v>
      </c>
      <c r="F645" s="745" t="s">
        <v>3234</v>
      </c>
      <c r="G645" s="755" t="s">
        <v>2379</v>
      </c>
      <c r="H645" s="755" t="s">
        <v>29</v>
      </c>
      <c r="I645" s="755" t="s">
        <v>2380</v>
      </c>
      <c r="J645" s="755">
        <v>43894.0</v>
      </c>
      <c r="K645" s="758" t="s">
        <v>3660</v>
      </c>
      <c r="L645" s="754"/>
      <c r="M645" s="754"/>
      <c r="N645" s="754"/>
      <c r="O645" s="754"/>
      <c r="P645" s="754"/>
      <c r="Q645" s="754"/>
      <c r="R645" s="754"/>
      <c r="S645" s="754"/>
      <c r="T645" s="754"/>
      <c r="U645" s="754"/>
      <c r="V645" s="754"/>
      <c r="W645" s="754"/>
      <c r="X645" s="754"/>
      <c r="Y645" s="754"/>
      <c r="Z645" s="754"/>
      <c r="AA645" s="754"/>
      <c r="AB645" s="754"/>
      <c r="AC645" s="754"/>
      <c r="AD645" s="754"/>
      <c r="AE645" s="754"/>
      <c r="AF645" s="754"/>
      <c r="AG645" s="754"/>
      <c r="AH645" s="754"/>
      <c r="AI645" s="754"/>
      <c r="AJ645" s="754"/>
      <c r="AK645" s="754"/>
      <c r="AL645" s="754"/>
      <c r="AM645" s="754"/>
      <c r="AN645" s="754"/>
      <c r="AO645" s="754"/>
      <c r="AP645" s="754"/>
      <c r="AQ645" s="754"/>
      <c r="AR645" s="754"/>
      <c r="AS645" s="754"/>
      <c r="AT645" s="754"/>
      <c r="AU645" s="754"/>
    </row>
    <row r="646" ht="15.75" customHeight="1">
      <c r="A646" s="768">
        <v>44494.0</v>
      </c>
      <c r="B646" s="806" t="s">
        <v>6023</v>
      </c>
      <c r="C646" s="770" t="s">
        <v>3642</v>
      </c>
      <c r="D646" s="745" t="s">
        <v>5902</v>
      </c>
      <c r="E646" s="802">
        <v>792665.02</v>
      </c>
      <c r="F646" s="745" t="s">
        <v>4287</v>
      </c>
      <c r="G646" s="745" t="s">
        <v>86</v>
      </c>
      <c r="H646" s="745" t="s">
        <v>29</v>
      </c>
      <c r="I646" s="745" t="s">
        <v>3948</v>
      </c>
      <c r="J646" s="755">
        <v>44368.0</v>
      </c>
      <c r="K646" s="762" t="s">
        <v>3664</v>
      </c>
      <c r="L646" s="754"/>
      <c r="M646" s="754"/>
      <c r="N646" s="754"/>
      <c r="O646" s="754"/>
      <c r="P646" s="754"/>
      <c r="Q646" s="754"/>
      <c r="R646" s="754"/>
      <c r="S646" s="754"/>
      <c r="T646" s="754"/>
      <c r="U646" s="754"/>
      <c r="V646" s="754"/>
      <c r="W646" s="754"/>
      <c r="X646" s="754"/>
      <c r="Y646" s="754"/>
      <c r="Z646" s="754"/>
      <c r="AA646" s="754"/>
      <c r="AB646" s="754"/>
      <c r="AC646" s="754"/>
      <c r="AD646" s="754"/>
      <c r="AE646" s="754"/>
      <c r="AF646" s="754"/>
      <c r="AG646" s="754"/>
      <c r="AH646" s="754"/>
      <c r="AI646" s="754"/>
      <c r="AJ646" s="754"/>
      <c r="AK646" s="754"/>
      <c r="AL646" s="754"/>
      <c r="AM646" s="754"/>
      <c r="AN646" s="754"/>
      <c r="AO646" s="754"/>
      <c r="AP646" s="754"/>
      <c r="AQ646" s="754"/>
      <c r="AR646" s="754"/>
      <c r="AS646" s="754"/>
      <c r="AT646" s="754"/>
      <c r="AU646" s="754"/>
    </row>
    <row r="647" ht="15.75" customHeight="1">
      <c r="A647" s="768">
        <v>44494.0</v>
      </c>
      <c r="B647" s="769" t="s">
        <v>2919</v>
      </c>
      <c r="C647" s="770" t="s">
        <v>2376</v>
      </c>
      <c r="D647" s="745" t="s">
        <v>5903</v>
      </c>
      <c r="E647" s="802">
        <v>10000.0</v>
      </c>
      <c r="F647" s="745" t="s">
        <v>2918</v>
      </c>
      <c r="G647" s="755" t="s">
        <v>18</v>
      </c>
      <c r="H647" s="755" t="s">
        <v>145</v>
      </c>
      <c r="I647" s="755" t="s">
        <v>146</v>
      </c>
      <c r="J647" s="755">
        <v>44295.0</v>
      </c>
      <c r="K647" s="758" t="s">
        <v>3657</v>
      </c>
      <c r="L647" s="754"/>
      <c r="M647" s="754"/>
      <c r="N647" s="754"/>
      <c r="O647" s="754"/>
      <c r="P647" s="754"/>
      <c r="Q647" s="754"/>
      <c r="R647" s="754"/>
      <c r="S647" s="754"/>
      <c r="T647" s="754"/>
      <c r="U647" s="754"/>
      <c r="V647" s="754"/>
      <c r="W647" s="754"/>
      <c r="X647" s="754"/>
      <c r="Y647" s="754"/>
      <c r="Z647" s="754"/>
      <c r="AA647" s="754"/>
      <c r="AB647" s="754"/>
      <c r="AC647" s="754"/>
      <c r="AD647" s="754"/>
      <c r="AE647" s="754"/>
      <c r="AF647" s="754"/>
      <c r="AG647" s="754"/>
      <c r="AH647" s="754"/>
      <c r="AI647" s="754"/>
      <c r="AJ647" s="754"/>
      <c r="AK647" s="754"/>
      <c r="AL647" s="754"/>
      <c r="AM647" s="754"/>
      <c r="AN647" s="754"/>
      <c r="AO647" s="754"/>
      <c r="AP647" s="754"/>
      <c r="AQ647" s="754"/>
      <c r="AR647" s="754"/>
      <c r="AS647" s="754"/>
      <c r="AT647" s="754"/>
      <c r="AU647" s="754"/>
    </row>
    <row r="648" ht="15.75" customHeight="1">
      <c r="A648" s="768">
        <v>44494.0</v>
      </c>
      <c r="B648" s="769" t="s">
        <v>2870</v>
      </c>
      <c r="C648" s="770" t="s">
        <v>2376</v>
      </c>
      <c r="D648" s="745" t="s">
        <v>5903</v>
      </c>
      <c r="E648" s="802">
        <v>12000.0</v>
      </c>
      <c r="F648" s="745" t="s">
        <v>2869</v>
      </c>
      <c r="G648" s="755" t="s">
        <v>2379</v>
      </c>
      <c r="H648" s="755" t="s">
        <v>29</v>
      </c>
      <c r="I648" s="755" t="s">
        <v>2380</v>
      </c>
      <c r="J648" s="755">
        <v>43605.0</v>
      </c>
      <c r="K648" s="758" t="s">
        <v>3660</v>
      </c>
      <c r="L648" s="754"/>
      <c r="M648" s="754"/>
      <c r="N648" s="754"/>
      <c r="O648" s="754"/>
      <c r="P648" s="754"/>
      <c r="Q648" s="754"/>
      <c r="R648" s="754"/>
      <c r="S648" s="754"/>
      <c r="T648" s="754"/>
      <c r="U648" s="754"/>
      <c r="V648" s="754"/>
      <c r="W648" s="754"/>
      <c r="X648" s="754"/>
      <c r="Y648" s="754"/>
      <c r="Z648" s="754"/>
      <c r="AA648" s="754"/>
      <c r="AB648" s="754"/>
      <c r="AC648" s="754"/>
      <c r="AD648" s="754"/>
      <c r="AE648" s="754"/>
      <c r="AF648" s="754"/>
      <c r="AG648" s="754"/>
      <c r="AH648" s="754"/>
      <c r="AI648" s="754"/>
      <c r="AJ648" s="754"/>
      <c r="AK648" s="754"/>
      <c r="AL648" s="754"/>
      <c r="AM648" s="754"/>
      <c r="AN648" s="754"/>
      <c r="AO648" s="754"/>
      <c r="AP648" s="754"/>
      <c r="AQ648" s="754"/>
      <c r="AR648" s="754"/>
      <c r="AS648" s="754"/>
      <c r="AT648" s="754"/>
      <c r="AU648" s="754"/>
    </row>
    <row r="649" ht="15.75" customHeight="1">
      <c r="A649" s="768">
        <v>44494.0</v>
      </c>
      <c r="B649" s="769" t="s">
        <v>6024</v>
      </c>
      <c r="C649" s="770" t="s">
        <v>2376</v>
      </c>
      <c r="D649" s="745" t="s">
        <v>5903</v>
      </c>
      <c r="E649" s="802">
        <v>33000.0</v>
      </c>
      <c r="F649" s="745" t="s">
        <v>576</v>
      </c>
      <c r="G649" s="745" t="s">
        <v>18</v>
      </c>
      <c r="H649" s="745" t="s">
        <v>145</v>
      </c>
      <c r="I649" s="745" t="s">
        <v>2464</v>
      </c>
      <c r="J649" s="755">
        <v>44383.0</v>
      </c>
      <c r="K649" s="762" t="s">
        <v>3660</v>
      </c>
      <c r="L649" s="754"/>
      <c r="M649" s="754"/>
      <c r="N649" s="754"/>
      <c r="O649" s="754"/>
      <c r="P649" s="754"/>
      <c r="Q649" s="754"/>
      <c r="R649" s="754"/>
      <c r="S649" s="754"/>
      <c r="T649" s="754"/>
      <c r="U649" s="754"/>
      <c r="V649" s="754"/>
      <c r="W649" s="754"/>
      <c r="X649" s="754"/>
      <c r="Y649" s="754"/>
      <c r="Z649" s="754"/>
      <c r="AA649" s="754"/>
      <c r="AB649" s="754"/>
      <c r="AC649" s="754"/>
      <c r="AD649" s="754"/>
      <c r="AE649" s="754"/>
      <c r="AF649" s="754"/>
      <c r="AG649" s="754"/>
      <c r="AH649" s="754"/>
      <c r="AI649" s="754"/>
      <c r="AJ649" s="754"/>
      <c r="AK649" s="754"/>
      <c r="AL649" s="754"/>
      <c r="AM649" s="754"/>
      <c r="AN649" s="754"/>
      <c r="AO649" s="754"/>
      <c r="AP649" s="754"/>
      <c r="AQ649" s="754"/>
      <c r="AR649" s="754"/>
      <c r="AS649" s="754"/>
      <c r="AT649" s="754"/>
      <c r="AU649" s="754"/>
    </row>
    <row r="650" ht="15.75" customHeight="1">
      <c r="A650" s="768">
        <v>44494.0</v>
      </c>
      <c r="B650" s="769" t="s">
        <v>3267</v>
      </c>
      <c r="C650" s="770" t="s">
        <v>2376</v>
      </c>
      <c r="D650" s="745" t="s">
        <v>5903</v>
      </c>
      <c r="E650" s="802">
        <v>10000.0</v>
      </c>
      <c r="F650" s="745" t="s">
        <v>3266</v>
      </c>
      <c r="G650" s="755" t="s">
        <v>18</v>
      </c>
      <c r="H650" s="755" t="s">
        <v>145</v>
      </c>
      <c r="I650" s="755" t="s">
        <v>171</v>
      </c>
      <c r="J650" s="755">
        <v>44319.0</v>
      </c>
      <c r="K650" s="758" t="s">
        <v>3651</v>
      </c>
      <c r="L650" s="754"/>
      <c r="M650" s="754"/>
      <c r="N650" s="754"/>
      <c r="O650" s="754"/>
      <c r="P650" s="754"/>
      <c r="Q650" s="754"/>
      <c r="R650" s="754"/>
      <c r="S650" s="754"/>
      <c r="T650" s="754"/>
      <c r="U650" s="754"/>
      <c r="V650" s="754"/>
      <c r="W650" s="754"/>
      <c r="X650" s="754"/>
      <c r="Y650" s="754"/>
      <c r="Z650" s="754"/>
      <c r="AA650" s="754"/>
      <c r="AB650" s="754"/>
      <c r="AC650" s="754"/>
      <c r="AD650" s="754"/>
      <c r="AE650" s="754"/>
      <c r="AF650" s="754"/>
      <c r="AG650" s="754"/>
      <c r="AH650" s="754"/>
      <c r="AI650" s="754"/>
      <c r="AJ650" s="754"/>
      <c r="AK650" s="754"/>
      <c r="AL650" s="754"/>
      <c r="AM650" s="754"/>
      <c r="AN650" s="754"/>
      <c r="AO650" s="754"/>
      <c r="AP650" s="754"/>
      <c r="AQ650" s="754"/>
      <c r="AR650" s="754"/>
      <c r="AS650" s="754"/>
      <c r="AT650" s="754"/>
      <c r="AU650" s="754"/>
    </row>
    <row r="651" ht="15.75" customHeight="1">
      <c r="A651" s="768">
        <v>44495.0</v>
      </c>
      <c r="B651" s="805" t="s">
        <v>6025</v>
      </c>
      <c r="C651" s="770" t="s">
        <v>3642</v>
      </c>
      <c r="D651" s="745" t="s">
        <v>5902</v>
      </c>
      <c r="E651" s="802">
        <v>295388.82</v>
      </c>
      <c r="F651" s="745" t="s">
        <v>4558</v>
      </c>
      <c r="G651" s="745" t="s">
        <v>86</v>
      </c>
      <c r="H651" s="745" t="s">
        <v>29</v>
      </c>
      <c r="I651" s="745" t="s">
        <v>3901</v>
      </c>
      <c r="J651" s="755">
        <v>44111.0</v>
      </c>
      <c r="K651" s="762" t="s">
        <v>3647</v>
      </c>
      <c r="L651" s="754"/>
      <c r="M651" s="754"/>
      <c r="N651" s="754"/>
      <c r="O651" s="754"/>
      <c r="P651" s="754"/>
      <c r="Q651" s="754"/>
      <c r="R651" s="754"/>
      <c r="S651" s="754"/>
      <c r="T651" s="754"/>
      <c r="U651" s="754"/>
      <c r="V651" s="754"/>
      <c r="W651" s="754"/>
      <c r="X651" s="754"/>
      <c r="Y651" s="754"/>
      <c r="Z651" s="754"/>
      <c r="AA651" s="754"/>
      <c r="AB651" s="754"/>
      <c r="AC651" s="754"/>
      <c r="AD651" s="754"/>
      <c r="AE651" s="754"/>
      <c r="AF651" s="754"/>
      <c r="AG651" s="754"/>
      <c r="AH651" s="754"/>
      <c r="AI651" s="754"/>
      <c r="AJ651" s="754"/>
      <c r="AK651" s="754"/>
      <c r="AL651" s="754"/>
      <c r="AM651" s="754"/>
      <c r="AN651" s="754"/>
      <c r="AO651" s="754"/>
      <c r="AP651" s="754"/>
      <c r="AQ651" s="754"/>
      <c r="AR651" s="754"/>
      <c r="AS651" s="754"/>
      <c r="AT651" s="754"/>
      <c r="AU651" s="754"/>
    </row>
    <row r="652" ht="15.75" customHeight="1">
      <c r="A652" s="768">
        <v>44495.0</v>
      </c>
      <c r="B652" s="769" t="s">
        <v>3222</v>
      </c>
      <c r="C652" s="770" t="s">
        <v>2376</v>
      </c>
      <c r="D652" s="745" t="s">
        <v>5903</v>
      </c>
      <c r="E652" s="802">
        <v>14000.0</v>
      </c>
      <c r="F652" s="745" t="s">
        <v>1868</v>
      </c>
      <c r="G652" s="755" t="s">
        <v>18</v>
      </c>
      <c r="H652" s="755" t="s">
        <v>145</v>
      </c>
      <c r="I652" s="755" t="s">
        <v>146</v>
      </c>
      <c r="J652" s="755">
        <v>44280.0</v>
      </c>
      <c r="K652" s="758" t="s">
        <v>3651</v>
      </c>
      <c r="L652" s="754"/>
      <c r="M652" s="754"/>
      <c r="N652" s="754"/>
      <c r="O652" s="754"/>
      <c r="P652" s="754"/>
      <c r="Q652" s="754"/>
      <c r="R652" s="754"/>
      <c r="S652" s="754"/>
      <c r="T652" s="754"/>
      <c r="U652" s="754"/>
      <c r="V652" s="754"/>
      <c r="W652" s="754"/>
      <c r="X652" s="754"/>
      <c r="Y652" s="754"/>
      <c r="Z652" s="754"/>
      <c r="AA652" s="754"/>
      <c r="AB652" s="754"/>
      <c r="AC652" s="754"/>
      <c r="AD652" s="754"/>
      <c r="AE652" s="754"/>
      <c r="AF652" s="754"/>
      <c r="AG652" s="754"/>
      <c r="AH652" s="754"/>
      <c r="AI652" s="754"/>
      <c r="AJ652" s="754"/>
      <c r="AK652" s="754"/>
      <c r="AL652" s="754"/>
      <c r="AM652" s="754"/>
      <c r="AN652" s="754"/>
      <c r="AO652" s="754"/>
      <c r="AP652" s="754"/>
      <c r="AQ652" s="754"/>
      <c r="AR652" s="754"/>
      <c r="AS652" s="754"/>
      <c r="AT652" s="754"/>
      <c r="AU652" s="754"/>
    </row>
    <row r="653" ht="15.75" customHeight="1">
      <c r="A653" s="768">
        <v>44497.0</v>
      </c>
      <c r="B653" s="769" t="s">
        <v>2888</v>
      </c>
      <c r="C653" s="770" t="s">
        <v>2376</v>
      </c>
      <c r="D653" s="745" t="s">
        <v>5903</v>
      </c>
      <c r="E653" s="802">
        <v>40000.0</v>
      </c>
      <c r="F653" s="745" t="s">
        <v>2887</v>
      </c>
      <c r="G653" s="755" t="s">
        <v>18</v>
      </c>
      <c r="H653" s="755" t="s">
        <v>145</v>
      </c>
      <c r="I653" s="755" t="s">
        <v>2464</v>
      </c>
      <c r="J653" s="755">
        <v>44266.0</v>
      </c>
      <c r="K653" s="758" t="s">
        <v>3660</v>
      </c>
      <c r="L653" s="754"/>
      <c r="M653" s="754"/>
      <c r="N653" s="754"/>
      <c r="O653" s="754"/>
      <c r="P653" s="754"/>
      <c r="Q653" s="754"/>
      <c r="R653" s="754"/>
      <c r="S653" s="754"/>
      <c r="T653" s="754"/>
      <c r="U653" s="754"/>
      <c r="V653" s="754"/>
      <c r="W653" s="754"/>
      <c r="X653" s="754"/>
      <c r="Y653" s="754"/>
      <c r="Z653" s="754"/>
      <c r="AA653" s="754"/>
      <c r="AB653" s="754"/>
      <c r="AC653" s="754"/>
      <c r="AD653" s="754"/>
      <c r="AE653" s="754"/>
      <c r="AF653" s="754"/>
      <c r="AG653" s="754"/>
      <c r="AH653" s="754"/>
      <c r="AI653" s="754"/>
      <c r="AJ653" s="754"/>
      <c r="AK653" s="754"/>
      <c r="AL653" s="754"/>
      <c r="AM653" s="754"/>
      <c r="AN653" s="754"/>
      <c r="AO653" s="754"/>
      <c r="AP653" s="754"/>
      <c r="AQ653" s="754"/>
      <c r="AR653" s="754"/>
      <c r="AS653" s="754"/>
      <c r="AT653" s="754"/>
      <c r="AU653" s="754"/>
    </row>
    <row r="654" ht="15.75" customHeight="1">
      <c r="A654" s="768">
        <v>44497.0</v>
      </c>
      <c r="B654" s="805" t="s">
        <v>6026</v>
      </c>
      <c r="C654" s="770" t="s">
        <v>3642</v>
      </c>
      <c r="D654" s="745" t="s">
        <v>5902</v>
      </c>
      <c r="E654" s="802">
        <v>142605.94</v>
      </c>
      <c r="F654" s="745" t="s">
        <v>5045</v>
      </c>
      <c r="G654" s="745" t="s">
        <v>18</v>
      </c>
      <c r="H654" s="745" t="s">
        <v>29</v>
      </c>
      <c r="I654" s="745" t="s">
        <v>5047</v>
      </c>
      <c r="J654" s="755">
        <v>44271.0</v>
      </c>
      <c r="K654" s="762" t="s">
        <v>3693</v>
      </c>
      <c r="L654" s="754"/>
      <c r="M654" s="754"/>
      <c r="N654" s="754"/>
      <c r="O654" s="754"/>
      <c r="P654" s="754"/>
      <c r="Q654" s="754"/>
      <c r="R654" s="754"/>
      <c r="S654" s="754"/>
      <c r="T654" s="754"/>
      <c r="U654" s="754"/>
      <c r="V654" s="754"/>
      <c r="W654" s="754"/>
      <c r="X654" s="754"/>
      <c r="Y654" s="754"/>
      <c r="Z654" s="754"/>
      <c r="AA654" s="754"/>
      <c r="AB654" s="754"/>
      <c r="AC654" s="754"/>
      <c r="AD654" s="754"/>
      <c r="AE654" s="754"/>
      <c r="AF654" s="754"/>
      <c r="AG654" s="754"/>
      <c r="AH654" s="754"/>
      <c r="AI654" s="754"/>
      <c r="AJ654" s="754"/>
      <c r="AK654" s="754"/>
      <c r="AL654" s="754"/>
      <c r="AM654" s="754"/>
      <c r="AN654" s="754"/>
      <c r="AO654" s="754"/>
      <c r="AP654" s="754"/>
      <c r="AQ654" s="754"/>
      <c r="AR654" s="754"/>
      <c r="AS654" s="754"/>
      <c r="AT654" s="754"/>
      <c r="AU654" s="754"/>
    </row>
    <row r="655" ht="15.75" customHeight="1">
      <c r="A655" s="768">
        <v>44497.0</v>
      </c>
      <c r="B655" s="805" t="s">
        <v>6027</v>
      </c>
      <c r="C655" s="770" t="s">
        <v>3642</v>
      </c>
      <c r="D655" s="745" t="s">
        <v>5902</v>
      </c>
      <c r="E655" s="802">
        <v>148678.48</v>
      </c>
      <c r="F655" s="745" t="s">
        <v>5045</v>
      </c>
      <c r="G655" s="745" t="s">
        <v>18</v>
      </c>
      <c r="H655" s="745" t="s">
        <v>29</v>
      </c>
      <c r="I655" s="745" t="s">
        <v>3650</v>
      </c>
      <c r="J655" s="755">
        <v>44272.0</v>
      </c>
      <c r="K655" s="762" t="s">
        <v>3660</v>
      </c>
      <c r="L655" s="754"/>
      <c r="M655" s="754"/>
      <c r="N655" s="754"/>
      <c r="O655" s="754"/>
      <c r="P655" s="754"/>
      <c r="Q655" s="754"/>
      <c r="R655" s="754"/>
      <c r="S655" s="754"/>
      <c r="T655" s="754"/>
      <c r="U655" s="754"/>
      <c r="V655" s="754"/>
      <c r="W655" s="754"/>
      <c r="X655" s="754"/>
      <c r="Y655" s="754"/>
      <c r="Z655" s="754"/>
      <c r="AA655" s="754"/>
      <c r="AB655" s="754"/>
      <c r="AC655" s="754"/>
      <c r="AD655" s="754"/>
      <c r="AE655" s="754"/>
      <c r="AF655" s="754"/>
      <c r="AG655" s="754"/>
      <c r="AH655" s="754"/>
      <c r="AI655" s="754"/>
      <c r="AJ655" s="754"/>
      <c r="AK655" s="754"/>
      <c r="AL655" s="754"/>
      <c r="AM655" s="754"/>
      <c r="AN655" s="754"/>
      <c r="AO655" s="754"/>
      <c r="AP655" s="754"/>
      <c r="AQ655" s="754"/>
      <c r="AR655" s="754"/>
      <c r="AS655" s="754"/>
      <c r="AT655" s="754"/>
      <c r="AU655" s="754"/>
    </row>
    <row r="656" ht="15.75" customHeight="1">
      <c r="A656" s="768">
        <v>44498.0</v>
      </c>
      <c r="B656" s="769" t="s">
        <v>2731</v>
      </c>
      <c r="C656" s="770" t="s">
        <v>2376</v>
      </c>
      <c r="D656" s="745" t="s">
        <v>5903</v>
      </c>
      <c r="E656" s="802">
        <v>20000.0</v>
      </c>
      <c r="F656" s="745" t="s">
        <v>2730</v>
      </c>
      <c r="G656" s="755" t="s">
        <v>18</v>
      </c>
      <c r="H656" s="755" t="s">
        <v>145</v>
      </c>
      <c r="I656" s="755" t="s">
        <v>171</v>
      </c>
      <c r="J656" s="755">
        <v>44298.0</v>
      </c>
      <c r="K656" s="758" t="s">
        <v>3651</v>
      </c>
      <c r="L656" s="754"/>
      <c r="M656" s="754"/>
      <c r="N656" s="754"/>
      <c r="O656" s="754"/>
      <c r="P656" s="754"/>
      <c r="Q656" s="754"/>
      <c r="R656" s="754"/>
      <c r="S656" s="754"/>
      <c r="T656" s="754"/>
      <c r="U656" s="754"/>
      <c r="V656" s="754"/>
      <c r="W656" s="754"/>
      <c r="X656" s="754"/>
      <c r="Y656" s="754"/>
      <c r="Z656" s="754"/>
      <c r="AA656" s="754"/>
      <c r="AB656" s="754"/>
      <c r="AC656" s="754"/>
      <c r="AD656" s="754"/>
      <c r="AE656" s="754"/>
      <c r="AF656" s="754"/>
      <c r="AG656" s="754"/>
      <c r="AH656" s="754"/>
      <c r="AI656" s="754"/>
      <c r="AJ656" s="754"/>
      <c r="AK656" s="754"/>
      <c r="AL656" s="754"/>
      <c r="AM656" s="754"/>
      <c r="AN656" s="754"/>
      <c r="AO656" s="754"/>
      <c r="AP656" s="754"/>
      <c r="AQ656" s="754"/>
      <c r="AR656" s="754"/>
      <c r="AS656" s="754"/>
      <c r="AT656" s="754"/>
      <c r="AU656" s="754"/>
    </row>
    <row r="657" ht="15.75" customHeight="1">
      <c r="A657" s="768">
        <v>44498.0</v>
      </c>
      <c r="B657" s="769" t="s">
        <v>3304</v>
      </c>
      <c r="C657" s="770" t="s">
        <v>2376</v>
      </c>
      <c r="D657" s="745" t="s">
        <v>5903</v>
      </c>
      <c r="E657" s="802">
        <v>30000.0</v>
      </c>
      <c r="F657" s="745" t="s">
        <v>2014</v>
      </c>
      <c r="G657" s="755" t="s">
        <v>18</v>
      </c>
      <c r="H657" s="755" t="s">
        <v>145</v>
      </c>
      <c r="I657" s="755" t="s">
        <v>146</v>
      </c>
      <c r="J657" s="755">
        <v>44280.0</v>
      </c>
      <c r="K657" s="758" t="s">
        <v>3647</v>
      </c>
      <c r="L657" s="754"/>
      <c r="M657" s="754"/>
      <c r="N657" s="754"/>
      <c r="O657" s="754"/>
      <c r="P657" s="754"/>
      <c r="Q657" s="754"/>
      <c r="R657" s="754"/>
      <c r="S657" s="754"/>
      <c r="T657" s="754"/>
      <c r="U657" s="754"/>
      <c r="V657" s="754"/>
      <c r="W657" s="754"/>
      <c r="X657" s="754"/>
      <c r="Y657" s="754"/>
      <c r="Z657" s="754"/>
      <c r="AA657" s="754"/>
      <c r="AB657" s="754"/>
      <c r="AC657" s="754"/>
      <c r="AD657" s="754"/>
      <c r="AE657" s="754"/>
      <c r="AF657" s="754"/>
      <c r="AG657" s="754"/>
      <c r="AH657" s="754"/>
      <c r="AI657" s="754"/>
      <c r="AJ657" s="754"/>
      <c r="AK657" s="754"/>
      <c r="AL657" s="754"/>
      <c r="AM657" s="754"/>
      <c r="AN657" s="754"/>
      <c r="AO657" s="754"/>
      <c r="AP657" s="754"/>
      <c r="AQ657" s="754"/>
      <c r="AR657" s="754"/>
      <c r="AS657" s="754"/>
      <c r="AT657" s="754"/>
      <c r="AU657" s="754"/>
    </row>
    <row r="658" ht="15.75" customHeight="1">
      <c r="A658" s="768">
        <v>44501.0</v>
      </c>
      <c r="B658" s="769" t="s">
        <v>2993</v>
      </c>
      <c r="C658" s="770" t="s">
        <v>2376</v>
      </c>
      <c r="D658" s="745" t="s">
        <v>5903</v>
      </c>
      <c r="E658" s="802">
        <v>200000.0</v>
      </c>
      <c r="F658" s="745" t="s">
        <v>2992</v>
      </c>
      <c r="G658" s="755" t="s">
        <v>2379</v>
      </c>
      <c r="H658" s="755" t="s">
        <v>29</v>
      </c>
      <c r="I658" s="755" t="s">
        <v>2380</v>
      </c>
      <c r="J658" s="755">
        <v>43620.0</v>
      </c>
      <c r="K658" s="758" t="s">
        <v>3651</v>
      </c>
      <c r="L658" s="754"/>
      <c r="M658" s="754"/>
      <c r="N658" s="754"/>
      <c r="O658" s="754"/>
      <c r="P658" s="754"/>
      <c r="Q658" s="754"/>
      <c r="R658" s="754"/>
      <c r="S658" s="754"/>
      <c r="T658" s="754"/>
      <c r="U658" s="754"/>
      <c r="V658" s="754"/>
      <c r="W658" s="754"/>
      <c r="X658" s="754"/>
      <c r="Y658" s="754"/>
      <c r="Z658" s="754"/>
      <c r="AA658" s="754"/>
      <c r="AB658" s="754"/>
      <c r="AC658" s="754"/>
      <c r="AD658" s="754"/>
      <c r="AE658" s="754"/>
      <c r="AF658" s="754"/>
      <c r="AG658" s="754"/>
      <c r="AH658" s="754"/>
      <c r="AI658" s="754"/>
      <c r="AJ658" s="754"/>
      <c r="AK658" s="754"/>
      <c r="AL658" s="754"/>
      <c r="AM658" s="754"/>
      <c r="AN658" s="754"/>
      <c r="AO658" s="754"/>
      <c r="AP658" s="754"/>
      <c r="AQ658" s="754"/>
      <c r="AR658" s="754"/>
      <c r="AS658" s="754"/>
      <c r="AT658" s="754"/>
      <c r="AU658" s="754"/>
    </row>
    <row r="659" ht="15.75" customHeight="1">
      <c r="A659" s="768">
        <v>44501.0</v>
      </c>
      <c r="B659" s="769" t="s">
        <v>2731</v>
      </c>
      <c r="C659" s="770" t="s">
        <v>2376</v>
      </c>
      <c r="D659" s="745" t="s">
        <v>5903</v>
      </c>
      <c r="E659" s="802">
        <v>3000.0</v>
      </c>
      <c r="F659" s="745" t="s">
        <v>2730</v>
      </c>
      <c r="G659" s="755" t="s">
        <v>18</v>
      </c>
      <c r="H659" s="755" t="s">
        <v>145</v>
      </c>
      <c r="I659" s="755" t="s">
        <v>171</v>
      </c>
      <c r="J659" s="755">
        <v>44298.0</v>
      </c>
      <c r="K659" s="758" t="s">
        <v>3651</v>
      </c>
      <c r="L659" s="754"/>
      <c r="M659" s="754"/>
      <c r="N659" s="754"/>
      <c r="O659" s="754"/>
      <c r="P659" s="754"/>
      <c r="Q659" s="754"/>
      <c r="R659" s="754"/>
      <c r="S659" s="754"/>
      <c r="T659" s="754"/>
      <c r="U659" s="754"/>
      <c r="V659" s="754"/>
      <c r="W659" s="754"/>
      <c r="X659" s="754"/>
      <c r="Y659" s="754"/>
      <c r="Z659" s="754"/>
      <c r="AA659" s="754"/>
      <c r="AB659" s="754"/>
      <c r="AC659" s="754"/>
      <c r="AD659" s="754"/>
      <c r="AE659" s="754"/>
      <c r="AF659" s="754"/>
      <c r="AG659" s="754"/>
      <c r="AH659" s="754"/>
      <c r="AI659" s="754"/>
      <c r="AJ659" s="754"/>
      <c r="AK659" s="754"/>
      <c r="AL659" s="754"/>
      <c r="AM659" s="754"/>
      <c r="AN659" s="754"/>
      <c r="AO659" s="754"/>
      <c r="AP659" s="754"/>
      <c r="AQ659" s="754"/>
      <c r="AR659" s="754"/>
      <c r="AS659" s="754"/>
      <c r="AT659" s="754"/>
      <c r="AU659" s="754"/>
    </row>
    <row r="660" ht="15.75" customHeight="1">
      <c r="A660" s="768">
        <v>44501.0</v>
      </c>
      <c r="B660" s="769" t="s">
        <v>2676</v>
      </c>
      <c r="C660" s="770" t="s">
        <v>2376</v>
      </c>
      <c r="D660" s="745" t="s">
        <v>5903</v>
      </c>
      <c r="E660" s="802">
        <v>40000.0</v>
      </c>
      <c r="F660" s="745" t="s">
        <v>691</v>
      </c>
      <c r="G660" s="755" t="s">
        <v>18</v>
      </c>
      <c r="H660" s="755" t="s">
        <v>145</v>
      </c>
      <c r="I660" s="755" t="s">
        <v>146</v>
      </c>
      <c r="J660" s="755">
        <v>44321.0</v>
      </c>
      <c r="K660" s="758" t="s">
        <v>3651</v>
      </c>
      <c r="L660" s="754"/>
      <c r="M660" s="754"/>
      <c r="N660" s="754"/>
      <c r="O660" s="754"/>
      <c r="P660" s="754"/>
      <c r="Q660" s="754"/>
      <c r="R660" s="754"/>
      <c r="S660" s="754"/>
      <c r="T660" s="754"/>
      <c r="U660" s="754"/>
      <c r="V660" s="754"/>
      <c r="W660" s="754"/>
      <c r="X660" s="754"/>
      <c r="Y660" s="754"/>
      <c r="Z660" s="754"/>
      <c r="AA660" s="754"/>
      <c r="AB660" s="754"/>
      <c r="AC660" s="754"/>
      <c r="AD660" s="754"/>
      <c r="AE660" s="754"/>
      <c r="AF660" s="754"/>
      <c r="AG660" s="754"/>
      <c r="AH660" s="754"/>
      <c r="AI660" s="754"/>
      <c r="AJ660" s="754"/>
      <c r="AK660" s="754"/>
      <c r="AL660" s="754"/>
      <c r="AM660" s="754"/>
      <c r="AN660" s="754"/>
      <c r="AO660" s="754"/>
      <c r="AP660" s="754"/>
      <c r="AQ660" s="754"/>
      <c r="AR660" s="754"/>
      <c r="AS660" s="754"/>
      <c r="AT660" s="754"/>
      <c r="AU660" s="754"/>
    </row>
    <row r="661" ht="15.75" customHeight="1">
      <c r="A661" s="768">
        <v>44503.0</v>
      </c>
      <c r="B661" s="769" t="s">
        <v>3238</v>
      </c>
      <c r="C661" s="770" t="s">
        <v>2376</v>
      </c>
      <c r="D661" s="745" t="s">
        <v>5903</v>
      </c>
      <c r="E661" s="802">
        <v>30000.0</v>
      </c>
      <c r="F661" s="745" t="s">
        <v>3237</v>
      </c>
      <c r="G661" s="755" t="s">
        <v>18</v>
      </c>
      <c r="H661" s="755" t="s">
        <v>145</v>
      </c>
      <c r="I661" s="755" t="s">
        <v>171</v>
      </c>
      <c r="J661" s="755">
        <v>44279.0</v>
      </c>
      <c r="K661" s="758" t="s">
        <v>3651</v>
      </c>
      <c r="L661" s="754"/>
      <c r="M661" s="754"/>
      <c r="N661" s="754"/>
      <c r="O661" s="754"/>
      <c r="P661" s="754"/>
      <c r="Q661" s="754"/>
      <c r="R661" s="754"/>
      <c r="S661" s="754"/>
      <c r="T661" s="754"/>
      <c r="U661" s="754"/>
      <c r="V661" s="754"/>
      <c r="W661" s="754"/>
      <c r="X661" s="754"/>
      <c r="Y661" s="754"/>
      <c r="Z661" s="754"/>
      <c r="AA661" s="754"/>
      <c r="AB661" s="754"/>
      <c r="AC661" s="754"/>
      <c r="AD661" s="754"/>
      <c r="AE661" s="754"/>
      <c r="AF661" s="754"/>
      <c r="AG661" s="754"/>
      <c r="AH661" s="754"/>
      <c r="AI661" s="754"/>
      <c r="AJ661" s="754"/>
      <c r="AK661" s="754"/>
      <c r="AL661" s="754"/>
      <c r="AM661" s="754"/>
      <c r="AN661" s="754"/>
      <c r="AO661" s="754"/>
      <c r="AP661" s="754"/>
      <c r="AQ661" s="754"/>
      <c r="AR661" s="754"/>
      <c r="AS661" s="754"/>
      <c r="AT661" s="754"/>
      <c r="AU661" s="754"/>
    </row>
    <row r="662" ht="15.75" customHeight="1">
      <c r="A662" s="768">
        <v>44503.0</v>
      </c>
      <c r="B662" s="803" t="s">
        <v>5925</v>
      </c>
      <c r="C662" s="770" t="s">
        <v>3642</v>
      </c>
      <c r="D662" s="745" t="s">
        <v>5903</v>
      </c>
      <c r="E662" s="802">
        <v>5000.0</v>
      </c>
      <c r="F662" s="745" t="s">
        <v>4215</v>
      </c>
      <c r="G662" s="745" t="s">
        <v>86</v>
      </c>
      <c r="H662" s="745" t="s">
        <v>29</v>
      </c>
      <c r="I662" s="745" t="s">
        <v>3711</v>
      </c>
      <c r="J662" s="792">
        <v>44263.0</v>
      </c>
      <c r="K662" s="762" t="s">
        <v>3651</v>
      </c>
      <c r="L662" s="754"/>
      <c r="M662" s="754"/>
      <c r="N662" s="754"/>
      <c r="O662" s="754"/>
      <c r="P662" s="754"/>
      <c r="Q662" s="754"/>
      <c r="R662" s="754"/>
      <c r="S662" s="754"/>
      <c r="T662" s="754"/>
      <c r="U662" s="754"/>
      <c r="V662" s="754"/>
      <c r="W662" s="754"/>
      <c r="X662" s="754"/>
      <c r="Y662" s="754"/>
      <c r="Z662" s="754"/>
      <c r="AA662" s="754"/>
      <c r="AB662" s="754"/>
      <c r="AC662" s="754"/>
      <c r="AD662" s="754"/>
      <c r="AE662" s="754"/>
      <c r="AF662" s="754"/>
      <c r="AG662" s="754"/>
      <c r="AH662" s="754"/>
      <c r="AI662" s="754"/>
      <c r="AJ662" s="754"/>
      <c r="AK662" s="754"/>
      <c r="AL662" s="754"/>
      <c r="AM662" s="754"/>
      <c r="AN662" s="754"/>
      <c r="AO662" s="754"/>
      <c r="AP662" s="754"/>
      <c r="AQ662" s="754"/>
      <c r="AR662" s="754"/>
      <c r="AS662" s="754"/>
      <c r="AT662" s="754"/>
      <c r="AU662" s="754"/>
    </row>
    <row r="663" ht="15.75" customHeight="1">
      <c r="A663" s="768">
        <v>44504.0</v>
      </c>
      <c r="B663" s="807" t="s">
        <v>5959</v>
      </c>
      <c r="C663" s="770" t="s">
        <v>3642</v>
      </c>
      <c r="D663" s="745" t="s">
        <v>5903</v>
      </c>
      <c r="E663" s="802">
        <v>12284.53</v>
      </c>
      <c r="F663" s="745" t="s">
        <v>3720</v>
      </c>
      <c r="G663" s="745" t="s">
        <v>86</v>
      </c>
      <c r="H663" s="745" t="s">
        <v>29</v>
      </c>
      <c r="I663" s="745" t="s">
        <v>6028</v>
      </c>
      <c r="J663" s="755">
        <v>44180.0</v>
      </c>
      <c r="K663" s="762" t="s">
        <v>3660</v>
      </c>
      <c r="L663" s="754"/>
      <c r="M663" s="754"/>
      <c r="N663" s="754"/>
      <c r="O663" s="754"/>
      <c r="P663" s="754"/>
      <c r="Q663" s="754"/>
      <c r="R663" s="754"/>
      <c r="S663" s="754"/>
      <c r="T663" s="754"/>
      <c r="U663" s="754"/>
      <c r="V663" s="754"/>
      <c r="W663" s="754"/>
      <c r="X663" s="754"/>
      <c r="Y663" s="754"/>
      <c r="Z663" s="754"/>
      <c r="AA663" s="754"/>
      <c r="AB663" s="754"/>
      <c r="AC663" s="754"/>
      <c r="AD663" s="754"/>
      <c r="AE663" s="754"/>
      <c r="AF663" s="754"/>
      <c r="AG663" s="754"/>
      <c r="AH663" s="754"/>
      <c r="AI663" s="754"/>
      <c r="AJ663" s="754"/>
      <c r="AK663" s="754"/>
      <c r="AL663" s="754"/>
      <c r="AM663" s="754"/>
      <c r="AN663" s="754"/>
      <c r="AO663" s="754"/>
      <c r="AP663" s="754"/>
      <c r="AQ663" s="754"/>
      <c r="AR663" s="754"/>
      <c r="AS663" s="754"/>
      <c r="AT663" s="754"/>
      <c r="AU663" s="754"/>
    </row>
    <row r="664" ht="15.75" customHeight="1">
      <c r="A664" s="768">
        <v>44504.0</v>
      </c>
      <c r="B664" s="805" t="s">
        <v>6029</v>
      </c>
      <c r="C664" s="770" t="s">
        <v>3642</v>
      </c>
      <c r="D664" s="745" t="s">
        <v>5902</v>
      </c>
      <c r="E664" s="802">
        <v>282779.84</v>
      </c>
      <c r="F664" s="745" t="s">
        <v>4220</v>
      </c>
      <c r="G664" s="745" t="s">
        <v>86</v>
      </c>
      <c r="H664" s="745" t="s">
        <v>29</v>
      </c>
      <c r="I664" s="745" t="s">
        <v>3486</v>
      </c>
      <c r="J664" s="792">
        <v>44238.0</v>
      </c>
      <c r="K664" s="762" t="s">
        <v>3647</v>
      </c>
      <c r="L664" s="754"/>
      <c r="M664" s="808"/>
      <c r="N664" s="754"/>
      <c r="O664" s="754"/>
      <c r="P664" s="754"/>
      <c r="Q664" s="754"/>
      <c r="R664" s="754"/>
      <c r="S664" s="754"/>
      <c r="T664" s="754"/>
      <c r="U664" s="754"/>
      <c r="V664" s="754"/>
      <c r="W664" s="754"/>
      <c r="X664" s="754"/>
      <c r="Y664" s="754"/>
      <c r="Z664" s="754"/>
      <c r="AA664" s="754"/>
      <c r="AB664" s="754"/>
      <c r="AC664" s="754"/>
      <c r="AD664" s="754"/>
      <c r="AE664" s="754"/>
      <c r="AF664" s="754"/>
      <c r="AG664" s="754"/>
      <c r="AH664" s="754"/>
      <c r="AI664" s="754"/>
      <c r="AJ664" s="754"/>
      <c r="AK664" s="754"/>
      <c r="AL664" s="754"/>
      <c r="AM664" s="754"/>
      <c r="AN664" s="754"/>
      <c r="AO664" s="754"/>
      <c r="AP664" s="754"/>
      <c r="AQ664" s="754"/>
      <c r="AR664" s="754"/>
      <c r="AS664" s="754"/>
      <c r="AT664" s="754"/>
      <c r="AU664" s="754"/>
    </row>
    <row r="665" ht="15.75" customHeight="1">
      <c r="A665" s="768">
        <v>44504.0</v>
      </c>
      <c r="B665" s="800" t="s">
        <v>3333</v>
      </c>
      <c r="C665" s="770" t="s">
        <v>2376</v>
      </c>
      <c r="D665" s="745" t="s">
        <v>5903</v>
      </c>
      <c r="E665" s="802">
        <v>25000.0</v>
      </c>
      <c r="F665" s="745" t="s">
        <v>3332</v>
      </c>
      <c r="G665" s="755" t="s">
        <v>18</v>
      </c>
      <c r="H665" s="755" t="s">
        <v>145</v>
      </c>
      <c r="I665" s="755" t="s">
        <v>146</v>
      </c>
      <c r="J665" s="755">
        <v>44263.0</v>
      </c>
      <c r="K665" s="758" t="s">
        <v>3660</v>
      </c>
      <c r="L665" s="754"/>
      <c r="M665" s="754"/>
      <c r="N665" s="754"/>
      <c r="O665" s="754"/>
      <c r="P665" s="754"/>
      <c r="Q665" s="754"/>
      <c r="R665" s="754"/>
      <c r="S665" s="754"/>
      <c r="T665" s="754"/>
      <c r="U665" s="754"/>
      <c r="V665" s="754"/>
      <c r="W665" s="754"/>
      <c r="X665" s="754"/>
      <c r="Y665" s="754"/>
      <c r="Z665" s="754"/>
      <c r="AA665" s="754"/>
      <c r="AB665" s="754"/>
      <c r="AC665" s="754"/>
      <c r="AD665" s="754"/>
      <c r="AE665" s="754"/>
      <c r="AF665" s="754"/>
      <c r="AG665" s="754"/>
      <c r="AH665" s="754"/>
      <c r="AI665" s="754"/>
      <c r="AJ665" s="754"/>
      <c r="AK665" s="754"/>
      <c r="AL665" s="754"/>
      <c r="AM665" s="754"/>
      <c r="AN665" s="754"/>
      <c r="AO665" s="754"/>
      <c r="AP665" s="754"/>
      <c r="AQ665" s="754"/>
      <c r="AR665" s="754"/>
      <c r="AS665" s="754"/>
      <c r="AT665" s="754"/>
      <c r="AU665" s="754"/>
    </row>
    <row r="666" ht="15.75" customHeight="1">
      <c r="A666" s="768">
        <v>44504.0</v>
      </c>
      <c r="B666" s="773" t="s">
        <v>2983</v>
      </c>
      <c r="C666" s="770" t="s">
        <v>2376</v>
      </c>
      <c r="D666" s="745" t="s">
        <v>5903</v>
      </c>
      <c r="E666" s="802">
        <v>50000.0</v>
      </c>
      <c r="F666" s="745" t="s">
        <v>2982</v>
      </c>
      <c r="G666" s="755" t="s">
        <v>18</v>
      </c>
      <c r="H666" s="755" t="s">
        <v>145</v>
      </c>
      <c r="I666" s="755" t="s">
        <v>146</v>
      </c>
      <c r="J666" s="755">
        <v>44263.0</v>
      </c>
      <c r="K666" s="758" t="s">
        <v>3647</v>
      </c>
      <c r="L666" s="754"/>
      <c r="M666" s="754"/>
      <c r="N666" s="754"/>
      <c r="O666" s="754"/>
      <c r="P666" s="754"/>
      <c r="Q666" s="754"/>
      <c r="R666" s="754"/>
      <c r="S666" s="754"/>
      <c r="T666" s="754"/>
      <c r="U666" s="754"/>
      <c r="V666" s="754"/>
      <c r="W666" s="754"/>
      <c r="X666" s="754"/>
      <c r="Y666" s="754"/>
      <c r="Z666" s="754"/>
      <c r="AA666" s="754"/>
      <c r="AB666" s="754"/>
      <c r="AC666" s="754"/>
      <c r="AD666" s="754"/>
      <c r="AE666" s="754"/>
      <c r="AF666" s="754"/>
      <c r="AG666" s="754"/>
      <c r="AH666" s="754"/>
      <c r="AI666" s="754"/>
      <c r="AJ666" s="754"/>
      <c r="AK666" s="754"/>
      <c r="AL666" s="754"/>
      <c r="AM666" s="754"/>
      <c r="AN666" s="754"/>
      <c r="AO666" s="754"/>
      <c r="AP666" s="754"/>
      <c r="AQ666" s="754"/>
      <c r="AR666" s="754"/>
      <c r="AS666" s="754"/>
      <c r="AT666" s="754"/>
      <c r="AU666" s="754"/>
    </row>
    <row r="667" ht="15.75" customHeight="1">
      <c r="A667" s="768">
        <v>44504.0</v>
      </c>
      <c r="B667" s="773" t="s">
        <v>3053</v>
      </c>
      <c r="C667" s="770" t="s">
        <v>2376</v>
      </c>
      <c r="D667" s="745" t="s">
        <v>5903</v>
      </c>
      <c r="E667" s="802">
        <v>10000.0</v>
      </c>
      <c r="F667" s="745" t="s">
        <v>3052</v>
      </c>
      <c r="G667" s="755" t="s">
        <v>18</v>
      </c>
      <c r="H667" s="755" t="s">
        <v>145</v>
      </c>
      <c r="I667" s="755" t="s">
        <v>146</v>
      </c>
      <c r="J667" s="755">
        <v>44323.0</v>
      </c>
      <c r="K667" s="758" t="s">
        <v>3693</v>
      </c>
      <c r="L667" s="754"/>
      <c r="M667" s="754"/>
      <c r="N667" s="754"/>
      <c r="O667" s="754"/>
      <c r="P667" s="754"/>
      <c r="Q667" s="754"/>
      <c r="R667" s="754"/>
      <c r="S667" s="754"/>
      <c r="T667" s="754"/>
      <c r="U667" s="754"/>
      <c r="V667" s="754"/>
      <c r="W667" s="754"/>
      <c r="X667" s="754"/>
      <c r="Y667" s="754"/>
      <c r="Z667" s="754"/>
      <c r="AA667" s="754"/>
      <c r="AB667" s="754"/>
      <c r="AC667" s="754"/>
      <c r="AD667" s="754"/>
      <c r="AE667" s="754"/>
      <c r="AF667" s="754"/>
      <c r="AG667" s="754"/>
      <c r="AH667" s="754"/>
      <c r="AI667" s="754"/>
      <c r="AJ667" s="754"/>
      <c r="AK667" s="754"/>
      <c r="AL667" s="754"/>
      <c r="AM667" s="754"/>
      <c r="AN667" s="754"/>
      <c r="AO667" s="754"/>
      <c r="AP667" s="754"/>
      <c r="AQ667" s="754"/>
      <c r="AR667" s="754"/>
      <c r="AS667" s="754"/>
      <c r="AT667" s="754"/>
      <c r="AU667" s="754"/>
    </row>
    <row r="668" ht="15.75" customHeight="1">
      <c r="A668" s="768">
        <v>44505.0</v>
      </c>
      <c r="B668" s="803" t="s">
        <v>6030</v>
      </c>
      <c r="C668" s="770" t="s">
        <v>3642</v>
      </c>
      <c r="D668" s="745" t="s">
        <v>5903</v>
      </c>
      <c r="E668" s="802">
        <v>18000.0</v>
      </c>
      <c r="F668" s="745" t="s">
        <v>3179</v>
      </c>
      <c r="G668" s="745" t="s">
        <v>2379</v>
      </c>
      <c r="H668" s="745" t="s">
        <v>29</v>
      </c>
      <c r="I668" s="745" t="s">
        <v>2379</v>
      </c>
      <c r="J668" s="755">
        <v>44151.0</v>
      </c>
      <c r="K668" s="762" t="s">
        <v>3651</v>
      </c>
      <c r="L668" s="754"/>
      <c r="M668" s="754"/>
      <c r="N668" s="754"/>
      <c r="O668" s="754"/>
      <c r="P668" s="754"/>
      <c r="Q668" s="754"/>
      <c r="R668" s="754"/>
      <c r="S668" s="754"/>
      <c r="T668" s="754"/>
      <c r="U668" s="754"/>
      <c r="V668" s="754"/>
      <c r="W668" s="754"/>
      <c r="X668" s="754"/>
      <c r="Y668" s="754"/>
      <c r="Z668" s="754"/>
      <c r="AA668" s="754"/>
      <c r="AB668" s="754"/>
      <c r="AC668" s="754"/>
      <c r="AD668" s="754"/>
      <c r="AE668" s="754"/>
      <c r="AF668" s="754"/>
      <c r="AG668" s="754"/>
      <c r="AH668" s="754"/>
      <c r="AI668" s="754"/>
      <c r="AJ668" s="754"/>
      <c r="AK668" s="754"/>
      <c r="AL668" s="754"/>
      <c r="AM668" s="754"/>
      <c r="AN668" s="754"/>
      <c r="AO668" s="754"/>
      <c r="AP668" s="754"/>
      <c r="AQ668" s="754"/>
      <c r="AR668" s="754"/>
      <c r="AS668" s="754"/>
      <c r="AT668" s="754"/>
      <c r="AU668" s="754"/>
    </row>
    <row r="669" ht="15.75" customHeight="1">
      <c r="A669" s="768">
        <v>44505.0</v>
      </c>
      <c r="B669" s="800" t="s">
        <v>3325</v>
      </c>
      <c r="C669" s="770" t="s">
        <v>2376</v>
      </c>
      <c r="D669" s="745" t="s">
        <v>2387</v>
      </c>
      <c r="E669" s="772">
        <v>52493.45</v>
      </c>
      <c r="F669" s="745" t="s">
        <v>3324</v>
      </c>
      <c r="G669" s="755" t="s">
        <v>18</v>
      </c>
      <c r="H669" s="755" t="s">
        <v>145</v>
      </c>
      <c r="I669" s="755" t="s">
        <v>146</v>
      </c>
      <c r="J669" s="755">
        <v>44411.0</v>
      </c>
      <c r="K669" s="758" t="s">
        <v>3651</v>
      </c>
      <c r="L669" s="754"/>
      <c r="M669" s="754"/>
      <c r="N669" s="754"/>
      <c r="O669" s="754"/>
      <c r="P669" s="754"/>
      <c r="Q669" s="754"/>
      <c r="R669" s="754"/>
      <c r="S669" s="754"/>
      <c r="T669" s="754"/>
      <c r="U669" s="754"/>
      <c r="V669" s="754"/>
      <c r="W669" s="754"/>
      <c r="X669" s="754"/>
      <c r="Y669" s="754"/>
      <c r="Z669" s="754"/>
      <c r="AA669" s="754"/>
      <c r="AB669" s="754"/>
      <c r="AC669" s="754"/>
      <c r="AD669" s="754"/>
      <c r="AE669" s="754"/>
      <c r="AF669" s="754"/>
      <c r="AG669" s="754"/>
      <c r="AH669" s="754"/>
      <c r="AI669" s="754"/>
      <c r="AJ669" s="754"/>
      <c r="AK669" s="754"/>
      <c r="AL669" s="754"/>
      <c r="AM669" s="754"/>
      <c r="AN669" s="754"/>
      <c r="AO669" s="754"/>
      <c r="AP669" s="754"/>
      <c r="AQ669" s="754"/>
      <c r="AR669" s="754"/>
      <c r="AS669" s="754"/>
      <c r="AT669" s="754"/>
      <c r="AU669" s="754"/>
    </row>
    <row r="670" ht="15.75" customHeight="1">
      <c r="A670" s="768">
        <v>44505.0</v>
      </c>
      <c r="B670" s="800" t="s">
        <v>3416</v>
      </c>
      <c r="C670" s="770" t="s">
        <v>2376</v>
      </c>
      <c r="D670" s="745" t="s">
        <v>5903</v>
      </c>
      <c r="E670" s="802">
        <v>200000.0</v>
      </c>
      <c r="F670" s="745" t="s">
        <v>3415</v>
      </c>
      <c r="G670" s="755" t="s">
        <v>2379</v>
      </c>
      <c r="H670" s="755" t="s">
        <v>29</v>
      </c>
      <c r="I670" s="755" t="s">
        <v>2380</v>
      </c>
      <c r="J670" s="755">
        <v>43567.0</v>
      </c>
      <c r="K670" s="758" t="s">
        <v>3651</v>
      </c>
      <c r="L670" s="754"/>
      <c r="M670" s="754"/>
      <c r="N670" s="754"/>
      <c r="O670" s="754"/>
      <c r="P670" s="754"/>
      <c r="Q670" s="754"/>
      <c r="R670" s="754"/>
      <c r="S670" s="754"/>
      <c r="T670" s="754"/>
      <c r="U670" s="754"/>
      <c r="V670" s="754"/>
      <c r="W670" s="754"/>
      <c r="X670" s="754"/>
      <c r="Y670" s="754"/>
      <c r="Z670" s="754"/>
      <c r="AA670" s="754"/>
      <c r="AB670" s="754"/>
      <c r="AC670" s="754"/>
      <c r="AD670" s="754"/>
      <c r="AE670" s="754"/>
      <c r="AF670" s="754"/>
      <c r="AG670" s="754"/>
      <c r="AH670" s="754"/>
      <c r="AI670" s="754"/>
      <c r="AJ670" s="754"/>
      <c r="AK670" s="754"/>
      <c r="AL670" s="754"/>
      <c r="AM670" s="754"/>
      <c r="AN670" s="754"/>
      <c r="AO670" s="754"/>
      <c r="AP670" s="754"/>
      <c r="AQ670" s="754"/>
      <c r="AR670" s="754"/>
      <c r="AS670" s="754"/>
      <c r="AT670" s="754"/>
      <c r="AU670" s="754"/>
    </row>
    <row r="671" ht="15.75" customHeight="1">
      <c r="A671" s="768">
        <v>44505.0</v>
      </c>
      <c r="B671" s="809" t="s">
        <v>2817</v>
      </c>
      <c r="C671" s="770" t="s">
        <v>2376</v>
      </c>
      <c r="D671" s="745" t="s">
        <v>5902</v>
      </c>
      <c r="E671" s="802">
        <v>386234.9</v>
      </c>
      <c r="F671" s="745" t="s">
        <v>2816</v>
      </c>
      <c r="G671" s="755" t="s">
        <v>2379</v>
      </c>
      <c r="H671" s="755" t="s">
        <v>29</v>
      </c>
      <c r="I671" s="755" t="s">
        <v>2380</v>
      </c>
      <c r="J671" s="755">
        <v>43692.0</v>
      </c>
      <c r="K671" s="758" t="s">
        <v>4033</v>
      </c>
      <c r="L671" s="754"/>
      <c r="M671" s="754"/>
      <c r="N671" s="754"/>
      <c r="O671" s="754"/>
      <c r="P671" s="754"/>
      <c r="Q671" s="754"/>
      <c r="R671" s="754"/>
      <c r="S671" s="754"/>
      <c r="T671" s="754"/>
      <c r="U671" s="754"/>
      <c r="V671" s="754"/>
      <c r="W671" s="754"/>
      <c r="X671" s="754"/>
      <c r="Y671" s="754"/>
      <c r="Z671" s="754"/>
      <c r="AA671" s="754"/>
      <c r="AB671" s="754"/>
      <c r="AC671" s="754"/>
      <c r="AD671" s="754"/>
      <c r="AE671" s="754"/>
      <c r="AF671" s="754"/>
      <c r="AG671" s="754"/>
      <c r="AH671" s="754"/>
      <c r="AI671" s="754"/>
      <c r="AJ671" s="754"/>
      <c r="AK671" s="754"/>
      <c r="AL671" s="754"/>
      <c r="AM671" s="754"/>
      <c r="AN671" s="754"/>
      <c r="AO671" s="754"/>
      <c r="AP671" s="754"/>
      <c r="AQ671" s="754"/>
      <c r="AR671" s="754"/>
      <c r="AS671" s="754"/>
      <c r="AT671" s="754"/>
      <c r="AU671" s="754"/>
    </row>
    <row r="672" ht="15.75" customHeight="1">
      <c r="A672" s="768">
        <v>44509.0</v>
      </c>
      <c r="B672" s="800" t="s">
        <v>2875</v>
      </c>
      <c r="C672" s="770" t="s">
        <v>2376</v>
      </c>
      <c r="D672" s="745" t="s">
        <v>2387</v>
      </c>
      <c r="E672" s="802">
        <v>1035319.0</v>
      </c>
      <c r="F672" s="745" t="s">
        <v>2874</v>
      </c>
      <c r="G672" s="755" t="s">
        <v>18</v>
      </c>
      <c r="H672" s="755" t="s">
        <v>145</v>
      </c>
      <c r="I672" s="755" t="s">
        <v>146</v>
      </c>
      <c r="J672" s="755">
        <v>44319.0</v>
      </c>
      <c r="K672" s="758" t="s">
        <v>3651</v>
      </c>
      <c r="L672" s="754"/>
      <c r="M672" s="754"/>
      <c r="N672" s="754"/>
      <c r="O672" s="754"/>
      <c r="P672" s="754"/>
      <c r="Q672" s="754"/>
      <c r="R672" s="754"/>
      <c r="S672" s="754"/>
      <c r="T672" s="754"/>
      <c r="U672" s="754"/>
      <c r="V672" s="754"/>
      <c r="W672" s="754"/>
      <c r="X672" s="754"/>
      <c r="Y672" s="754"/>
      <c r="Z672" s="754"/>
      <c r="AA672" s="754"/>
      <c r="AB672" s="754"/>
      <c r="AC672" s="754"/>
      <c r="AD672" s="754"/>
      <c r="AE672" s="754"/>
      <c r="AF672" s="754"/>
      <c r="AG672" s="754"/>
      <c r="AH672" s="754"/>
      <c r="AI672" s="754"/>
      <c r="AJ672" s="754"/>
      <c r="AK672" s="754"/>
      <c r="AL672" s="754"/>
      <c r="AM672" s="754"/>
      <c r="AN672" s="754"/>
      <c r="AO672" s="754"/>
      <c r="AP672" s="754"/>
      <c r="AQ672" s="754"/>
      <c r="AR672" s="754"/>
      <c r="AS672" s="754"/>
      <c r="AT672" s="754"/>
      <c r="AU672" s="754"/>
    </row>
    <row r="673" ht="15.75" customHeight="1">
      <c r="A673" s="768">
        <v>44509.0</v>
      </c>
      <c r="B673" s="800" t="s">
        <v>2378</v>
      </c>
      <c r="C673" s="770" t="s">
        <v>2376</v>
      </c>
      <c r="D673" s="745" t="s">
        <v>5903</v>
      </c>
      <c r="E673" s="802">
        <v>359568.24</v>
      </c>
      <c r="F673" s="745" t="s">
        <v>2377</v>
      </c>
      <c r="G673" s="755" t="s">
        <v>2379</v>
      </c>
      <c r="H673" s="755" t="s">
        <v>29</v>
      </c>
      <c r="I673" s="755" t="s">
        <v>2380</v>
      </c>
      <c r="J673" s="755">
        <v>43570.0</v>
      </c>
      <c r="K673" s="758" t="s">
        <v>3660</v>
      </c>
      <c r="L673" s="754"/>
      <c r="M673" s="754"/>
      <c r="N673" s="754"/>
      <c r="O673" s="754"/>
      <c r="P673" s="754"/>
      <c r="Q673" s="754"/>
      <c r="R673" s="754"/>
      <c r="S673" s="754"/>
      <c r="T673" s="754"/>
      <c r="U673" s="754"/>
      <c r="V673" s="754"/>
      <c r="W673" s="754"/>
      <c r="X673" s="754"/>
      <c r="Y673" s="754"/>
      <c r="Z673" s="754"/>
      <c r="AA673" s="754"/>
      <c r="AB673" s="754"/>
      <c r="AC673" s="754"/>
      <c r="AD673" s="754"/>
      <c r="AE673" s="754"/>
      <c r="AF673" s="754"/>
      <c r="AG673" s="754"/>
      <c r="AH673" s="754"/>
      <c r="AI673" s="754"/>
      <c r="AJ673" s="754"/>
      <c r="AK673" s="754"/>
      <c r="AL673" s="754"/>
      <c r="AM673" s="754"/>
      <c r="AN673" s="754"/>
      <c r="AO673" s="754"/>
      <c r="AP673" s="754"/>
      <c r="AQ673" s="754"/>
      <c r="AR673" s="754"/>
      <c r="AS673" s="754"/>
      <c r="AT673" s="754"/>
      <c r="AU673" s="754"/>
    </row>
    <row r="674" ht="15.75" customHeight="1">
      <c r="A674" s="768">
        <v>44509.0</v>
      </c>
      <c r="B674" s="769" t="s">
        <v>2811</v>
      </c>
      <c r="C674" s="770" t="s">
        <v>2376</v>
      </c>
      <c r="D674" s="745" t="s">
        <v>5903</v>
      </c>
      <c r="E674" s="771">
        <v>10000.0</v>
      </c>
      <c r="F674" s="745" t="s">
        <v>2810</v>
      </c>
      <c r="G674" s="755" t="s">
        <v>2379</v>
      </c>
      <c r="H674" s="755" t="s">
        <v>29</v>
      </c>
      <c r="I674" s="755" t="s">
        <v>2380</v>
      </c>
      <c r="J674" s="755">
        <v>43703.0</v>
      </c>
      <c r="K674" s="758" t="s">
        <v>4033</v>
      </c>
      <c r="L674" s="754"/>
      <c r="M674" s="754"/>
      <c r="N674" s="754"/>
      <c r="O674" s="754"/>
      <c r="P674" s="754"/>
      <c r="Q674" s="754"/>
      <c r="R674" s="754"/>
      <c r="S674" s="754"/>
      <c r="T674" s="754"/>
      <c r="U674" s="754"/>
      <c r="V674" s="754"/>
      <c r="W674" s="754"/>
      <c r="X674" s="754"/>
      <c r="Y674" s="754"/>
      <c r="Z674" s="754"/>
      <c r="AA674" s="754"/>
      <c r="AB674" s="754"/>
      <c r="AC674" s="754"/>
      <c r="AD674" s="754"/>
      <c r="AE674" s="754"/>
      <c r="AF674" s="754"/>
      <c r="AG674" s="754"/>
      <c r="AH674" s="754"/>
      <c r="AI674" s="754"/>
      <c r="AJ674" s="754"/>
      <c r="AK674" s="754"/>
      <c r="AL674" s="754"/>
      <c r="AM674" s="754"/>
      <c r="AN674" s="754"/>
      <c r="AO674" s="754"/>
      <c r="AP674" s="754"/>
      <c r="AQ674" s="754"/>
      <c r="AR674" s="754"/>
      <c r="AS674" s="754"/>
      <c r="AT674" s="754"/>
      <c r="AU674" s="754"/>
    </row>
    <row r="675" ht="15.75" customHeight="1">
      <c r="A675" s="768">
        <v>44509.0</v>
      </c>
      <c r="B675" s="809" t="s">
        <v>2423</v>
      </c>
      <c r="C675" s="770" t="s">
        <v>2376</v>
      </c>
      <c r="D675" s="745" t="s">
        <v>5902</v>
      </c>
      <c r="E675" s="771">
        <v>103527.44</v>
      </c>
      <c r="F675" s="745" t="s">
        <v>2422</v>
      </c>
      <c r="G675" s="755" t="s">
        <v>2379</v>
      </c>
      <c r="H675" s="755" t="s">
        <v>29</v>
      </c>
      <c r="I675" s="755" t="s">
        <v>2392</v>
      </c>
      <c r="J675" s="755">
        <v>43633.0</v>
      </c>
      <c r="K675" s="758" t="s">
        <v>3660</v>
      </c>
      <c r="L675" s="754"/>
      <c r="M675" s="754"/>
      <c r="N675" s="754"/>
      <c r="O675" s="754"/>
      <c r="P675" s="754"/>
      <c r="Q675" s="754"/>
      <c r="R675" s="754"/>
      <c r="S675" s="754"/>
      <c r="T675" s="754"/>
      <c r="U675" s="754"/>
      <c r="V675" s="754"/>
      <c r="W675" s="754"/>
      <c r="X675" s="754"/>
      <c r="Y675" s="754"/>
      <c r="Z675" s="754"/>
      <c r="AA675" s="754"/>
      <c r="AB675" s="754"/>
      <c r="AC675" s="754"/>
      <c r="AD675" s="754"/>
      <c r="AE675" s="754"/>
      <c r="AF675" s="754"/>
      <c r="AG675" s="754"/>
      <c r="AH675" s="754"/>
      <c r="AI675" s="754"/>
      <c r="AJ675" s="754"/>
      <c r="AK675" s="754"/>
      <c r="AL675" s="754"/>
      <c r="AM675" s="754"/>
      <c r="AN675" s="754"/>
      <c r="AO675" s="754"/>
      <c r="AP675" s="754"/>
      <c r="AQ675" s="754"/>
      <c r="AR675" s="754"/>
      <c r="AS675" s="754"/>
      <c r="AT675" s="754"/>
      <c r="AU675" s="754"/>
    </row>
    <row r="676" ht="15.75" customHeight="1">
      <c r="A676" s="768">
        <v>44510.0</v>
      </c>
      <c r="B676" s="803" t="s">
        <v>5941</v>
      </c>
      <c r="C676" s="770" t="s">
        <v>3642</v>
      </c>
      <c r="D676" s="745" t="s">
        <v>5903</v>
      </c>
      <c r="E676" s="771">
        <v>20000.0</v>
      </c>
      <c r="F676" s="745" t="s">
        <v>4928</v>
      </c>
      <c r="G676" s="745" t="s">
        <v>86</v>
      </c>
      <c r="H676" s="745" t="s">
        <v>29</v>
      </c>
      <c r="I676" s="745" t="s">
        <v>4314</v>
      </c>
      <c r="J676" s="755">
        <v>44180.0</v>
      </c>
      <c r="K676" s="762" t="s">
        <v>3651</v>
      </c>
      <c r="L676" s="754"/>
      <c r="M676" s="754"/>
      <c r="N676" s="754"/>
      <c r="O676" s="754"/>
      <c r="P676" s="754"/>
      <c r="Q676" s="754"/>
      <c r="R676" s="754"/>
      <c r="S676" s="754"/>
      <c r="T676" s="754"/>
      <c r="U676" s="754"/>
      <c r="V676" s="754"/>
      <c r="W676" s="754"/>
      <c r="X676" s="754"/>
      <c r="Y676" s="754"/>
      <c r="Z676" s="754"/>
      <c r="AA676" s="754"/>
      <c r="AB676" s="754"/>
      <c r="AC676" s="754"/>
      <c r="AD676" s="754"/>
      <c r="AE676" s="754"/>
      <c r="AF676" s="754"/>
      <c r="AG676" s="754"/>
      <c r="AH676" s="754"/>
      <c r="AI676" s="754"/>
      <c r="AJ676" s="754"/>
      <c r="AK676" s="754"/>
      <c r="AL676" s="754"/>
      <c r="AM676" s="754"/>
      <c r="AN676" s="754"/>
      <c r="AO676" s="754"/>
      <c r="AP676" s="754"/>
      <c r="AQ676" s="754"/>
      <c r="AR676" s="754"/>
      <c r="AS676" s="754"/>
      <c r="AT676" s="754"/>
      <c r="AU676" s="754"/>
    </row>
    <row r="677" ht="15.75" customHeight="1">
      <c r="A677" s="768">
        <v>44510.0</v>
      </c>
      <c r="B677" s="769" t="s">
        <v>2919</v>
      </c>
      <c r="C677" s="770" t="s">
        <v>2376</v>
      </c>
      <c r="D677" s="745" t="s">
        <v>5903</v>
      </c>
      <c r="E677" s="771">
        <v>10000.0</v>
      </c>
      <c r="F677" s="745" t="s">
        <v>2918</v>
      </c>
      <c r="G677" s="755" t="s">
        <v>18</v>
      </c>
      <c r="H677" s="755" t="s">
        <v>145</v>
      </c>
      <c r="I677" s="755" t="s">
        <v>146</v>
      </c>
      <c r="J677" s="755">
        <v>44295.0</v>
      </c>
      <c r="K677" s="758" t="s">
        <v>3657</v>
      </c>
      <c r="L677" s="754"/>
      <c r="M677" s="754"/>
      <c r="N677" s="754"/>
      <c r="O677" s="754"/>
      <c r="P677" s="754"/>
      <c r="Q677" s="754"/>
      <c r="R677" s="754"/>
      <c r="S677" s="754"/>
      <c r="T677" s="754"/>
      <c r="U677" s="754"/>
      <c r="V677" s="754"/>
      <c r="W677" s="754"/>
      <c r="X677" s="754"/>
      <c r="Y677" s="754"/>
      <c r="Z677" s="754"/>
      <c r="AA677" s="754"/>
      <c r="AB677" s="754"/>
      <c r="AC677" s="754"/>
      <c r="AD677" s="754"/>
      <c r="AE677" s="754"/>
      <c r="AF677" s="754"/>
      <c r="AG677" s="754"/>
      <c r="AH677" s="754"/>
      <c r="AI677" s="754"/>
      <c r="AJ677" s="754"/>
      <c r="AK677" s="754"/>
      <c r="AL677" s="754"/>
      <c r="AM677" s="754"/>
      <c r="AN677" s="754"/>
      <c r="AO677" s="754"/>
      <c r="AP677" s="754"/>
      <c r="AQ677" s="754"/>
      <c r="AR677" s="754"/>
      <c r="AS677" s="754"/>
      <c r="AT677" s="754"/>
      <c r="AU677" s="754"/>
    </row>
    <row r="678" ht="15.75" customHeight="1">
      <c r="A678" s="768">
        <v>44511.0</v>
      </c>
      <c r="B678" s="769" t="s">
        <v>3101</v>
      </c>
      <c r="C678" s="770" t="s">
        <v>2376</v>
      </c>
      <c r="D678" s="745" t="s">
        <v>2387</v>
      </c>
      <c r="E678" s="810">
        <v>52575.43</v>
      </c>
      <c r="F678" s="745" t="s">
        <v>1587</v>
      </c>
      <c r="G678" s="755" t="s">
        <v>18</v>
      </c>
      <c r="H678" s="755" t="s">
        <v>145</v>
      </c>
      <c r="I678" s="755" t="s">
        <v>146</v>
      </c>
      <c r="J678" s="755">
        <v>44322.0</v>
      </c>
      <c r="K678" s="758" t="s">
        <v>3651</v>
      </c>
      <c r="L678" s="754"/>
      <c r="M678" s="754"/>
      <c r="N678" s="754"/>
      <c r="O678" s="754"/>
      <c r="P678" s="754"/>
      <c r="Q678" s="754"/>
      <c r="R678" s="754"/>
      <c r="S678" s="754"/>
      <c r="T678" s="754"/>
      <c r="U678" s="754"/>
      <c r="V678" s="754"/>
      <c r="W678" s="754"/>
      <c r="X678" s="754"/>
      <c r="Y678" s="754"/>
      <c r="Z678" s="754"/>
      <c r="AA678" s="754"/>
      <c r="AB678" s="754"/>
      <c r="AC678" s="754"/>
      <c r="AD678" s="754"/>
      <c r="AE678" s="754"/>
      <c r="AF678" s="754"/>
      <c r="AG678" s="754"/>
      <c r="AH678" s="754"/>
      <c r="AI678" s="754"/>
      <c r="AJ678" s="754"/>
      <c r="AK678" s="754"/>
      <c r="AL678" s="754"/>
      <c r="AM678" s="754"/>
      <c r="AN678" s="754"/>
      <c r="AO678" s="754"/>
      <c r="AP678" s="754"/>
      <c r="AQ678" s="754"/>
      <c r="AR678" s="754"/>
      <c r="AS678" s="754"/>
      <c r="AT678" s="754"/>
      <c r="AU678" s="754"/>
    </row>
    <row r="679" ht="15.75" customHeight="1">
      <c r="A679" s="768">
        <v>44511.0</v>
      </c>
      <c r="B679" s="769" t="s">
        <v>2529</v>
      </c>
      <c r="C679" s="770" t="s">
        <v>2376</v>
      </c>
      <c r="D679" s="745" t="s">
        <v>5903</v>
      </c>
      <c r="E679" s="772">
        <v>6843.64</v>
      </c>
      <c r="F679" s="745" t="s">
        <v>362</v>
      </c>
      <c r="G679" s="755" t="s">
        <v>18</v>
      </c>
      <c r="H679" s="755" t="s">
        <v>145</v>
      </c>
      <c r="I679" s="755" t="s">
        <v>146</v>
      </c>
      <c r="J679" s="755">
        <v>44421.0</v>
      </c>
      <c r="K679" s="758" t="s">
        <v>3651</v>
      </c>
      <c r="L679" s="754"/>
      <c r="M679" s="754"/>
      <c r="N679" s="754"/>
      <c r="O679" s="754"/>
      <c r="P679" s="754"/>
      <c r="Q679" s="754"/>
      <c r="R679" s="754"/>
      <c r="S679" s="754"/>
      <c r="T679" s="754"/>
      <c r="U679" s="754"/>
      <c r="V679" s="754"/>
      <c r="W679" s="754"/>
      <c r="X679" s="754"/>
      <c r="Y679" s="754"/>
      <c r="Z679" s="754"/>
      <c r="AA679" s="754"/>
      <c r="AB679" s="754"/>
      <c r="AC679" s="754"/>
      <c r="AD679" s="754"/>
      <c r="AE679" s="754"/>
      <c r="AF679" s="754"/>
      <c r="AG679" s="754"/>
      <c r="AH679" s="754"/>
      <c r="AI679" s="754"/>
      <c r="AJ679" s="754"/>
      <c r="AK679" s="754"/>
      <c r="AL679" s="754"/>
      <c r="AM679" s="754"/>
      <c r="AN679" s="754"/>
      <c r="AO679" s="754"/>
      <c r="AP679" s="754"/>
      <c r="AQ679" s="754"/>
      <c r="AR679" s="754"/>
      <c r="AS679" s="754"/>
      <c r="AT679" s="754"/>
      <c r="AU679" s="754"/>
    </row>
    <row r="680" ht="15.75" customHeight="1">
      <c r="A680" s="768">
        <v>44512.0</v>
      </c>
      <c r="B680" s="805" t="s">
        <v>6031</v>
      </c>
      <c r="C680" s="770" t="s">
        <v>3642</v>
      </c>
      <c r="D680" s="745" t="s">
        <v>5902</v>
      </c>
      <c r="E680" s="771">
        <v>124370.77</v>
      </c>
      <c r="F680" s="745" t="s">
        <v>5238</v>
      </c>
      <c r="G680" s="745" t="s">
        <v>86</v>
      </c>
      <c r="H680" s="745" t="s">
        <v>29</v>
      </c>
      <c r="I680" s="745" t="s">
        <v>5239</v>
      </c>
      <c r="J680" s="755">
        <v>44209.0</v>
      </c>
      <c r="K680" s="762" t="s">
        <v>3693</v>
      </c>
      <c r="L680" s="754"/>
      <c r="M680" s="754"/>
      <c r="N680" s="754"/>
      <c r="O680" s="754"/>
      <c r="P680" s="754"/>
      <c r="Q680" s="754"/>
      <c r="R680" s="754"/>
      <c r="S680" s="754"/>
      <c r="T680" s="754"/>
      <c r="U680" s="754"/>
      <c r="V680" s="754"/>
      <c r="W680" s="754"/>
      <c r="X680" s="754"/>
      <c r="Y680" s="754"/>
      <c r="Z680" s="754"/>
      <c r="AA680" s="754"/>
      <c r="AB680" s="754"/>
      <c r="AC680" s="754"/>
      <c r="AD680" s="754"/>
      <c r="AE680" s="754"/>
      <c r="AF680" s="754"/>
      <c r="AG680" s="754"/>
      <c r="AH680" s="754"/>
      <c r="AI680" s="754"/>
      <c r="AJ680" s="754"/>
      <c r="AK680" s="754"/>
      <c r="AL680" s="754"/>
      <c r="AM680" s="754"/>
      <c r="AN680" s="754"/>
      <c r="AO680" s="754"/>
      <c r="AP680" s="754"/>
      <c r="AQ680" s="754"/>
      <c r="AR680" s="754"/>
      <c r="AS680" s="754"/>
      <c r="AT680" s="754"/>
      <c r="AU680" s="754"/>
    </row>
    <row r="681" ht="15.75" customHeight="1">
      <c r="A681" s="768">
        <v>44512.0</v>
      </c>
      <c r="B681" s="769" t="s">
        <v>3043</v>
      </c>
      <c r="C681" s="770" t="s">
        <v>2376</v>
      </c>
      <c r="D681" s="745" t="s">
        <v>5903</v>
      </c>
      <c r="E681" s="771">
        <v>3000.0</v>
      </c>
      <c r="F681" s="745" t="s">
        <v>3042</v>
      </c>
      <c r="G681" s="755" t="s">
        <v>18</v>
      </c>
      <c r="H681" s="755" t="s">
        <v>145</v>
      </c>
      <c r="I681" s="755" t="s">
        <v>171</v>
      </c>
      <c r="J681" s="755">
        <v>44322.0</v>
      </c>
      <c r="K681" s="758" t="s">
        <v>3651</v>
      </c>
      <c r="L681" s="754"/>
      <c r="M681" s="754"/>
      <c r="N681" s="754"/>
      <c r="O681" s="754"/>
      <c r="P681" s="754"/>
      <c r="Q681" s="754"/>
      <c r="R681" s="754"/>
      <c r="S681" s="754"/>
      <c r="T681" s="754"/>
      <c r="U681" s="754"/>
      <c r="V681" s="754"/>
      <c r="W681" s="754"/>
      <c r="X681" s="754"/>
      <c r="Y681" s="754"/>
      <c r="Z681" s="754"/>
      <c r="AA681" s="754"/>
      <c r="AB681" s="754"/>
      <c r="AC681" s="754"/>
      <c r="AD681" s="754"/>
      <c r="AE681" s="754"/>
      <c r="AF681" s="754"/>
      <c r="AG681" s="754"/>
      <c r="AH681" s="754"/>
      <c r="AI681" s="754"/>
      <c r="AJ681" s="754"/>
      <c r="AK681" s="754"/>
      <c r="AL681" s="754"/>
      <c r="AM681" s="754"/>
      <c r="AN681" s="754"/>
      <c r="AO681" s="754"/>
      <c r="AP681" s="754"/>
      <c r="AQ681" s="754"/>
      <c r="AR681" s="754"/>
      <c r="AS681" s="754"/>
      <c r="AT681" s="754"/>
      <c r="AU681" s="754"/>
    </row>
    <row r="682" ht="15.75" customHeight="1">
      <c r="A682" s="768">
        <v>44512.0</v>
      </c>
      <c r="B682" s="811" t="s">
        <v>3325</v>
      </c>
      <c r="C682" s="770" t="s">
        <v>2376</v>
      </c>
      <c r="D682" s="745" t="s">
        <v>5902</v>
      </c>
      <c r="E682" s="771">
        <v>0.0</v>
      </c>
      <c r="F682" s="745" t="s">
        <v>3324</v>
      </c>
      <c r="G682" s="755" t="s">
        <v>18</v>
      </c>
      <c r="H682" s="755" t="s">
        <v>145</v>
      </c>
      <c r="I682" s="755" t="s">
        <v>146</v>
      </c>
      <c r="J682" s="755">
        <v>44411.0</v>
      </c>
      <c r="K682" s="758" t="s">
        <v>3651</v>
      </c>
      <c r="L682" s="754"/>
      <c r="M682" s="754"/>
      <c r="N682" s="754"/>
      <c r="O682" s="754"/>
      <c r="P682" s="754"/>
      <c r="Q682" s="754"/>
      <c r="R682" s="754"/>
      <c r="S682" s="754"/>
      <c r="T682" s="754"/>
      <c r="U682" s="754"/>
      <c r="V682" s="754"/>
      <c r="W682" s="754"/>
      <c r="X682" s="754"/>
      <c r="Y682" s="754"/>
      <c r="Z682" s="754"/>
      <c r="AA682" s="754"/>
      <c r="AB682" s="754"/>
      <c r="AC682" s="754"/>
      <c r="AD682" s="754"/>
      <c r="AE682" s="754"/>
      <c r="AF682" s="754"/>
      <c r="AG682" s="754"/>
      <c r="AH682" s="754"/>
      <c r="AI682" s="754"/>
      <c r="AJ682" s="754"/>
      <c r="AK682" s="754"/>
      <c r="AL682" s="754"/>
      <c r="AM682" s="754"/>
      <c r="AN682" s="754"/>
      <c r="AO682" s="754"/>
      <c r="AP682" s="754"/>
      <c r="AQ682" s="754"/>
      <c r="AR682" s="754"/>
      <c r="AS682" s="754"/>
      <c r="AT682" s="754"/>
      <c r="AU682" s="754"/>
    </row>
    <row r="683" ht="15.75" customHeight="1">
      <c r="A683" s="768">
        <v>44512.0</v>
      </c>
      <c r="B683" s="811" t="s">
        <v>3101</v>
      </c>
      <c r="C683" s="770" t="s">
        <v>2376</v>
      </c>
      <c r="D683" s="745" t="s">
        <v>5902</v>
      </c>
      <c r="E683" s="810">
        <v>52575.43</v>
      </c>
      <c r="F683" s="745" t="s">
        <v>1587</v>
      </c>
      <c r="G683" s="755" t="s">
        <v>18</v>
      </c>
      <c r="H683" s="755" t="s">
        <v>145</v>
      </c>
      <c r="I683" s="755" t="s">
        <v>146</v>
      </c>
      <c r="J683" s="755">
        <v>44322.0</v>
      </c>
      <c r="K683" s="758" t="s">
        <v>3651</v>
      </c>
      <c r="L683" s="754"/>
      <c r="M683" s="754"/>
      <c r="N683" s="754"/>
      <c r="O683" s="754"/>
      <c r="P683" s="754"/>
      <c r="Q683" s="754"/>
      <c r="R683" s="754"/>
      <c r="S683" s="754"/>
      <c r="T683" s="754"/>
      <c r="U683" s="754"/>
      <c r="V683" s="754"/>
      <c r="W683" s="754"/>
      <c r="X683" s="754"/>
      <c r="Y683" s="754"/>
      <c r="Z683" s="754"/>
      <c r="AA683" s="754"/>
      <c r="AB683" s="754"/>
      <c r="AC683" s="754"/>
      <c r="AD683" s="754"/>
      <c r="AE683" s="754"/>
      <c r="AF683" s="754"/>
      <c r="AG683" s="754"/>
      <c r="AH683" s="754"/>
      <c r="AI683" s="754"/>
      <c r="AJ683" s="754"/>
      <c r="AK683" s="754"/>
      <c r="AL683" s="754"/>
      <c r="AM683" s="754"/>
      <c r="AN683" s="754"/>
      <c r="AO683" s="754"/>
      <c r="AP683" s="754"/>
      <c r="AQ683" s="754"/>
      <c r="AR683" s="754"/>
      <c r="AS683" s="754"/>
      <c r="AT683" s="754"/>
      <c r="AU683" s="754"/>
    </row>
    <row r="684" ht="15.75" customHeight="1">
      <c r="A684" s="768">
        <v>44512.0</v>
      </c>
      <c r="B684" s="806" t="s">
        <v>6013</v>
      </c>
      <c r="C684" s="770" t="s">
        <v>2376</v>
      </c>
      <c r="D684" s="745" t="s">
        <v>5902</v>
      </c>
      <c r="E684" s="810">
        <v>3940.3</v>
      </c>
      <c r="F684" s="745" t="s">
        <v>2791</v>
      </c>
      <c r="G684" s="755" t="s">
        <v>18</v>
      </c>
      <c r="H684" s="755" t="s">
        <v>145</v>
      </c>
      <c r="I684" s="755" t="s">
        <v>146</v>
      </c>
      <c r="J684" s="755">
        <v>44333.0</v>
      </c>
      <c r="K684" s="758" t="s">
        <v>3651</v>
      </c>
      <c r="L684" s="754"/>
      <c r="M684" s="754"/>
      <c r="N684" s="754"/>
      <c r="O684" s="754"/>
      <c r="P684" s="754"/>
      <c r="Q684" s="754"/>
      <c r="R684" s="754"/>
      <c r="S684" s="754"/>
      <c r="T684" s="754"/>
      <c r="U684" s="754"/>
      <c r="V684" s="754"/>
      <c r="W684" s="754"/>
      <c r="X684" s="754"/>
      <c r="Y684" s="754"/>
      <c r="Z684" s="754"/>
      <c r="AA684" s="754"/>
      <c r="AB684" s="754"/>
      <c r="AC684" s="754"/>
      <c r="AD684" s="754"/>
      <c r="AE684" s="754"/>
      <c r="AF684" s="754"/>
      <c r="AG684" s="754"/>
      <c r="AH684" s="754"/>
      <c r="AI684" s="754"/>
      <c r="AJ684" s="754"/>
      <c r="AK684" s="754"/>
      <c r="AL684" s="754"/>
      <c r="AM684" s="754"/>
      <c r="AN684" s="754"/>
      <c r="AO684" s="754"/>
      <c r="AP684" s="754"/>
      <c r="AQ684" s="754"/>
      <c r="AR684" s="754"/>
      <c r="AS684" s="754"/>
      <c r="AT684" s="754"/>
      <c r="AU684" s="754"/>
    </row>
    <row r="685" ht="15.75" customHeight="1">
      <c r="A685" s="768">
        <v>44512.0</v>
      </c>
      <c r="B685" s="809" t="s">
        <v>2517</v>
      </c>
      <c r="C685" s="770" t="s">
        <v>2376</v>
      </c>
      <c r="D685" s="745" t="s">
        <v>5902</v>
      </c>
      <c r="E685" s="771">
        <v>2041.36</v>
      </c>
      <c r="F685" s="745" t="s">
        <v>2516</v>
      </c>
      <c r="G685" s="755" t="s">
        <v>18</v>
      </c>
      <c r="H685" s="755" t="s">
        <v>145</v>
      </c>
      <c r="I685" s="755" t="s">
        <v>146</v>
      </c>
      <c r="J685" s="755">
        <v>44280.0</v>
      </c>
      <c r="K685" s="758" t="s">
        <v>3664</v>
      </c>
      <c r="L685" s="754"/>
      <c r="M685" s="754"/>
      <c r="N685" s="754"/>
      <c r="O685" s="754"/>
      <c r="P685" s="754"/>
      <c r="Q685" s="754"/>
      <c r="R685" s="754"/>
      <c r="S685" s="754"/>
      <c r="T685" s="754"/>
      <c r="U685" s="754"/>
      <c r="V685" s="754"/>
      <c r="W685" s="754"/>
      <c r="X685" s="754"/>
      <c r="Y685" s="754"/>
      <c r="Z685" s="754"/>
      <c r="AA685" s="754"/>
      <c r="AB685" s="754"/>
      <c r="AC685" s="754"/>
      <c r="AD685" s="754"/>
      <c r="AE685" s="754"/>
      <c r="AF685" s="754"/>
      <c r="AG685" s="754"/>
      <c r="AH685" s="754"/>
      <c r="AI685" s="754"/>
      <c r="AJ685" s="754"/>
      <c r="AK685" s="754"/>
      <c r="AL685" s="754"/>
      <c r="AM685" s="754"/>
      <c r="AN685" s="754"/>
      <c r="AO685" s="754"/>
      <c r="AP685" s="754"/>
      <c r="AQ685" s="754"/>
      <c r="AR685" s="754"/>
      <c r="AS685" s="754"/>
      <c r="AT685" s="754"/>
      <c r="AU685" s="754"/>
    </row>
    <row r="686" ht="15.75" customHeight="1">
      <c r="A686" s="768">
        <v>44516.0</v>
      </c>
      <c r="B686" s="769" t="s">
        <v>3238</v>
      </c>
      <c r="C686" s="770" t="s">
        <v>2376</v>
      </c>
      <c r="D686" s="745" t="s">
        <v>5903</v>
      </c>
      <c r="E686" s="771">
        <v>54835.4</v>
      </c>
      <c r="F686" s="745" t="s">
        <v>3237</v>
      </c>
      <c r="G686" s="755" t="s">
        <v>18</v>
      </c>
      <c r="H686" s="755" t="s">
        <v>145</v>
      </c>
      <c r="I686" s="755" t="s">
        <v>171</v>
      </c>
      <c r="J686" s="755">
        <v>44279.0</v>
      </c>
      <c r="K686" s="758" t="s">
        <v>3651</v>
      </c>
      <c r="L686" s="754"/>
      <c r="M686" s="754"/>
      <c r="N686" s="754"/>
      <c r="O686" s="754"/>
      <c r="P686" s="754"/>
      <c r="Q686" s="754"/>
      <c r="R686" s="754"/>
      <c r="S686" s="754"/>
      <c r="T686" s="754"/>
      <c r="U686" s="754"/>
      <c r="V686" s="754"/>
      <c r="W686" s="754"/>
      <c r="X686" s="754"/>
      <c r="Y686" s="754"/>
      <c r="Z686" s="754"/>
      <c r="AA686" s="754"/>
      <c r="AB686" s="754"/>
      <c r="AC686" s="754"/>
      <c r="AD686" s="754"/>
      <c r="AE686" s="754"/>
      <c r="AF686" s="754"/>
      <c r="AG686" s="754"/>
      <c r="AH686" s="754"/>
      <c r="AI686" s="754"/>
      <c r="AJ686" s="754"/>
      <c r="AK686" s="754"/>
      <c r="AL686" s="754"/>
      <c r="AM686" s="754"/>
      <c r="AN686" s="754"/>
      <c r="AO686" s="754"/>
      <c r="AP686" s="754"/>
      <c r="AQ686" s="754"/>
      <c r="AR686" s="754"/>
      <c r="AS686" s="754"/>
      <c r="AT686" s="754"/>
      <c r="AU686" s="754"/>
    </row>
    <row r="687" ht="15.75" customHeight="1">
      <c r="A687" s="768">
        <v>44516.0</v>
      </c>
      <c r="B687" s="769" t="s">
        <v>2398</v>
      </c>
      <c r="C687" s="770" t="s">
        <v>2376</v>
      </c>
      <c r="D687" s="745" t="s">
        <v>5903</v>
      </c>
      <c r="E687" s="771">
        <v>100000.0</v>
      </c>
      <c r="F687" s="745" t="s">
        <v>2397</v>
      </c>
      <c r="G687" s="755" t="s">
        <v>18</v>
      </c>
      <c r="H687" s="755" t="s">
        <v>145</v>
      </c>
      <c r="I687" s="755" t="s">
        <v>171</v>
      </c>
      <c r="J687" s="755">
        <v>44321.0</v>
      </c>
      <c r="K687" s="758" t="s">
        <v>3660</v>
      </c>
      <c r="L687" s="754"/>
      <c r="M687" s="754"/>
      <c r="N687" s="754"/>
      <c r="O687" s="754"/>
      <c r="P687" s="754"/>
      <c r="Q687" s="754"/>
      <c r="R687" s="754"/>
      <c r="S687" s="754"/>
      <c r="T687" s="754"/>
      <c r="U687" s="754"/>
      <c r="V687" s="754"/>
      <c r="W687" s="754"/>
      <c r="X687" s="754"/>
      <c r="Y687" s="754"/>
      <c r="Z687" s="754"/>
      <c r="AA687" s="754"/>
      <c r="AB687" s="754"/>
      <c r="AC687" s="754"/>
      <c r="AD687" s="754"/>
      <c r="AE687" s="754"/>
      <c r="AF687" s="754"/>
      <c r="AG687" s="754"/>
      <c r="AH687" s="754"/>
      <c r="AI687" s="754"/>
      <c r="AJ687" s="754"/>
      <c r="AK687" s="754"/>
      <c r="AL687" s="754"/>
      <c r="AM687" s="754"/>
      <c r="AN687" s="754"/>
      <c r="AO687" s="754"/>
      <c r="AP687" s="754"/>
      <c r="AQ687" s="754"/>
      <c r="AR687" s="754"/>
      <c r="AS687" s="754"/>
      <c r="AT687" s="754"/>
      <c r="AU687" s="754"/>
    </row>
    <row r="688" ht="15.75" customHeight="1">
      <c r="A688" s="768">
        <v>44516.0</v>
      </c>
      <c r="B688" s="803" t="s">
        <v>6032</v>
      </c>
      <c r="C688" s="770" t="s">
        <v>3642</v>
      </c>
      <c r="D688" s="745" t="s">
        <v>5902</v>
      </c>
      <c r="E688" s="771">
        <v>290532.13</v>
      </c>
      <c r="F688" s="745" t="s">
        <v>4983</v>
      </c>
      <c r="G688" s="745" t="s">
        <v>18</v>
      </c>
      <c r="H688" s="745" t="s">
        <v>19</v>
      </c>
      <c r="I688" s="745" t="s">
        <v>230</v>
      </c>
      <c r="J688" s="755">
        <v>44259.0</v>
      </c>
      <c r="K688" s="762" t="s">
        <v>3664</v>
      </c>
      <c r="L688" s="754"/>
      <c r="M688" s="754"/>
      <c r="N688" s="754"/>
      <c r="O688" s="754"/>
      <c r="P688" s="754"/>
      <c r="Q688" s="754"/>
      <c r="R688" s="754"/>
      <c r="S688" s="754"/>
      <c r="T688" s="754"/>
      <c r="U688" s="754"/>
      <c r="V688" s="754"/>
      <c r="W688" s="754"/>
      <c r="X688" s="754"/>
      <c r="Y688" s="754"/>
      <c r="Z688" s="754"/>
      <c r="AA688" s="754"/>
      <c r="AB688" s="754"/>
      <c r="AC688" s="754"/>
      <c r="AD688" s="754"/>
      <c r="AE688" s="754"/>
      <c r="AF688" s="754"/>
      <c r="AG688" s="754"/>
      <c r="AH688" s="754"/>
      <c r="AI688" s="754"/>
      <c r="AJ688" s="754"/>
      <c r="AK688" s="754"/>
      <c r="AL688" s="754"/>
      <c r="AM688" s="754"/>
      <c r="AN688" s="754"/>
      <c r="AO688" s="754"/>
      <c r="AP688" s="754"/>
      <c r="AQ688" s="754"/>
      <c r="AR688" s="754"/>
      <c r="AS688" s="754"/>
      <c r="AT688" s="754"/>
      <c r="AU688" s="754"/>
    </row>
    <row r="689" ht="15.75" customHeight="1">
      <c r="A689" s="768">
        <v>44516.0</v>
      </c>
      <c r="B689" s="773" t="s">
        <v>5925</v>
      </c>
      <c r="C689" s="770" t="s">
        <v>3642</v>
      </c>
      <c r="D689" s="745" t="s">
        <v>5903</v>
      </c>
      <c r="E689" s="771">
        <v>5000.0</v>
      </c>
      <c r="F689" s="745" t="s">
        <v>4215</v>
      </c>
      <c r="G689" s="745" t="s">
        <v>86</v>
      </c>
      <c r="H689" s="745" t="s">
        <v>29</v>
      </c>
      <c r="I689" s="745" t="s">
        <v>3711</v>
      </c>
      <c r="J689" s="755">
        <v>44263.0</v>
      </c>
      <c r="K689" s="762" t="s">
        <v>3647</v>
      </c>
      <c r="L689" s="754"/>
      <c r="M689" s="754"/>
      <c r="N689" s="754"/>
      <c r="O689" s="754"/>
      <c r="P689" s="754"/>
      <c r="Q689" s="754"/>
      <c r="R689" s="754"/>
      <c r="S689" s="754"/>
      <c r="T689" s="754"/>
      <c r="U689" s="754"/>
      <c r="V689" s="754"/>
      <c r="W689" s="754"/>
      <c r="X689" s="754"/>
      <c r="Y689" s="754"/>
      <c r="Z689" s="754"/>
      <c r="AA689" s="754"/>
      <c r="AB689" s="754"/>
      <c r="AC689" s="754"/>
      <c r="AD689" s="754"/>
      <c r="AE689" s="754"/>
      <c r="AF689" s="754"/>
      <c r="AG689" s="754"/>
      <c r="AH689" s="754"/>
      <c r="AI689" s="754"/>
      <c r="AJ689" s="754"/>
      <c r="AK689" s="754"/>
      <c r="AL689" s="754"/>
      <c r="AM689" s="754"/>
      <c r="AN689" s="754"/>
      <c r="AO689" s="754"/>
      <c r="AP689" s="754"/>
      <c r="AQ689" s="754"/>
      <c r="AR689" s="754"/>
      <c r="AS689" s="754"/>
      <c r="AT689" s="754"/>
      <c r="AU689" s="754"/>
    </row>
    <row r="690" ht="15.75" customHeight="1">
      <c r="A690" s="768">
        <v>44516.0</v>
      </c>
      <c r="B690" s="806" t="s">
        <v>6033</v>
      </c>
      <c r="C690" s="770" t="s">
        <v>3642</v>
      </c>
      <c r="D690" s="745" t="s">
        <v>5902</v>
      </c>
      <c r="E690" s="771">
        <v>93114.82</v>
      </c>
      <c r="F690" s="745" t="s">
        <v>4204</v>
      </c>
      <c r="G690" s="745" t="s">
        <v>86</v>
      </c>
      <c r="H690" s="745" t="s">
        <v>29</v>
      </c>
      <c r="I690" s="745" t="s">
        <v>4205</v>
      </c>
      <c r="J690" s="755">
        <v>44407.0</v>
      </c>
      <c r="K690" s="758"/>
      <c r="L690" s="754"/>
      <c r="M690" s="754"/>
      <c r="N690" s="754"/>
      <c r="O690" s="754"/>
      <c r="P690" s="754"/>
      <c r="Q690" s="754"/>
      <c r="R690" s="754"/>
      <c r="S690" s="754"/>
      <c r="T690" s="754"/>
      <c r="U690" s="754"/>
      <c r="V690" s="754"/>
      <c r="W690" s="754"/>
      <c r="X690" s="754"/>
      <c r="Y690" s="754"/>
      <c r="Z690" s="754"/>
      <c r="AA690" s="754"/>
      <c r="AB690" s="754"/>
      <c r="AC690" s="754"/>
      <c r="AD690" s="754"/>
      <c r="AE690" s="754"/>
      <c r="AF690" s="754"/>
      <c r="AG690" s="754"/>
      <c r="AH690" s="754"/>
      <c r="AI690" s="754"/>
      <c r="AJ690" s="754"/>
      <c r="AK690" s="754"/>
      <c r="AL690" s="754"/>
      <c r="AM690" s="754"/>
      <c r="AN690" s="754"/>
      <c r="AO690" s="754"/>
      <c r="AP690" s="754"/>
      <c r="AQ690" s="754"/>
      <c r="AR690" s="754"/>
      <c r="AS690" s="754"/>
      <c r="AT690" s="754"/>
      <c r="AU690" s="754"/>
    </row>
    <row r="691" ht="15.75" customHeight="1">
      <c r="A691" s="768">
        <v>44516.0</v>
      </c>
      <c r="B691" s="769" t="s">
        <v>6034</v>
      </c>
      <c r="C691" s="770" t="s">
        <v>3642</v>
      </c>
      <c r="D691" s="745" t="s">
        <v>5903</v>
      </c>
      <c r="E691" s="771">
        <v>48809.84</v>
      </c>
      <c r="F691" s="745" t="s">
        <v>5075</v>
      </c>
      <c r="G691" s="745" t="s">
        <v>18</v>
      </c>
      <c r="H691" s="745" t="s">
        <v>19</v>
      </c>
      <c r="I691" s="745" t="s">
        <v>5099</v>
      </c>
      <c r="J691" s="755">
        <v>44340.0</v>
      </c>
      <c r="K691" s="762" t="s">
        <v>3664</v>
      </c>
      <c r="L691" s="754"/>
      <c r="M691" s="754"/>
      <c r="N691" s="754"/>
      <c r="O691" s="754"/>
      <c r="P691" s="754"/>
      <c r="Q691" s="754"/>
      <c r="R691" s="754"/>
      <c r="S691" s="754"/>
      <c r="T691" s="754"/>
      <c r="U691" s="754"/>
      <c r="V691" s="754"/>
      <c r="W691" s="754"/>
      <c r="X691" s="754"/>
      <c r="Y691" s="754"/>
      <c r="Z691" s="754"/>
      <c r="AA691" s="754"/>
      <c r="AB691" s="754"/>
      <c r="AC691" s="754"/>
      <c r="AD691" s="754"/>
      <c r="AE691" s="754"/>
      <c r="AF691" s="754"/>
      <c r="AG691" s="754"/>
      <c r="AH691" s="754"/>
      <c r="AI691" s="754"/>
      <c r="AJ691" s="754"/>
      <c r="AK691" s="754"/>
      <c r="AL691" s="754"/>
      <c r="AM691" s="754"/>
      <c r="AN691" s="754"/>
      <c r="AO691" s="754"/>
      <c r="AP691" s="754"/>
      <c r="AQ691" s="754"/>
      <c r="AR691" s="754"/>
      <c r="AS691" s="754"/>
      <c r="AT691" s="754"/>
      <c r="AU691" s="754"/>
    </row>
    <row r="692" ht="15.75" customHeight="1">
      <c r="A692" s="768">
        <v>44517.0</v>
      </c>
      <c r="B692" s="812" t="s">
        <v>6035</v>
      </c>
      <c r="C692" s="770" t="s">
        <v>3642</v>
      </c>
      <c r="D692" s="745" t="s">
        <v>5903</v>
      </c>
      <c r="E692" s="771">
        <v>10000.0</v>
      </c>
      <c r="F692" s="745" t="s">
        <v>4053</v>
      </c>
      <c r="G692" s="745" t="s">
        <v>18</v>
      </c>
      <c r="H692" s="745" t="s">
        <v>29</v>
      </c>
      <c r="I692" s="745" t="s">
        <v>2633</v>
      </c>
      <c r="J692" s="755">
        <v>44399.0</v>
      </c>
      <c r="K692" s="762" t="s">
        <v>3651</v>
      </c>
      <c r="L692" s="754"/>
      <c r="M692" s="754"/>
      <c r="N692" s="754"/>
      <c r="O692" s="754"/>
      <c r="P692" s="754"/>
      <c r="Q692" s="754"/>
      <c r="R692" s="754"/>
      <c r="S692" s="754"/>
      <c r="T692" s="754"/>
      <c r="U692" s="754"/>
      <c r="V692" s="754"/>
      <c r="W692" s="754"/>
      <c r="X692" s="754"/>
      <c r="Y692" s="754"/>
      <c r="Z692" s="754"/>
      <c r="AA692" s="754"/>
      <c r="AB692" s="754"/>
      <c r="AC692" s="754"/>
      <c r="AD692" s="754"/>
      <c r="AE692" s="754"/>
      <c r="AF692" s="754"/>
      <c r="AG692" s="754"/>
      <c r="AH692" s="754"/>
      <c r="AI692" s="754"/>
      <c r="AJ692" s="754"/>
      <c r="AK692" s="754"/>
      <c r="AL692" s="754"/>
      <c r="AM692" s="754"/>
      <c r="AN692" s="754"/>
      <c r="AO692" s="754"/>
      <c r="AP692" s="754"/>
      <c r="AQ692" s="754"/>
      <c r="AR692" s="754"/>
      <c r="AS692" s="754"/>
      <c r="AT692" s="754"/>
      <c r="AU692" s="754"/>
    </row>
    <row r="693" ht="15.75" customHeight="1">
      <c r="A693" s="768">
        <v>44517.0</v>
      </c>
      <c r="B693" s="809" t="s">
        <v>2824</v>
      </c>
      <c r="C693" s="770" t="s">
        <v>2376</v>
      </c>
      <c r="D693" s="745" t="s">
        <v>5902</v>
      </c>
      <c r="E693" s="771">
        <v>370651.89</v>
      </c>
      <c r="F693" s="745" t="s">
        <v>2823</v>
      </c>
      <c r="G693" s="755" t="s">
        <v>2379</v>
      </c>
      <c r="H693" s="755" t="s">
        <v>29</v>
      </c>
      <c r="I693" s="755" t="s">
        <v>2392</v>
      </c>
      <c r="J693" s="755">
        <v>43752.0</v>
      </c>
      <c r="K693" s="758" t="s">
        <v>3651</v>
      </c>
      <c r="L693" s="754"/>
      <c r="M693" s="754"/>
      <c r="N693" s="754"/>
      <c r="O693" s="754"/>
      <c r="P693" s="754"/>
      <c r="Q693" s="754"/>
      <c r="R693" s="754"/>
      <c r="S693" s="754"/>
      <c r="T693" s="754"/>
      <c r="U693" s="754"/>
      <c r="V693" s="754"/>
      <c r="W693" s="754"/>
      <c r="X693" s="754"/>
      <c r="Y693" s="754"/>
      <c r="Z693" s="754"/>
      <c r="AA693" s="754"/>
      <c r="AB693" s="754"/>
      <c r="AC693" s="754"/>
      <c r="AD693" s="754"/>
      <c r="AE693" s="754"/>
      <c r="AF693" s="754"/>
      <c r="AG693" s="754"/>
      <c r="AH693" s="754"/>
      <c r="AI693" s="754"/>
      <c r="AJ693" s="754"/>
      <c r="AK693" s="754"/>
      <c r="AL693" s="754"/>
      <c r="AM693" s="754"/>
      <c r="AN693" s="754"/>
      <c r="AO693" s="754"/>
      <c r="AP693" s="754"/>
      <c r="AQ693" s="754"/>
      <c r="AR693" s="754"/>
      <c r="AS693" s="754"/>
      <c r="AT693" s="754"/>
      <c r="AU693" s="754"/>
    </row>
    <row r="694" ht="15.75" customHeight="1">
      <c r="A694" s="768">
        <v>44517.0</v>
      </c>
      <c r="B694" s="769" t="s">
        <v>3267</v>
      </c>
      <c r="C694" s="770" t="s">
        <v>2376</v>
      </c>
      <c r="D694" s="745" t="s">
        <v>5903</v>
      </c>
      <c r="E694" s="771">
        <v>10000.0</v>
      </c>
      <c r="F694" s="745" t="s">
        <v>3266</v>
      </c>
      <c r="G694" s="755" t="s">
        <v>18</v>
      </c>
      <c r="H694" s="755" t="s">
        <v>145</v>
      </c>
      <c r="I694" s="755" t="s">
        <v>171</v>
      </c>
      <c r="J694" s="755">
        <v>44319.0</v>
      </c>
      <c r="K694" s="758" t="s">
        <v>3651</v>
      </c>
      <c r="L694" s="754"/>
      <c r="M694" s="754"/>
      <c r="N694" s="754"/>
      <c r="O694" s="754"/>
      <c r="P694" s="754"/>
      <c r="Q694" s="754"/>
      <c r="R694" s="754"/>
      <c r="S694" s="754"/>
      <c r="T694" s="754"/>
      <c r="U694" s="754"/>
      <c r="V694" s="754"/>
      <c r="W694" s="754"/>
      <c r="X694" s="754"/>
      <c r="Y694" s="754"/>
      <c r="Z694" s="754"/>
      <c r="AA694" s="754"/>
      <c r="AB694" s="754"/>
      <c r="AC694" s="754"/>
      <c r="AD694" s="754"/>
      <c r="AE694" s="754"/>
      <c r="AF694" s="754"/>
      <c r="AG694" s="754"/>
      <c r="AH694" s="754"/>
      <c r="AI694" s="754"/>
      <c r="AJ694" s="754"/>
      <c r="AK694" s="754"/>
      <c r="AL694" s="754"/>
      <c r="AM694" s="754"/>
      <c r="AN694" s="754"/>
      <c r="AO694" s="754"/>
      <c r="AP694" s="754"/>
      <c r="AQ694" s="754"/>
      <c r="AR694" s="754"/>
      <c r="AS694" s="754"/>
      <c r="AT694" s="754"/>
      <c r="AU694" s="754"/>
    </row>
    <row r="695" ht="15.75" customHeight="1">
      <c r="A695" s="768">
        <v>44518.0</v>
      </c>
      <c r="B695" s="769" t="s">
        <v>6036</v>
      </c>
      <c r="C695" s="770" t="s">
        <v>3642</v>
      </c>
      <c r="D695" s="745" t="s">
        <v>5903</v>
      </c>
      <c r="E695" s="771">
        <v>25000.0</v>
      </c>
      <c r="F695" s="745" t="s">
        <v>6037</v>
      </c>
      <c r="G695" s="734" t="s">
        <v>2379</v>
      </c>
      <c r="H695" s="813" t="s">
        <v>29</v>
      </c>
      <c r="I695" s="813" t="s">
        <v>2379</v>
      </c>
      <c r="J695" s="814">
        <v>44452.0</v>
      </c>
      <c r="K695" s="762" t="s">
        <v>3651</v>
      </c>
      <c r="L695" s="754"/>
      <c r="M695" s="754"/>
      <c r="N695" s="754"/>
      <c r="O695" s="754"/>
      <c r="P695" s="754"/>
      <c r="Q695" s="754"/>
      <c r="R695" s="754"/>
      <c r="S695" s="754"/>
      <c r="T695" s="754"/>
      <c r="U695" s="754"/>
      <c r="V695" s="754"/>
      <c r="W695" s="754"/>
      <c r="X695" s="754"/>
      <c r="Y695" s="754"/>
      <c r="Z695" s="754"/>
      <c r="AA695" s="754"/>
      <c r="AB695" s="754"/>
      <c r="AC695" s="754"/>
      <c r="AD695" s="754"/>
      <c r="AE695" s="754"/>
      <c r="AF695" s="754"/>
      <c r="AG695" s="754"/>
      <c r="AH695" s="754"/>
      <c r="AI695" s="754"/>
      <c r="AJ695" s="754"/>
      <c r="AK695" s="754"/>
      <c r="AL695" s="754"/>
      <c r="AM695" s="754"/>
      <c r="AN695" s="754"/>
      <c r="AO695" s="754"/>
      <c r="AP695" s="754"/>
      <c r="AQ695" s="754"/>
      <c r="AR695" s="754"/>
      <c r="AS695" s="754"/>
      <c r="AT695" s="754"/>
      <c r="AU695" s="754"/>
    </row>
    <row r="696" ht="15.75" customHeight="1">
      <c r="A696" s="768">
        <v>44518.0</v>
      </c>
      <c r="B696" s="769" t="s">
        <v>2567</v>
      </c>
      <c r="C696" s="770" t="s">
        <v>2376</v>
      </c>
      <c r="D696" s="745" t="s">
        <v>2387</v>
      </c>
      <c r="E696" s="771">
        <v>282315.92</v>
      </c>
      <c r="F696" s="745" t="s">
        <v>2566</v>
      </c>
      <c r="G696" s="755" t="s">
        <v>2379</v>
      </c>
      <c r="H696" s="755" t="s">
        <v>29</v>
      </c>
      <c r="I696" s="755" t="s">
        <v>2380</v>
      </c>
      <c r="J696" s="755">
        <v>43707.0</v>
      </c>
      <c r="K696" s="758" t="s">
        <v>3664</v>
      </c>
      <c r="L696" s="754"/>
      <c r="M696" s="754"/>
      <c r="N696" s="754"/>
      <c r="O696" s="754"/>
      <c r="P696" s="754"/>
      <c r="Q696" s="754"/>
      <c r="R696" s="754"/>
      <c r="S696" s="754"/>
      <c r="T696" s="754"/>
      <c r="U696" s="754"/>
      <c r="V696" s="754"/>
      <c r="W696" s="754"/>
      <c r="X696" s="754"/>
      <c r="Y696" s="754"/>
      <c r="Z696" s="754"/>
      <c r="AA696" s="754"/>
      <c r="AB696" s="754"/>
      <c r="AC696" s="754"/>
      <c r="AD696" s="754"/>
      <c r="AE696" s="754"/>
      <c r="AF696" s="754"/>
      <c r="AG696" s="754"/>
      <c r="AH696" s="754"/>
      <c r="AI696" s="754"/>
      <c r="AJ696" s="754"/>
      <c r="AK696" s="754"/>
      <c r="AL696" s="754"/>
      <c r="AM696" s="754"/>
      <c r="AN696" s="754"/>
      <c r="AO696" s="754"/>
      <c r="AP696" s="754"/>
      <c r="AQ696" s="754"/>
      <c r="AR696" s="754"/>
      <c r="AS696" s="754"/>
      <c r="AT696" s="754"/>
      <c r="AU696" s="754"/>
    </row>
    <row r="697" ht="15.75" customHeight="1">
      <c r="A697" s="768">
        <v>44518.0</v>
      </c>
      <c r="B697" s="815" t="s">
        <v>2540</v>
      </c>
      <c r="C697" s="770" t="s">
        <v>2376</v>
      </c>
      <c r="D697" s="745" t="s">
        <v>2387</v>
      </c>
      <c r="E697" s="771">
        <v>33813.28</v>
      </c>
      <c r="F697" s="745" t="s">
        <v>2539</v>
      </c>
      <c r="G697" s="755" t="s">
        <v>2379</v>
      </c>
      <c r="H697" s="755" t="s">
        <v>29</v>
      </c>
      <c r="I697" s="755" t="s">
        <v>2380</v>
      </c>
      <c r="J697" s="755">
        <v>43769.0</v>
      </c>
      <c r="K697" s="758" t="s">
        <v>3660</v>
      </c>
      <c r="L697" s="754"/>
      <c r="M697" s="754"/>
      <c r="N697" s="754"/>
      <c r="O697" s="754"/>
      <c r="P697" s="754"/>
      <c r="Q697" s="754"/>
      <c r="R697" s="754"/>
      <c r="S697" s="754"/>
      <c r="T697" s="754"/>
      <c r="U697" s="754"/>
      <c r="V697" s="754"/>
      <c r="W697" s="754"/>
      <c r="X697" s="754"/>
      <c r="Y697" s="754"/>
      <c r="Z697" s="754"/>
      <c r="AA697" s="754"/>
      <c r="AB697" s="754"/>
      <c r="AC697" s="754"/>
      <c r="AD697" s="754"/>
      <c r="AE697" s="754"/>
      <c r="AF697" s="754"/>
      <c r="AG697" s="754"/>
      <c r="AH697" s="754"/>
      <c r="AI697" s="754"/>
      <c r="AJ697" s="754"/>
      <c r="AK697" s="754"/>
      <c r="AL697" s="754"/>
      <c r="AM697" s="754"/>
      <c r="AN697" s="754"/>
      <c r="AO697" s="754"/>
      <c r="AP697" s="754"/>
      <c r="AQ697" s="754"/>
      <c r="AR697" s="754"/>
      <c r="AS697" s="754"/>
      <c r="AT697" s="754"/>
      <c r="AU697" s="754"/>
    </row>
    <row r="698" ht="15.75" customHeight="1">
      <c r="A698" s="768">
        <v>44518.0</v>
      </c>
      <c r="B698" s="769" t="s">
        <v>2414</v>
      </c>
      <c r="C698" s="770" t="s">
        <v>2376</v>
      </c>
      <c r="D698" s="745" t="s">
        <v>2387</v>
      </c>
      <c r="E698" s="771">
        <v>90662.42</v>
      </c>
      <c r="F698" s="745" t="s">
        <v>2413</v>
      </c>
      <c r="G698" s="755" t="s">
        <v>2379</v>
      </c>
      <c r="H698" s="755" t="s">
        <v>29</v>
      </c>
      <c r="I698" s="755" t="s">
        <v>2380</v>
      </c>
      <c r="J698" s="755">
        <v>43753.0</v>
      </c>
      <c r="K698" s="758" t="s">
        <v>3651</v>
      </c>
      <c r="L698" s="754"/>
      <c r="M698" s="754"/>
      <c r="N698" s="754"/>
      <c r="O698" s="754"/>
      <c r="P698" s="754"/>
      <c r="Q698" s="754"/>
      <c r="R698" s="754"/>
      <c r="S698" s="754"/>
      <c r="T698" s="754"/>
      <c r="U698" s="754"/>
      <c r="V698" s="754"/>
      <c r="W698" s="754"/>
      <c r="X698" s="754"/>
      <c r="Y698" s="754"/>
      <c r="Z698" s="754"/>
      <c r="AA698" s="754"/>
      <c r="AB698" s="754"/>
      <c r="AC698" s="754"/>
      <c r="AD698" s="754"/>
      <c r="AE698" s="754"/>
      <c r="AF698" s="754"/>
      <c r="AG698" s="754"/>
      <c r="AH698" s="754"/>
      <c r="AI698" s="754"/>
      <c r="AJ698" s="754"/>
      <c r="AK698" s="754"/>
      <c r="AL698" s="754"/>
      <c r="AM698" s="754"/>
      <c r="AN698" s="754"/>
      <c r="AO698" s="754"/>
      <c r="AP698" s="754"/>
      <c r="AQ698" s="754"/>
      <c r="AR698" s="754"/>
      <c r="AS698" s="754"/>
      <c r="AT698" s="754"/>
      <c r="AU698" s="754"/>
    </row>
    <row r="699" ht="15.75" customHeight="1">
      <c r="A699" s="768">
        <v>44518.0</v>
      </c>
      <c r="B699" s="756" t="s">
        <v>2870</v>
      </c>
      <c r="C699" s="770" t="s">
        <v>2376</v>
      </c>
      <c r="D699" s="745" t="s">
        <v>5903</v>
      </c>
      <c r="E699" s="771">
        <v>2000.0</v>
      </c>
      <c r="F699" s="745" t="s">
        <v>2869</v>
      </c>
      <c r="G699" s="755" t="s">
        <v>2379</v>
      </c>
      <c r="H699" s="755" t="s">
        <v>29</v>
      </c>
      <c r="I699" s="755" t="s">
        <v>2380</v>
      </c>
      <c r="J699" s="755">
        <v>43605.0</v>
      </c>
      <c r="K699" s="758" t="s">
        <v>3660</v>
      </c>
      <c r="L699" s="754"/>
      <c r="M699" s="754"/>
      <c r="N699" s="754"/>
      <c r="O699" s="754"/>
      <c r="P699" s="754"/>
      <c r="Q699" s="754"/>
      <c r="R699" s="754"/>
      <c r="S699" s="754"/>
      <c r="T699" s="754"/>
      <c r="U699" s="754"/>
      <c r="V699" s="754"/>
      <c r="W699" s="754"/>
      <c r="X699" s="754"/>
      <c r="Y699" s="754"/>
      <c r="Z699" s="754"/>
      <c r="AA699" s="754"/>
      <c r="AB699" s="754"/>
      <c r="AC699" s="754"/>
      <c r="AD699" s="754"/>
      <c r="AE699" s="754"/>
      <c r="AF699" s="754"/>
      <c r="AG699" s="754"/>
      <c r="AH699" s="754"/>
      <c r="AI699" s="754"/>
      <c r="AJ699" s="754"/>
      <c r="AK699" s="754"/>
      <c r="AL699" s="754"/>
      <c r="AM699" s="754"/>
      <c r="AN699" s="754"/>
      <c r="AO699" s="754"/>
      <c r="AP699" s="754"/>
      <c r="AQ699" s="754"/>
      <c r="AR699" s="754"/>
      <c r="AS699" s="754"/>
      <c r="AT699" s="754"/>
      <c r="AU699" s="754"/>
    </row>
    <row r="700" ht="15.75" customHeight="1">
      <c r="A700" s="768">
        <v>44518.0</v>
      </c>
      <c r="B700" s="805" t="s">
        <v>6038</v>
      </c>
      <c r="C700" s="770" t="s">
        <v>3642</v>
      </c>
      <c r="D700" s="745" t="s">
        <v>5902</v>
      </c>
      <c r="E700" s="771">
        <v>121773.16</v>
      </c>
      <c r="F700" s="745" t="s">
        <v>4245</v>
      </c>
      <c r="G700" s="745" t="s">
        <v>18</v>
      </c>
      <c r="H700" s="745" t="s">
        <v>29</v>
      </c>
      <c r="I700" s="745" t="s">
        <v>3650</v>
      </c>
      <c r="J700" s="755">
        <v>44231.0</v>
      </c>
      <c r="K700" s="762" t="s">
        <v>3660</v>
      </c>
      <c r="L700" s="754"/>
      <c r="M700" s="754"/>
      <c r="N700" s="754"/>
      <c r="O700" s="754"/>
      <c r="P700" s="754"/>
      <c r="Q700" s="754"/>
      <c r="R700" s="754"/>
      <c r="S700" s="754"/>
      <c r="T700" s="754"/>
      <c r="U700" s="754"/>
      <c r="V700" s="754"/>
      <c r="W700" s="754"/>
      <c r="X700" s="754"/>
      <c r="Y700" s="754"/>
      <c r="Z700" s="754"/>
      <c r="AA700" s="754"/>
      <c r="AB700" s="754"/>
      <c r="AC700" s="754"/>
      <c r="AD700" s="754"/>
      <c r="AE700" s="754"/>
      <c r="AF700" s="754"/>
      <c r="AG700" s="754"/>
      <c r="AH700" s="754"/>
      <c r="AI700" s="754"/>
      <c r="AJ700" s="754"/>
      <c r="AK700" s="754"/>
      <c r="AL700" s="754"/>
      <c r="AM700" s="754"/>
      <c r="AN700" s="754"/>
      <c r="AO700" s="754"/>
      <c r="AP700" s="754"/>
      <c r="AQ700" s="754"/>
      <c r="AR700" s="754"/>
      <c r="AS700" s="754"/>
      <c r="AT700" s="754"/>
      <c r="AU700" s="754"/>
    </row>
    <row r="701" ht="15.75" customHeight="1">
      <c r="A701" s="768">
        <v>44518.0</v>
      </c>
      <c r="B701" s="812" t="s">
        <v>6039</v>
      </c>
      <c r="C701" s="770" t="s">
        <v>3642</v>
      </c>
      <c r="D701" s="745" t="s">
        <v>5903</v>
      </c>
      <c r="E701" s="771">
        <v>31579.5</v>
      </c>
      <c r="F701" s="745" t="s">
        <v>4258</v>
      </c>
      <c r="G701" s="745" t="s">
        <v>18</v>
      </c>
      <c r="H701" s="745" t="s">
        <v>19</v>
      </c>
      <c r="I701" s="745" t="s">
        <v>230</v>
      </c>
      <c r="J701" s="755">
        <v>44413.0</v>
      </c>
      <c r="K701" s="762" t="s">
        <v>3664</v>
      </c>
      <c r="L701" s="754"/>
      <c r="M701" s="754"/>
      <c r="N701" s="754"/>
      <c r="O701" s="754"/>
      <c r="P701" s="754"/>
      <c r="Q701" s="754"/>
      <c r="R701" s="754"/>
      <c r="S701" s="754"/>
      <c r="T701" s="754"/>
      <c r="U701" s="754"/>
      <c r="V701" s="754"/>
      <c r="W701" s="754"/>
      <c r="X701" s="754"/>
      <c r="Y701" s="754"/>
      <c r="Z701" s="754"/>
      <c r="AA701" s="754"/>
      <c r="AB701" s="754"/>
      <c r="AC701" s="754"/>
      <c r="AD701" s="754"/>
      <c r="AE701" s="754"/>
      <c r="AF701" s="754"/>
      <c r="AG701" s="754"/>
      <c r="AH701" s="754"/>
      <c r="AI701" s="754"/>
      <c r="AJ701" s="754"/>
      <c r="AK701" s="754"/>
      <c r="AL701" s="754"/>
      <c r="AM701" s="754"/>
      <c r="AN701" s="754"/>
      <c r="AO701" s="754"/>
      <c r="AP701" s="754"/>
      <c r="AQ701" s="754"/>
      <c r="AR701" s="754"/>
      <c r="AS701" s="754"/>
      <c r="AT701" s="754"/>
      <c r="AU701" s="754"/>
    </row>
    <row r="702" ht="15.75" customHeight="1">
      <c r="A702" s="768">
        <v>44519.0</v>
      </c>
      <c r="B702" s="800" t="s">
        <v>2496</v>
      </c>
      <c r="C702" s="770" t="s">
        <v>2376</v>
      </c>
      <c r="D702" s="745" t="s">
        <v>5903</v>
      </c>
      <c r="E702" s="771">
        <v>313886.59</v>
      </c>
      <c r="F702" s="745" t="s">
        <v>2495</v>
      </c>
      <c r="G702" s="755" t="s">
        <v>18</v>
      </c>
      <c r="H702" s="755" t="s">
        <v>145</v>
      </c>
      <c r="I702" s="755" t="s">
        <v>171</v>
      </c>
      <c r="J702" s="755">
        <v>44295.0</v>
      </c>
      <c r="K702" s="758" t="s">
        <v>3647</v>
      </c>
      <c r="L702" s="754"/>
      <c r="M702" s="754"/>
      <c r="N702" s="754"/>
      <c r="O702" s="754"/>
      <c r="P702" s="754"/>
      <c r="Q702" s="754"/>
      <c r="R702" s="754"/>
      <c r="S702" s="754"/>
      <c r="T702" s="754"/>
      <c r="U702" s="754"/>
      <c r="V702" s="754"/>
      <c r="W702" s="754"/>
      <c r="X702" s="754"/>
      <c r="Y702" s="754"/>
      <c r="Z702" s="754"/>
      <c r="AA702" s="754"/>
      <c r="AB702" s="754"/>
      <c r="AC702" s="754"/>
      <c r="AD702" s="754"/>
      <c r="AE702" s="754"/>
      <c r="AF702" s="754"/>
      <c r="AG702" s="754"/>
      <c r="AH702" s="754"/>
      <c r="AI702" s="754"/>
      <c r="AJ702" s="754"/>
      <c r="AK702" s="754"/>
      <c r="AL702" s="754"/>
      <c r="AM702" s="754"/>
      <c r="AN702" s="754"/>
      <c r="AO702" s="754"/>
      <c r="AP702" s="754"/>
      <c r="AQ702" s="754"/>
      <c r="AR702" s="754"/>
      <c r="AS702" s="754"/>
      <c r="AT702" s="754"/>
      <c r="AU702" s="754"/>
    </row>
    <row r="703" ht="15.75" customHeight="1">
      <c r="A703" s="768">
        <v>44519.0</v>
      </c>
      <c r="B703" s="805" t="s">
        <v>5921</v>
      </c>
      <c r="C703" s="770" t="s">
        <v>3642</v>
      </c>
      <c r="D703" s="745" t="s">
        <v>5902</v>
      </c>
      <c r="E703" s="771">
        <v>251499.32</v>
      </c>
      <c r="F703" s="745" t="s">
        <v>4318</v>
      </c>
      <c r="G703" s="734" t="s">
        <v>2379</v>
      </c>
      <c r="H703" s="813" t="s">
        <v>29</v>
      </c>
      <c r="I703" s="813" t="s">
        <v>2379</v>
      </c>
      <c r="J703" s="814">
        <v>43901.0</v>
      </c>
      <c r="K703" s="762" t="s">
        <v>3647</v>
      </c>
      <c r="L703" s="754"/>
      <c r="M703" s="754"/>
      <c r="N703" s="754"/>
      <c r="O703" s="754"/>
      <c r="P703" s="754"/>
      <c r="Q703" s="754"/>
      <c r="R703" s="754"/>
      <c r="S703" s="754"/>
      <c r="T703" s="754"/>
      <c r="U703" s="754"/>
      <c r="V703" s="754"/>
      <c r="W703" s="754"/>
      <c r="X703" s="754"/>
      <c r="Y703" s="754"/>
      <c r="Z703" s="754"/>
      <c r="AA703" s="754"/>
      <c r="AB703" s="754"/>
      <c r="AC703" s="754"/>
      <c r="AD703" s="754"/>
      <c r="AE703" s="754"/>
      <c r="AF703" s="754"/>
      <c r="AG703" s="754"/>
      <c r="AH703" s="754"/>
      <c r="AI703" s="754"/>
      <c r="AJ703" s="754"/>
      <c r="AK703" s="754"/>
      <c r="AL703" s="754"/>
      <c r="AM703" s="754"/>
      <c r="AN703" s="754"/>
      <c r="AO703" s="754"/>
      <c r="AP703" s="754"/>
      <c r="AQ703" s="754"/>
      <c r="AR703" s="754"/>
      <c r="AS703" s="754"/>
      <c r="AT703" s="754"/>
      <c r="AU703" s="754"/>
    </row>
    <row r="704" ht="15.75" customHeight="1">
      <c r="A704" s="768">
        <v>44522.0</v>
      </c>
      <c r="B704" s="800" t="s">
        <v>3333</v>
      </c>
      <c r="C704" s="770" t="s">
        <v>2376</v>
      </c>
      <c r="D704" s="745" t="s">
        <v>5903</v>
      </c>
      <c r="E704" s="771">
        <v>20000.0</v>
      </c>
      <c r="F704" s="745" t="s">
        <v>3332</v>
      </c>
      <c r="G704" s="755" t="s">
        <v>18</v>
      </c>
      <c r="H704" s="755" t="s">
        <v>145</v>
      </c>
      <c r="I704" s="755" t="s">
        <v>146</v>
      </c>
      <c r="J704" s="755">
        <v>44263.0</v>
      </c>
      <c r="K704" s="758" t="s">
        <v>3660</v>
      </c>
      <c r="L704" s="754"/>
      <c r="M704" s="754"/>
      <c r="N704" s="754"/>
      <c r="O704" s="754"/>
      <c r="P704" s="754"/>
      <c r="Q704" s="754"/>
      <c r="R704" s="754"/>
      <c r="S704" s="754"/>
      <c r="T704" s="754"/>
      <c r="U704" s="754"/>
      <c r="V704" s="754"/>
      <c r="W704" s="754"/>
      <c r="X704" s="754"/>
      <c r="Y704" s="754"/>
      <c r="Z704" s="754"/>
      <c r="AA704" s="754"/>
      <c r="AB704" s="754"/>
      <c r="AC704" s="754"/>
      <c r="AD704" s="754"/>
      <c r="AE704" s="754"/>
      <c r="AF704" s="754"/>
      <c r="AG704" s="754"/>
      <c r="AH704" s="754"/>
      <c r="AI704" s="754"/>
      <c r="AJ704" s="754"/>
      <c r="AK704" s="754"/>
      <c r="AL704" s="754"/>
      <c r="AM704" s="754"/>
      <c r="AN704" s="754"/>
      <c r="AO704" s="754"/>
      <c r="AP704" s="754"/>
      <c r="AQ704" s="754"/>
      <c r="AR704" s="754"/>
      <c r="AS704" s="754"/>
      <c r="AT704" s="754"/>
      <c r="AU704" s="754"/>
    </row>
    <row r="705" ht="15.75" customHeight="1">
      <c r="A705" s="768">
        <v>44522.0</v>
      </c>
      <c r="B705" s="800" t="s">
        <v>2875</v>
      </c>
      <c r="C705" s="770" t="s">
        <v>2376</v>
      </c>
      <c r="D705" s="745" t="s">
        <v>5902</v>
      </c>
      <c r="E705" s="771">
        <v>261364.56</v>
      </c>
      <c r="F705" s="745" t="s">
        <v>2874</v>
      </c>
      <c r="G705" s="755" t="s">
        <v>18</v>
      </c>
      <c r="H705" s="755" t="s">
        <v>145</v>
      </c>
      <c r="I705" s="755" t="s">
        <v>146</v>
      </c>
      <c r="J705" s="755">
        <v>44319.0</v>
      </c>
      <c r="K705" s="758" t="s">
        <v>3651</v>
      </c>
      <c r="L705" s="754"/>
      <c r="M705" s="754"/>
      <c r="N705" s="754"/>
      <c r="O705" s="754"/>
      <c r="P705" s="754"/>
      <c r="Q705" s="754"/>
      <c r="R705" s="754"/>
      <c r="S705" s="754"/>
      <c r="T705" s="754"/>
      <c r="U705" s="754"/>
      <c r="V705" s="754"/>
      <c r="W705" s="754"/>
      <c r="X705" s="754"/>
      <c r="Y705" s="754"/>
      <c r="Z705" s="754"/>
      <c r="AA705" s="754"/>
      <c r="AB705" s="754"/>
      <c r="AC705" s="754"/>
      <c r="AD705" s="754"/>
      <c r="AE705" s="754"/>
      <c r="AF705" s="754"/>
      <c r="AG705" s="754"/>
      <c r="AH705" s="754"/>
      <c r="AI705" s="754"/>
      <c r="AJ705" s="754"/>
      <c r="AK705" s="754"/>
      <c r="AL705" s="754"/>
      <c r="AM705" s="754"/>
      <c r="AN705" s="754"/>
      <c r="AO705" s="754"/>
      <c r="AP705" s="754"/>
      <c r="AQ705" s="754"/>
      <c r="AR705" s="754"/>
      <c r="AS705" s="754"/>
      <c r="AT705" s="754"/>
      <c r="AU705" s="754"/>
    </row>
    <row r="706" ht="15.75" customHeight="1">
      <c r="A706" s="768">
        <v>44522.0</v>
      </c>
      <c r="B706" s="769" t="s">
        <v>2731</v>
      </c>
      <c r="C706" s="770" t="s">
        <v>2376</v>
      </c>
      <c r="D706" s="745" t="s">
        <v>5903</v>
      </c>
      <c r="E706" s="771">
        <v>80000.0</v>
      </c>
      <c r="F706" s="745" t="s">
        <v>2730</v>
      </c>
      <c r="G706" s="755" t="s">
        <v>18</v>
      </c>
      <c r="H706" s="755" t="s">
        <v>145</v>
      </c>
      <c r="I706" s="755" t="s">
        <v>171</v>
      </c>
      <c r="J706" s="755">
        <v>44298.0</v>
      </c>
      <c r="K706" s="758" t="s">
        <v>3651</v>
      </c>
      <c r="L706" s="754"/>
      <c r="M706" s="754"/>
      <c r="N706" s="754"/>
      <c r="O706" s="754"/>
      <c r="P706" s="754"/>
      <c r="Q706" s="754"/>
      <c r="R706" s="754"/>
      <c r="S706" s="754"/>
      <c r="T706" s="754"/>
      <c r="U706" s="754"/>
      <c r="V706" s="754"/>
      <c r="W706" s="754"/>
      <c r="X706" s="754"/>
      <c r="Y706" s="754"/>
      <c r="Z706" s="754"/>
      <c r="AA706" s="754"/>
      <c r="AB706" s="754"/>
      <c r="AC706" s="754"/>
      <c r="AD706" s="754"/>
      <c r="AE706" s="754"/>
      <c r="AF706" s="754"/>
      <c r="AG706" s="754"/>
      <c r="AH706" s="754"/>
      <c r="AI706" s="754"/>
      <c r="AJ706" s="754"/>
      <c r="AK706" s="754"/>
      <c r="AL706" s="754"/>
      <c r="AM706" s="754"/>
      <c r="AN706" s="754"/>
      <c r="AO706" s="754"/>
      <c r="AP706" s="754"/>
      <c r="AQ706" s="754"/>
      <c r="AR706" s="754"/>
      <c r="AS706" s="754"/>
      <c r="AT706" s="754"/>
      <c r="AU706" s="754"/>
    </row>
    <row r="707" ht="15.75" customHeight="1">
      <c r="A707" s="768">
        <v>44522.0</v>
      </c>
      <c r="B707" s="800" t="s">
        <v>2514</v>
      </c>
      <c r="C707" s="770" t="s">
        <v>2376</v>
      </c>
      <c r="D707" s="745" t="s">
        <v>5903</v>
      </c>
      <c r="E707" s="771">
        <v>500.0</v>
      </c>
      <c r="F707" s="745" t="s">
        <v>319</v>
      </c>
      <c r="G707" s="755" t="s">
        <v>18</v>
      </c>
      <c r="H707" s="755" t="s">
        <v>145</v>
      </c>
      <c r="I707" s="755" t="s">
        <v>146</v>
      </c>
      <c r="J707" s="755">
        <v>44263.0</v>
      </c>
      <c r="K707" s="758" t="s">
        <v>3651</v>
      </c>
      <c r="L707" s="754"/>
      <c r="M707" s="754"/>
      <c r="N707" s="754"/>
      <c r="O707" s="754"/>
      <c r="P707" s="754"/>
      <c r="Q707" s="754"/>
      <c r="R707" s="754"/>
      <c r="S707" s="754"/>
      <c r="T707" s="754"/>
      <c r="U707" s="754"/>
      <c r="V707" s="754"/>
      <c r="W707" s="754"/>
      <c r="X707" s="754"/>
      <c r="Y707" s="754"/>
      <c r="Z707" s="754"/>
      <c r="AA707" s="754"/>
      <c r="AB707" s="754"/>
      <c r="AC707" s="754"/>
      <c r="AD707" s="754"/>
      <c r="AE707" s="754"/>
      <c r="AF707" s="754"/>
      <c r="AG707" s="754"/>
      <c r="AH707" s="754"/>
      <c r="AI707" s="754"/>
      <c r="AJ707" s="754"/>
      <c r="AK707" s="754"/>
      <c r="AL707" s="754"/>
      <c r="AM707" s="754"/>
      <c r="AN707" s="754"/>
      <c r="AO707" s="754"/>
      <c r="AP707" s="754"/>
      <c r="AQ707" s="754"/>
      <c r="AR707" s="754"/>
      <c r="AS707" s="754"/>
      <c r="AT707" s="754"/>
      <c r="AU707" s="754"/>
    </row>
    <row r="708" ht="15.75" customHeight="1">
      <c r="A708" s="768">
        <v>44522.0</v>
      </c>
      <c r="B708" s="769" t="s">
        <v>2985</v>
      </c>
      <c r="C708" s="770" t="s">
        <v>2376</v>
      </c>
      <c r="D708" s="745" t="s">
        <v>5903</v>
      </c>
      <c r="E708" s="771">
        <v>650000.0</v>
      </c>
      <c r="F708" s="745" t="s">
        <v>2982</v>
      </c>
      <c r="G708" s="755" t="s">
        <v>18</v>
      </c>
      <c r="H708" s="755" t="s">
        <v>145</v>
      </c>
      <c r="I708" s="755" t="s">
        <v>146</v>
      </c>
      <c r="J708" s="755">
        <v>44390.0</v>
      </c>
      <c r="K708" s="758" t="s">
        <v>3651</v>
      </c>
      <c r="L708" s="754"/>
      <c r="M708" s="754"/>
      <c r="N708" s="754"/>
      <c r="O708" s="754"/>
      <c r="P708" s="754"/>
      <c r="Q708" s="754"/>
      <c r="R708" s="754"/>
      <c r="S708" s="754"/>
      <c r="T708" s="754"/>
      <c r="U708" s="754"/>
      <c r="V708" s="754"/>
      <c r="W708" s="754"/>
      <c r="X708" s="754"/>
      <c r="Y708" s="754"/>
      <c r="Z708" s="754"/>
      <c r="AA708" s="754"/>
      <c r="AB708" s="754"/>
      <c r="AC708" s="754"/>
      <c r="AD708" s="754"/>
      <c r="AE708" s="754"/>
      <c r="AF708" s="754"/>
      <c r="AG708" s="754"/>
      <c r="AH708" s="754"/>
      <c r="AI708" s="754"/>
      <c r="AJ708" s="754"/>
      <c r="AK708" s="754"/>
      <c r="AL708" s="754"/>
      <c r="AM708" s="754"/>
      <c r="AN708" s="754"/>
      <c r="AO708" s="754"/>
      <c r="AP708" s="754"/>
      <c r="AQ708" s="754"/>
      <c r="AR708" s="754"/>
      <c r="AS708" s="754"/>
      <c r="AT708" s="754"/>
      <c r="AU708" s="754"/>
    </row>
    <row r="709" ht="15.75" customHeight="1">
      <c r="A709" s="768">
        <v>44522.0</v>
      </c>
      <c r="B709" s="800" t="s">
        <v>2457</v>
      </c>
      <c r="C709" s="770" t="s">
        <v>2376</v>
      </c>
      <c r="D709" s="745" t="s">
        <v>5903</v>
      </c>
      <c r="E709" s="771">
        <v>1250000.0</v>
      </c>
      <c r="F709" s="745" t="s">
        <v>217</v>
      </c>
      <c r="G709" s="755" t="s">
        <v>18</v>
      </c>
      <c r="H709" s="755" t="s">
        <v>145</v>
      </c>
      <c r="I709" s="755" t="s">
        <v>146</v>
      </c>
      <c r="J709" s="755">
        <v>44266.0</v>
      </c>
      <c r="K709" s="758" t="s">
        <v>3647</v>
      </c>
      <c r="L709" s="754"/>
      <c r="M709" s="754"/>
      <c r="N709" s="754"/>
      <c r="O709" s="754"/>
      <c r="P709" s="754"/>
      <c r="Q709" s="754"/>
      <c r="R709" s="754"/>
      <c r="S709" s="754"/>
      <c r="T709" s="754"/>
      <c r="U709" s="754"/>
      <c r="V709" s="754"/>
      <c r="W709" s="754"/>
      <c r="X709" s="754"/>
      <c r="Y709" s="754"/>
      <c r="Z709" s="754"/>
      <c r="AA709" s="754"/>
      <c r="AB709" s="754"/>
      <c r="AC709" s="754"/>
      <c r="AD709" s="754"/>
      <c r="AE709" s="754"/>
      <c r="AF709" s="754"/>
      <c r="AG709" s="754"/>
      <c r="AH709" s="754"/>
      <c r="AI709" s="754"/>
      <c r="AJ709" s="754"/>
      <c r="AK709" s="754"/>
      <c r="AL709" s="754"/>
      <c r="AM709" s="754"/>
      <c r="AN709" s="754"/>
      <c r="AO709" s="754"/>
      <c r="AP709" s="754"/>
      <c r="AQ709" s="754"/>
      <c r="AR709" s="754"/>
      <c r="AS709" s="754"/>
      <c r="AT709" s="754"/>
      <c r="AU709" s="754"/>
    </row>
    <row r="710" ht="15.75" customHeight="1">
      <c r="A710" s="768">
        <v>44523.0</v>
      </c>
      <c r="B710" s="769" t="s">
        <v>6040</v>
      </c>
      <c r="C710" s="770" t="s">
        <v>3642</v>
      </c>
      <c r="D710" s="745" t="s">
        <v>5903</v>
      </c>
      <c r="E710" s="771">
        <v>20000.0</v>
      </c>
      <c r="F710" s="745" t="s">
        <v>6041</v>
      </c>
      <c r="G710" s="734" t="s">
        <v>18</v>
      </c>
      <c r="H710" s="813" t="s">
        <v>19</v>
      </c>
      <c r="I710" s="813" t="s">
        <v>230</v>
      </c>
      <c r="J710" s="814">
        <v>44287.0</v>
      </c>
      <c r="K710" s="762" t="s">
        <v>3651</v>
      </c>
      <c r="L710" s="754"/>
      <c r="M710" s="754"/>
      <c r="N710" s="754"/>
      <c r="O710" s="754"/>
      <c r="P710" s="754"/>
      <c r="Q710" s="754"/>
      <c r="R710" s="754"/>
      <c r="S710" s="754"/>
      <c r="T710" s="754"/>
      <c r="U710" s="754"/>
      <c r="V710" s="754"/>
      <c r="W710" s="754"/>
      <c r="X710" s="754"/>
      <c r="Y710" s="754"/>
      <c r="Z710" s="754"/>
      <c r="AA710" s="754"/>
      <c r="AB710" s="754"/>
      <c r="AC710" s="754"/>
      <c r="AD710" s="754"/>
      <c r="AE710" s="754"/>
      <c r="AF710" s="754"/>
      <c r="AG710" s="754"/>
      <c r="AH710" s="754"/>
      <c r="AI710" s="754"/>
      <c r="AJ710" s="754"/>
      <c r="AK710" s="754"/>
      <c r="AL710" s="754"/>
      <c r="AM710" s="754"/>
      <c r="AN710" s="754"/>
      <c r="AO710" s="754"/>
      <c r="AP710" s="754"/>
      <c r="AQ710" s="754"/>
      <c r="AR710" s="754"/>
      <c r="AS710" s="754"/>
      <c r="AT710" s="754"/>
      <c r="AU710" s="754"/>
    </row>
    <row r="711" ht="15.75" customHeight="1">
      <c r="A711" s="768">
        <v>44523.0</v>
      </c>
      <c r="B711" s="769" t="s">
        <v>5953</v>
      </c>
      <c r="C711" s="770" t="s">
        <v>3642</v>
      </c>
      <c r="D711" s="745" t="s">
        <v>2387</v>
      </c>
      <c r="E711" s="771">
        <v>114197.45</v>
      </c>
      <c r="F711" s="745" t="s">
        <v>6042</v>
      </c>
      <c r="G711" s="734" t="s">
        <v>18</v>
      </c>
      <c r="H711" s="813" t="s">
        <v>19</v>
      </c>
      <c r="I711" s="813" t="s">
        <v>230</v>
      </c>
      <c r="J711" s="814">
        <v>44298.0</v>
      </c>
      <c r="K711" s="745" t="s">
        <v>3660</v>
      </c>
      <c r="L711" s="754"/>
      <c r="M711" s="754"/>
      <c r="N711" s="754"/>
      <c r="O711" s="754"/>
      <c r="P711" s="754"/>
      <c r="Q711" s="754"/>
      <c r="R711" s="754"/>
      <c r="S711" s="754"/>
      <c r="T711" s="754"/>
      <c r="U711" s="754"/>
      <c r="V711" s="754"/>
      <c r="W711" s="754"/>
      <c r="X711" s="754"/>
      <c r="Y711" s="754"/>
      <c r="Z711" s="754"/>
      <c r="AA711" s="754"/>
      <c r="AB711" s="754"/>
      <c r="AC711" s="754"/>
      <c r="AD711" s="754"/>
      <c r="AE711" s="754"/>
      <c r="AF711" s="754"/>
      <c r="AG711" s="754"/>
      <c r="AH711" s="754"/>
      <c r="AI711" s="754"/>
      <c r="AJ711" s="754"/>
      <c r="AK711" s="754"/>
      <c r="AL711" s="754"/>
      <c r="AM711" s="754"/>
      <c r="AN711" s="754"/>
      <c r="AO711" s="754"/>
      <c r="AP711" s="754"/>
      <c r="AQ711" s="754"/>
      <c r="AR711" s="754"/>
      <c r="AS711" s="754"/>
      <c r="AT711" s="754"/>
      <c r="AU711" s="754"/>
    </row>
    <row r="712" ht="15.75" customHeight="1">
      <c r="A712" s="768">
        <v>44523.0</v>
      </c>
      <c r="B712" s="769" t="s">
        <v>2919</v>
      </c>
      <c r="C712" s="770" t="s">
        <v>2376</v>
      </c>
      <c r="D712" s="745" t="s">
        <v>5903</v>
      </c>
      <c r="E712" s="771">
        <v>35000.0</v>
      </c>
      <c r="F712" s="745" t="s">
        <v>2918</v>
      </c>
      <c r="G712" s="755" t="s">
        <v>18</v>
      </c>
      <c r="H712" s="755" t="s">
        <v>145</v>
      </c>
      <c r="I712" s="755" t="s">
        <v>146</v>
      </c>
      <c r="J712" s="755">
        <v>44295.0</v>
      </c>
      <c r="K712" s="755" t="s">
        <v>3657</v>
      </c>
      <c r="L712" s="754"/>
      <c r="M712" s="754"/>
      <c r="N712" s="754"/>
      <c r="O712" s="754"/>
      <c r="P712" s="754"/>
      <c r="Q712" s="754"/>
      <c r="R712" s="754"/>
      <c r="S712" s="754"/>
      <c r="T712" s="754"/>
      <c r="U712" s="754"/>
      <c r="V712" s="754"/>
      <c r="W712" s="754"/>
      <c r="X712" s="754"/>
      <c r="Y712" s="754"/>
      <c r="Z712" s="754"/>
      <c r="AA712" s="754"/>
      <c r="AB712" s="754"/>
      <c r="AC712" s="754"/>
      <c r="AD712" s="754"/>
      <c r="AE712" s="754"/>
      <c r="AF712" s="754"/>
      <c r="AG712" s="754"/>
      <c r="AH712" s="754"/>
      <c r="AI712" s="754"/>
      <c r="AJ712" s="754"/>
      <c r="AK712" s="754"/>
      <c r="AL712" s="754"/>
      <c r="AM712" s="754"/>
      <c r="AN712" s="754"/>
      <c r="AO712" s="754"/>
      <c r="AP712" s="754"/>
      <c r="AQ712" s="754"/>
      <c r="AR712" s="754"/>
      <c r="AS712" s="754"/>
      <c r="AT712" s="754"/>
      <c r="AU712" s="754"/>
    </row>
    <row r="713" ht="15.75" customHeight="1">
      <c r="A713" s="768">
        <v>44524.0</v>
      </c>
      <c r="B713" s="769" t="s">
        <v>6043</v>
      </c>
      <c r="C713" s="770" t="s">
        <v>3642</v>
      </c>
      <c r="D713" s="745" t="s">
        <v>5902</v>
      </c>
      <c r="E713" s="771">
        <v>130920.08</v>
      </c>
      <c r="F713" s="745" t="s">
        <v>4416</v>
      </c>
      <c r="G713" s="745" t="s">
        <v>18</v>
      </c>
      <c r="H713" s="745" t="s">
        <v>19</v>
      </c>
      <c r="I713" s="745" t="s">
        <v>230</v>
      </c>
      <c r="J713" s="755">
        <v>44252.0</v>
      </c>
      <c r="K713" s="745" t="s">
        <v>3664</v>
      </c>
      <c r="L713" s="754"/>
      <c r="M713" s="754"/>
      <c r="N713" s="754"/>
      <c r="O713" s="754"/>
      <c r="P713" s="754"/>
      <c r="Q713" s="754"/>
      <c r="R713" s="754"/>
      <c r="S713" s="754"/>
      <c r="T713" s="754"/>
      <c r="U713" s="754"/>
      <c r="V713" s="754"/>
      <c r="W713" s="754"/>
      <c r="X713" s="754"/>
      <c r="Y713" s="754"/>
      <c r="Z713" s="754"/>
      <c r="AA713" s="754"/>
      <c r="AB713" s="754"/>
      <c r="AC713" s="754"/>
      <c r="AD713" s="754"/>
      <c r="AE713" s="754"/>
      <c r="AF713" s="754"/>
      <c r="AG713" s="754"/>
      <c r="AH713" s="754"/>
      <c r="AI713" s="754"/>
      <c r="AJ713" s="754"/>
      <c r="AK713" s="754"/>
      <c r="AL713" s="754"/>
      <c r="AM713" s="754"/>
      <c r="AN713" s="754"/>
      <c r="AO713" s="754"/>
      <c r="AP713" s="754"/>
      <c r="AQ713" s="754"/>
      <c r="AR713" s="754"/>
      <c r="AS713" s="754"/>
      <c r="AT713" s="754"/>
      <c r="AU713" s="754"/>
    </row>
    <row r="714" ht="15.75" customHeight="1">
      <c r="A714" s="768">
        <v>44524.0</v>
      </c>
      <c r="B714" s="769" t="s">
        <v>6044</v>
      </c>
      <c r="C714" s="770" t="s">
        <v>3642</v>
      </c>
      <c r="D714" s="745" t="s">
        <v>5902</v>
      </c>
      <c r="E714" s="771">
        <v>98719.08</v>
      </c>
      <c r="F714" s="745" t="s">
        <v>3849</v>
      </c>
      <c r="G714" s="745" t="s">
        <v>2379</v>
      </c>
      <c r="H714" s="745" t="s">
        <v>29</v>
      </c>
      <c r="I714" s="745" t="s">
        <v>2379</v>
      </c>
      <c r="J714" s="755">
        <v>44390.0</v>
      </c>
      <c r="K714" s="745" t="s">
        <v>3651</v>
      </c>
      <c r="L714" s="754"/>
      <c r="M714" s="754"/>
      <c r="N714" s="754"/>
      <c r="O714" s="754"/>
      <c r="P714" s="754"/>
      <c r="Q714" s="754"/>
      <c r="R714" s="754"/>
      <c r="S714" s="754"/>
      <c r="T714" s="754"/>
      <c r="U714" s="754"/>
      <c r="V714" s="754"/>
      <c r="W714" s="754"/>
      <c r="X714" s="754"/>
      <c r="Y714" s="754"/>
      <c r="Z714" s="754"/>
      <c r="AA714" s="754"/>
      <c r="AB714" s="754"/>
      <c r="AC714" s="754"/>
      <c r="AD714" s="754"/>
      <c r="AE714" s="754"/>
      <c r="AF714" s="754"/>
      <c r="AG714" s="754"/>
      <c r="AH714" s="754"/>
      <c r="AI714" s="754"/>
      <c r="AJ714" s="754"/>
      <c r="AK714" s="754"/>
      <c r="AL714" s="754"/>
      <c r="AM714" s="754"/>
      <c r="AN714" s="754"/>
      <c r="AO714" s="754"/>
      <c r="AP714" s="754"/>
      <c r="AQ714" s="754"/>
      <c r="AR714" s="754"/>
      <c r="AS714" s="754"/>
      <c r="AT714" s="754"/>
      <c r="AU714" s="754"/>
    </row>
    <row r="715" ht="15.75" customHeight="1">
      <c r="A715" s="768">
        <v>44524.0</v>
      </c>
      <c r="B715" s="800" t="s">
        <v>3222</v>
      </c>
      <c r="C715" s="770" t="s">
        <v>2376</v>
      </c>
      <c r="D715" s="745" t="s">
        <v>5903</v>
      </c>
      <c r="E715" s="771">
        <v>59000.0</v>
      </c>
      <c r="F715" s="745" t="s">
        <v>1868</v>
      </c>
      <c r="G715" s="755" t="s">
        <v>18</v>
      </c>
      <c r="H715" s="755" t="s">
        <v>145</v>
      </c>
      <c r="I715" s="755" t="s">
        <v>146</v>
      </c>
      <c r="J715" s="755">
        <v>44280.0</v>
      </c>
      <c r="K715" s="755" t="s">
        <v>3651</v>
      </c>
      <c r="L715" s="754"/>
      <c r="M715" s="754"/>
      <c r="N715" s="754"/>
      <c r="O715" s="754"/>
      <c r="P715" s="754"/>
      <c r="Q715" s="754"/>
      <c r="R715" s="754"/>
      <c r="S715" s="754"/>
      <c r="T715" s="754"/>
      <c r="U715" s="754"/>
      <c r="V715" s="754"/>
      <c r="W715" s="754"/>
      <c r="X715" s="754"/>
      <c r="Y715" s="754"/>
      <c r="Z715" s="754"/>
      <c r="AA715" s="754"/>
      <c r="AB715" s="754"/>
      <c r="AC715" s="754"/>
      <c r="AD715" s="754"/>
      <c r="AE715" s="754"/>
      <c r="AF715" s="754"/>
      <c r="AG715" s="754"/>
      <c r="AH715" s="754"/>
      <c r="AI715" s="754"/>
      <c r="AJ715" s="754"/>
      <c r="AK715" s="754"/>
      <c r="AL715" s="754"/>
      <c r="AM715" s="754"/>
      <c r="AN715" s="754"/>
      <c r="AO715" s="754"/>
      <c r="AP715" s="754"/>
      <c r="AQ715" s="754"/>
      <c r="AR715" s="754"/>
      <c r="AS715" s="754"/>
      <c r="AT715" s="754"/>
      <c r="AU715" s="754"/>
    </row>
    <row r="716" ht="15.75" customHeight="1">
      <c r="A716" s="768">
        <v>44525.0</v>
      </c>
      <c r="B716" s="769" t="s">
        <v>2402</v>
      </c>
      <c r="C716" s="770" t="s">
        <v>2376</v>
      </c>
      <c r="D716" s="745" t="s">
        <v>2387</v>
      </c>
      <c r="E716" s="771">
        <v>95072.23</v>
      </c>
      <c r="F716" s="745" t="s">
        <v>2401</v>
      </c>
      <c r="G716" s="755" t="s">
        <v>2379</v>
      </c>
      <c r="H716" s="755" t="s">
        <v>29</v>
      </c>
      <c r="I716" s="755" t="s">
        <v>2392</v>
      </c>
      <c r="J716" s="755">
        <v>43780.0</v>
      </c>
      <c r="K716" s="755" t="s">
        <v>3660</v>
      </c>
      <c r="L716" s="754"/>
      <c r="M716" s="754"/>
      <c r="N716" s="754"/>
      <c r="O716" s="754"/>
      <c r="P716" s="754"/>
      <c r="Q716" s="754"/>
      <c r="R716" s="754"/>
      <c r="S716" s="754"/>
      <c r="T716" s="754"/>
      <c r="U716" s="754"/>
      <c r="V716" s="754"/>
      <c r="W716" s="754"/>
      <c r="X716" s="754"/>
      <c r="Y716" s="754"/>
      <c r="Z716" s="754"/>
      <c r="AA716" s="754"/>
      <c r="AB716" s="754"/>
      <c r="AC716" s="754"/>
      <c r="AD716" s="754"/>
      <c r="AE716" s="754"/>
      <c r="AF716" s="754"/>
      <c r="AG716" s="754"/>
      <c r="AH716" s="754"/>
      <c r="AI716" s="754"/>
      <c r="AJ716" s="754"/>
      <c r="AK716" s="754"/>
      <c r="AL716" s="754"/>
      <c r="AM716" s="754"/>
      <c r="AN716" s="754"/>
      <c r="AO716" s="754"/>
      <c r="AP716" s="754"/>
      <c r="AQ716" s="754"/>
      <c r="AR716" s="754"/>
      <c r="AS716" s="754"/>
      <c r="AT716" s="754"/>
      <c r="AU716" s="754"/>
    </row>
    <row r="717" ht="15.75" customHeight="1">
      <c r="A717" s="768">
        <v>44525.0</v>
      </c>
      <c r="B717" s="769" t="s">
        <v>2652</v>
      </c>
      <c r="C717" s="770" t="s">
        <v>2376</v>
      </c>
      <c r="D717" s="745" t="s">
        <v>2387</v>
      </c>
      <c r="E717" s="771">
        <v>287057.81</v>
      </c>
      <c r="F717" s="745" t="s">
        <v>2651</v>
      </c>
      <c r="G717" s="755" t="s">
        <v>18</v>
      </c>
      <c r="H717" s="755" t="s">
        <v>145</v>
      </c>
      <c r="I717" s="755" t="s">
        <v>171</v>
      </c>
      <c r="J717" s="755">
        <v>44393.0</v>
      </c>
      <c r="K717" s="755" t="s">
        <v>4174</v>
      </c>
      <c r="L717" s="754"/>
      <c r="M717" s="754"/>
      <c r="N717" s="754"/>
      <c r="O717" s="754"/>
      <c r="P717" s="754"/>
      <c r="Q717" s="754"/>
      <c r="R717" s="754"/>
      <c r="S717" s="754"/>
      <c r="T717" s="754"/>
      <c r="U717" s="754"/>
      <c r="V717" s="754"/>
      <c r="W717" s="754"/>
      <c r="X717" s="754"/>
      <c r="Y717" s="754"/>
      <c r="Z717" s="754"/>
      <c r="AA717" s="754"/>
      <c r="AB717" s="754"/>
      <c r="AC717" s="754"/>
      <c r="AD717" s="754"/>
      <c r="AE717" s="754"/>
      <c r="AF717" s="754"/>
      <c r="AG717" s="754"/>
      <c r="AH717" s="754"/>
      <c r="AI717" s="754"/>
      <c r="AJ717" s="754"/>
      <c r="AK717" s="754"/>
      <c r="AL717" s="754"/>
      <c r="AM717" s="754"/>
      <c r="AN717" s="754"/>
      <c r="AO717" s="754"/>
      <c r="AP717" s="754"/>
      <c r="AQ717" s="754"/>
      <c r="AR717" s="754"/>
      <c r="AS717" s="754"/>
      <c r="AT717" s="754"/>
      <c r="AU717" s="754"/>
    </row>
    <row r="718" ht="15.75" customHeight="1">
      <c r="A718" s="768">
        <v>44525.0</v>
      </c>
      <c r="B718" s="769" t="s">
        <v>6045</v>
      </c>
      <c r="C718" s="770" t="s">
        <v>3642</v>
      </c>
      <c r="D718" s="745" t="s">
        <v>5903</v>
      </c>
      <c r="E718" s="771">
        <v>15000.0</v>
      </c>
      <c r="F718" s="745" t="s">
        <v>1998</v>
      </c>
      <c r="G718" s="745" t="s">
        <v>18</v>
      </c>
      <c r="H718" s="745" t="s">
        <v>29</v>
      </c>
      <c r="I718" s="745" t="s">
        <v>2633</v>
      </c>
      <c r="J718" s="755">
        <v>44293.0</v>
      </c>
      <c r="K718" s="745" t="s">
        <v>3647</v>
      </c>
      <c r="L718" s="754"/>
      <c r="M718" s="754"/>
      <c r="N718" s="754"/>
      <c r="O718" s="754"/>
      <c r="P718" s="754"/>
      <c r="Q718" s="754"/>
      <c r="R718" s="754"/>
      <c r="S718" s="754"/>
      <c r="T718" s="754"/>
      <c r="U718" s="754"/>
      <c r="V718" s="754"/>
      <c r="W718" s="754"/>
      <c r="X718" s="754"/>
      <c r="Y718" s="754"/>
      <c r="Z718" s="754"/>
      <c r="AA718" s="754"/>
      <c r="AB718" s="754"/>
      <c r="AC718" s="754"/>
      <c r="AD718" s="754"/>
      <c r="AE718" s="754"/>
      <c r="AF718" s="754"/>
      <c r="AG718" s="754"/>
      <c r="AH718" s="754"/>
      <c r="AI718" s="754"/>
      <c r="AJ718" s="754"/>
      <c r="AK718" s="754"/>
      <c r="AL718" s="754"/>
      <c r="AM718" s="754"/>
      <c r="AN718" s="754"/>
      <c r="AO718" s="754"/>
      <c r="AP718" s="754"/>
      <c r="AQ718" s="754"/>
      <c r="AR718" s="754"/>
      <c r="AS718" s="754"/>
      <c r="AT718" s="754"/>
      <c r="AU718" s="754"/>
    </row>
    <row r="719" ht="15.75" customHeight="1">
      <c r="A719" s="768">
        <v>44526.0</v>
      </c>
      <c r="B719" s="769" t="s">
        <v>2719</v>
      </c>
      <c r="C719" s="770" t="s">
        <v>2376</v>
      </c>
      <c r="D719" s="745" t="s">
        <v>5903</v>
      </c>
      <c r="E719" s="771">
        <v>200000.0</v>
      </c>
      <c r="F719" s="745" t="s">
        <v>2718</v>
      </c>
      <c r="G719" s="755" t="s">
        <v>18</v>
      </c>
      <c r="H719" s="755" t="s">
        <v>145</v>
      </c>
      <c r="I719" s="755" t="s">
        <v>171</v>
      </c>
      <c r="J719" s="755">
        <v>44291.0</v>
      </c>
      <c r="K719" s="755" t="s">
        <v>3651</v>
      </c>
      <c r="L719" s="754"/>
      <c r="M719" s="754"/>
      <c r="N719" s="754"/>
      <c r="O719" s="754"/>
      <c r="P719" s="754"/>
      <c r="Q719" s="754"/>
      <c r="R719" s="754"/>
      <c r="S719" s="754"/>
      <c r="T719" s="754"/>
      <c r="U719" s="754"/>
      <c r="V719" s="754"/>
      <c r="W719" s="754"/>
      <c r="X719" s="754"/>
      <c r="Y719" s="754"/>
      <c r="Z719" s="754"/>
      <c r="AA719" s="754"/>
      <c r="AB719" s="754"/>
      <c r="AC719" s="754"/>
      <c r="AD719" s="754"/>
      <c r="AE719" s="754"/>
      <c r="AF719" s="754"/>
      <c r="AG719" s="754"/>
      <c r="AH719" s="754"/>
      <c r="AI719" s="754"/>
      <c r="AJ719" s="754"/>
      <c r="AK719" s="754"/>
      <c r="AL719" s="754"/>
      <c r="AM719" s="754"/>
      <c r="AN719" s="754"/>
      <c r="AO719" s="754"/>
      <c r="AP719" s="754"/>
      <c r="AQ719" s="754"/>
      <c r="AR719" s="754"/>
      <c r="AS719" s="754"/>
      <c r="AT719" s="754"/>
      <c r="AU719" s="754"/>
    </row>
    <row r="720" ht="15.75" customHeight="1">
      <c r="A720" s="768">
        <v>44529.0</v>
      </c>
      <c r="B720" s="769" t="s">
        <v>2398</v>
      </c>
      <c r="C720" s="770" t="s">
        <v>2376</v>
      </c>
      <c r="D720" s="745" t="s">
        <v>5903</v>
      </c>
      <c r="E720" s="771">
        <v>150000.0</v>
      </c>
      <c r="F720" s="745" t="s">
        <v>2397</v>
      </c>
      <c r="G720" s="755" t="s">
        <v>18</v>
      </c>
      <c r="H720" s="755" t="s">
        <v>145</v>
      </c>
      <c r="I720" s="755" t="s">
        <v>171</v>
      </c>
      <c r="J720" s="755">
        <v>44321.0</v>
      </c>
      <c r="K720" s="755" t="s">
        <v>3660</v>
      </c>
      <c r="L720" s="754"/>
      <c r="M720" s="754"/>
      <c r="N720" s="754"/>
      <c r="O720" s="754"/>
      <c r="P720" s="754"/>
      <c r="Q720" s="754"/>
      <c r="R720" s="754"/>
      <c r="S720" s="754"/>
      <c r="T720" s="754"/>
      <c r="U720" s="754"/>
      <c r="V720" s="754"/>
      <c r="W720" s="754"/>
      <c r="X720" s="754"/>
      <c r="Y720" s="754"/>
      <c r="Z720" s="754"/>
      <c r="AA720" s="754"/>
      <c r="AB720" s="754"/>
      <c r="AC720" s="754"/>
      <c r="AD720" s="754"/>
      <c r="AE720" s="754"/>
      <c r="AF720" s="754"/>
      <c r="AG720" s="754"/>
      <c r="AH720" s="754"/>
      <c r="AI720" s="754"/>
      <c r="AJ720" s="754"/>
      <c r="AK720" s="754"/>
      <c r="AL720" s="754"/>
      <c r="AM720" s="754"/>
      <c r="AN720" s="754"/>
      <c r="AO720" s="754"/>
      <c r="AP720" s="754"/>
      <c r="AQ720" s="754"/>
      <c r="AR720" s="754"/>
      <c r="AS720" s="754"/>
      <c r="AT720" s="754"/>
      <c r="AU720" s="754"/>
    </row>
    <row r="721" ht="15.75" customHeight="1">
      <c r="A721" s="768">
        <v>44530.0</v>
      </c>
      <c r="B721" s="769" t="s">
        <v>3148</v>
      </c>
      <c r="C721" s="770" t="s">
        <v>2376</v>
      </c>
      <c r="D721" s="745" t="s">
        <v>5903</v>
      </c>
      <c r="E721" s="771">
        <v>500000.0</v>
      </c>
      <c r="F721" s="745" t="s">
        <v>3147</v>
      </c>
      <c r="G721" s="755" t="s">
        <v>18</v>
      </c>
      <c r="H721" s="755" t="s">
        <v>145</v>
      </c>
      <c r="I721" s="755" t="s">
        <v>171</v>
      </c>
      <c r="J721" s="755">
        <v>44280.0</v>
      </c>
      <c r="K721" s="755" t="s">
        <v>3651</v>
      </c>
      <c r="L721" s="754"/>
      <c r="M721" s="754"/>
      <c r="N721" s="754"/>
      <c r="O721" s="754"/>
      <c r="P721" s="754"/>
      <c r="Q721" s="754"/>
      <c r="R721" s="754"/>
      <c r="S721" s="754"/>
      <c r="T721" s="754"/>
      <c r="U721" s="754"/>
      <c r="V721" s="754"/>
      <c r="W721" s="754"/>
      <c r="X721" s="754"/>
      <c r="Y721" s="754"/>
      <c r="Z721" s="754"/>
      <c r="AA721" s="754"/>
      <c r="AB721" s="754"/>
      <c r="AC721" s="754"/>
      <c r="AD721" s="754"/>
      <c r="AE721" s="754"/>
      <c r="AF721" s="754"/>
      <c r="AG721" s="754"/>
      <c r="AH721" s="754"/>
      <c r="AI721" s="754"/>
      <c r="AJ721" s="754"/>
      <c r="AK721" s="754"/>
      <c r="AL721" s="754"/>
      <c r="AM721" s="754"/>
      <c r="AN721" s="754"/>
      <c r="AO721" s="754"/>
      <c r="AP721" s="754"/>
      <c r="AQ721" s="754"/>
      <c r="AR721" s="754"/>
      <c r="AS721" s="754"/>
      <c r="AT721" s="754"/>
      <c r="AU721" s="754"/>
    </row>
    <row r="722" ht="15.75" customHeight="1">
      <c r="A722" s="768">
        <v>44530.0</v>
      </c>
      <c r="B722" s="769" t="s">
        <v>3238</v>
      </c>
      <c r="C722" s="770" t="s">
        <v>2376</v>
      </c>
      <c r="D722" s="745" t="s">
        <v>5903</v>
      </c>
      <c r="E722" s="771">
        <v>50000.0</v>
      </c>
      <c r="F722" s="745" t="s">
        <v>3237</v>
      </c>
      <c r="G722" s="755" t="s">
        <v>18</v>
      </c>
      <c r="H722" s="755" t="s">
        <v>145</v>
      </c>
      <c r="I722" s="755" t="s">
        <v>171</v>
      </c>
      <c r="J722" s="755">
        <v>44279.0</v>
      </c>
      <c r="K722" s="755" t="s">
        <v>3651</v>
      </c>
      <c r="L722" s="754"/>
      <c r="M722" s="754"/>
      <c r="N722" s="754"/>
      <c r="O722" s="754"/>
      <c r="P722" s="754"/>
      <c r="Q722" s="754"/>
      <c r="R722" s="754"/>
      <c r="S722" s="754"/>
      <c r="T722" s="754"/>
      <c r="U722" s="754"/>
      <c r="V722" s="754"/>
      <c r="W722" s="754"/>
      <c r="X722" s="754"/>
      <c r="Y722" s="754"/>
      <c r="Z722" s="754"/>
      <c r="AA722" s="754"/>
      <c r="AB722" s="754"/>
      <c r="AC722" s="754"/>
      <c r="AD722" s="754"/>
      <c r="AE722" s="754"/>
      <c r="AF722" s="754"/>
      <c r="AG722" s="754"/>
      <c r="AH722" s="754"/>
      <c r="AI722" s="754"/>
      <c r="AJ722" s="754"/>
      <c r="AK722" s="754"/>
      <c r="AL722" s="754"/>
      <c r="AM722" s="754"/>
      <c r="AN722" s="754"/>
      <c r="AO722" s="754"/>
      <c r="AP722" s="754"/>
      <c r="AQ722" s="754"/>
      <c r="AR722" s="754"/>
      <c r="AS722" s="754"/>
      <c r="AT722" s="754"/>
      <c r="AU722" s="754"/>
    </row>
    <row r="723" ht="15.75" customHeight="1">
      <c r="A723" s="768">
        <v>44530.0</v>
      </c>
      <c r="B723" s="769" t="s">
        <v>2919</v>
      </c>
      <c r="C723" s="770" t="s">
        <v>2376</v>
      </c>
      <c r="D723" s="745" t="s">
        <v>5903</v>
      </c>
      <c r="E723" s="771">
        <v>10000.0</v>
      </c>
      <c r="F723" s="745" t="s">
        <v>2918</v>
      </c>
      <c r="G723" s="755" t="s">
        <v>18</v>
      </c>
      <c r="H723" s="755" t="s">
        <v>145</v>
      </c>
      <c r="I723" s="755" t="s">
        <v>146</v>
      </c>
      <c r="J723" s="755">
        <v>44295.0</v>
      </c>
      <c r="K723" s="755" t="s">
        <v>3657</v>
      </c>
      <c r="L723" s="754"/>
      <c r="M723" s="754"/>
      <c r="N723" s="754"/>
      <c r="O723" s="754"/>
      <c r="P723" s="754"/>
      <c r="Q723" s="754"/>
      <c r="R723" s="754"/>
      <c r="S723" s="754"/>
      <c r="T723" s="754"/>
      <c r="U723" s="754"/>
      <c r="V723" s="754"/>
      <c r="W723" s="754"/>
      <c r="X723" s="754"/>
      <c r="Y723" s="754"/>
      <c r="Z723" s="754"/>
      <c r="AA723" s="754"/>
      <c r="AB723" s="754"/>
      <c r="AC723" s="754"/>
      <c r="AD723" s="754"/>
      <c r="AE723" s="754"/>
      <c r="AF723" s="754"/>
      <c r="AG723" s="754"/>
      <c r="AH723" s="754"/>
      <c r="AI723" s="754"/>
      <c r="AJ723" s="754"/>
      <c r="AK723" s="754"/>
      <c r="AL723" s="754"/>
      <c r="AM723" s="754"/>
      <c r="AN723" s="754"/>
      <c r="AO723" s="754"/>
      <c r="AP723" s="754"/>
      <c r="AQ723" s="754"/>
      <c r="AR723" s="754"/>
      <c r="AS723" s="754"/>
      <c r="AT723" s="754"/>
      <c r="AU723" s="754"/>
    </row>
    <row r="724" ht="15.75" customHeight="1">
      <c r="A724" s="768">
        <v>44530.0</v>
      </c>
      <c r="B724" s="769" t="s">
        <v>3333</v>
      </c>
      <c r="C724" s="770" t="s">
        <v>2376</v>
      </c>
      <c r="D724" s="745" t="s">
        <v>5903</v>
      </c>
      <c r="E724" s="771">
        <v>20000.0</v>
      </c>
      <c r="F724" s="745" t="s">
        <v>3332</v>
      </c>
      <c r="G724" s="755" t="s">
        <v>18</v>
      </c>
      <c r="H724" s="755" t="s">
        <v>145</v>
      </c>
      <c r="I724" s="755" t="s">
        <v>146</v>
      </c>
      <c r="J724" s="755">
        <v>44263.0</v>
      </c>
      <c r="K724" s="755" t="s">
        <v>3660</v>
      </c>
      <c r="L724" s="754"/>
      <c r="M724" s="754"/>
      <c r="N724" s="754"/>
      <c r="O724" s="754"/>
      <c r="P724" s="754"/>
      <c r="Q724" s="754"/>
      <c r="R724" s="754"/>
      <c r="S724" s="754"/>
      <c r="T724" s="754"/>
      <c r="U724" s="754"/>
      <c r="V724" s="754"/>
      <c r="W724" s="754"/>
      <c r="X724" s="754"/>
      <c r="Y724" s="754"/>
      <c r="Z724" s="754"/>
      <c r="AA724" s="754"/>
      <c r="AB724" s="754"/>
      <c r="AC724" s="754"/>
      <c r="AD724" s="754"/>
      <c r="AE724" s="754"/>
      <c r="AF724" s="754"/>
      <c r="AG724" s="754"/>
      <c r="AH724" s="754"/>
      <c r="AI724" s="754"/>
      <c r="AJ724" s="754"/>
      <c r="AK724" s="754"/>
      <c r="AL724" s="754"/>
      <c r="AM724" s="754"/>
      <c r="AN724" s="754"/>
      <c r="AO724" s="754"/>
      <c r="AP724" s="754"/>
      <c r="AQ724" s="754"/>
      <c r="AR724" s="754"/>
      <c r="AS724" s="754"/>
      <c r="AT724" s="754"/>
      <c r="AU724" s="754"/>
    </row>
    <row r="725" ht="15.75" customHeight="1">
      <c r="A725" s="768">
        <v>44531.0</v>
      </c>
      <c r="B725" s="769" t="s">
        <v>3267</v>
      </c>
      <c r="C725" s="770" t="s">
        <v>2376</v>
      </c>
      <c r="D725" s="745" t="s">
        <v>5903</v>
      </c>
      <c r="E725" s="771">
        <v>12000.0</v>
      </c>
      <c r="F725" s="745" t="s">
        <v>3266</v>
      </c>
      <c r="G725" s="755" t="s">
        <v>18</v>
      </c>
      <c r="H725" s="755" t="s">
        <v>145</v>
      </c>
      <c r="I725" s="755" t="s">
        <v>171</v>
      </c>
      <c r="J725" s="755">
        <v>44319.0</v>
      </c>
      <c r="K725" s="755" t="s">
        <v>3651</v>
      </c>
      <c r="L725" s="754"/>
      <c r="M725" s="754"/>
      <c r="N725" s="754"/>
      <c r="O725" s="754"/>
      <c r="P725" s="754"/>
      <c r="Q725" s="754"/>
      <c r="R725" s="754"/>
      <c r="S725" s="754"/>
      <c r="T725" s="754"/>
      <c r="U725" s="754"/>
      <c r="V725" s="754"/>
      <c r="W725" s="754"/>
      <c r="X725" s="754"/>
      <c r="Y725" s="754"/>
      <c r="Z725" s="754"/>
      <c r="AA725" s="754"/>
      <c r="AB725" s="754"/>
      <c r="AC725" s="754"/>
      <c r="AD725" s="754"/>
      <c r="AE725" s="754"/>
      <c r="AF725" s="754"/>
      <c r="AG725" s="754"/>
      <c r="AH725" s="754"/>
      <c r="AI725" s="754"/>
      <c r="AJ725" s="754"/>
      <c r="AK725" s="754"/>
      <c r="AL725" s="754"/>
      <c r="AM725" s="754"/>
      <c r="AN725" s="754"/>
      <c r="AO725" s="754"/>
      <c r="AP725" s="754"/>
      <c r="AQ725" s="754"/>
      <c r="AR725" s="754"/>
      <c r="AS725" s="754"/>
      <c r="AT725" s="754"/>
      <c r="AU725" s="754"/>
    </row>
    <row r="726" ht="15.75" customHeight="1">
      <c r="A726" s="768">
        <v>44531.0</v>
      </c>
      <c r="B726" s="769" t="s">
        <v>2676</v>
      </c>
      <c r="C726" s="770" t="s">
        <v>2376</v>
      </c>
      <c r="D726" s="745" t="s">
        <v>5903</v>
      </c>
      <c r="E726" s="771">
        <v>40000.0</v>
      </c>
      <c r="F726" s="745" t="s">
        <v>691</v>
      </c>
      <c r="G726" s="755" t="s">
        <v>18</v>
      </c>
      <c r="H726" s="755" t="s">
        <v>145</v>
      </c>
      <c r="I726" s="755" t="s">
        <v>146</v>
      </c>
      <c r="J726" s="755">
        <v>44321.0</v>
      </c>
      <c r="K726" s="755" t="s">
        <v>3651</v>
      </c>
      <c r="L726" s="754"/>
      <c r="M726" s="754"/>
      <c r="N726" s="754"/>
      <c r="O726" s="754"/>
      <c r="P726" s="754"/>
      <c r="Q726" s="754"/>
      <c r="R726" s="754"/>
      <c r="S726" s="754"/>
      <c r="T726" s="754"/>
      <c r="U726" s="754"/>
      <c r="V726" s="754"/>
      <c r="W726" s="754"/>
      <c r="X726" s="754"/>
      <c r="Y726" s="754"/>
      <c r="Z726" s="754"/>
      <c r="AA726" s="754"/>
      <c r="AB726" s="754"/>
      <c r="AC726" s="754"/>
      <c r="AD726" s="754"/>
      <c r="AE726" s="754"/>
      <c r="AF726" s="754"/>
      <c r="AG726" s="754"/>
      <c r="AH726" s="754"/>
      <c r="AI726" s="754"/>
      <c r="AJ726" s="754"/>
      <c r="AK726" s="754"/>
      <c r="AL726" s="754"/>
      <c r="AM726" s="754"/>
      <c r="AN726" s="754"/>
      <c r="AO726" s="754"/>
      <c r="AP726" s="754"/>
      <c r="AQ726" s="754"/>
      <c r="AR726" s="754"/>
      <c r="AS726" s="754"/>
      <c r="AT726" s="754"/>
      <c r="AU726" s="754"/>
    </row>
    <row r="727" ht="15.75" customHeight="1">
      <c r="A727" s="768">
        <v>44531.0</v>
      </c>
      <c r="B727" s="803" t="s">
        <v>5941</v>
      </c>
      <c r="C727" s="770" t="s">
        <v>3642</v>
      </c>
      <c r="D727" s="745" t="s">
        <v>5903</v>
      </c>
      <c r="E727" s="771">
        <v>5800.0</v>
      </c>
      <c r="F727" s="745" t="s">
        <v>4928</v>
      </c>
      <c r="G727" s="745" t="s">
        <v>86</v>
      </c>
      <c r="H727" s="745" t="s">
        <v>29</v>
      </c>
      <c r="I727" s="745" t="s">
        <v>4314</v>
      </c>
      <c r="J727" s="755">
        <v>44180.0</v>
      </c>
      <c r="K727" s="745" t="s">
        <v>3651</v>
      </c>
      <c r="L727" s="754"/>
      <c r="M727" s="754"/>
      <c r="N727" s="754"/>
      <c r="O727" s="754"/>
      <c r="P727" s="754"/>
      <c r="Q727" s="754"/>
      <c r="R727" s="754"/>
      <c r="S727" s="754"/>
      <c r="T727" s="754"/>
      <c r="U727" s="754"/>
      <c r="V727" s="754"/>
      <c r="W727" s="754"/>
      <c r="X727" s="754"/>
      <c r="Y727" s="754"/>
      <c r="Z727" s="754"/>
      <c r="AA727" s="754"/>
      <c r="AB727" s="754"/>
      <c r="AC727" s="754"/>
      <c r="AD727" s="754"/>
      <c r="AE727" s="754"/>
      <c r="AF727" s="754"/>
      <c r="AG727" s="754"/>
      <c r="AH727" s="754"/>
      <c r="AI727" s="754"/>
      <c r="AJ727" s="754"/>
      <c r="AK727" s="754"/>
      <c r="AL727" s="754"/>
      <c r="AM727" s="754"/>
      <c r="AN727" s="754"/>
      <c r="AO727" s="754"/>
      <c r="AP727" s="754"/>
      <c r="AQ727" s="754"/>
      <c r="AR727" s="754"/>
      <c r="AS727" s="754"/>
      <c r="AT727" s="754"/>
      <c r="AU727" s="754"/>
    </row>
    <row r="728" ht="15.75" customHeight="1">
      <c r="A728" s="768">
        <v>44531.0</v>
      </c>
      <c r="B728" s="807" t="s">
        <v>5975</v>
      </c>
      <c r="C728" s="770" t="s">
        <v>3642</v>
      </c>
      <c r="D728" s="745" t="s">
        <v>5903</v>
      </c>
      <c r="E728" s="771">
        <v>200000.0</v>
      </c>
      <c r="F728" s="783" t="s">
        <v>3877</v>
      </c>
      <c r="G728" s="734" t="s">
        <v>2379</v>
      </c>
      <c r="H728" s="813" t="s">
        <v>29</v>
      </c>
      <c r="I728" s="813" t="s">
        <v>2379</v>
      </c>
      <c r="J728" s="814">
        <v>44235.0</v>
      </c>
      <c r="K728" s="783" t="s">
        <v>3651</v>
      </c>
      <c r="L728" s="754"/>
      <c r="M728" s="754"/>
      <c r="N728" s="754"/>
      <c r="O728" s="754"/>
      <c r="P728" s="754"/>
      <c r="Q728" s="754"/>
      <c r="R728" s="754"/>
      <c r="S728" s="754"/>
      <c r="T728" s="754"/>
      <c r="U728" s="754"/>
      <c r="V728" s="754"/>
      <c r="W728" s="754"/>
      <c r="X728" s="754"/>
      <c r="Y728" s="754"/>
      <c r="Z728" s="754"/>
      <c r="AA728" s="754"/>
      <c r="AB728" s="754"/>
      <c r="AC728" s="754"/>
      <c r="AD728" s="754"/>
      <c r="AE728" s="754"/>
      <c r="AF728" s="754"/>
      <c r="AG728" s="754"/>
      <c r="AH728" s="754"/>
      <c r="AI728" s="754"/>
      <c r="AJ728" s="754"/>
      <c r="AK728" s="754"/>
      <c r="AL728" s="754"/>
      <c r="AM728" s="754"/>
      <c r="AN728" s="754"/>
      <c r="AO728" s="754"/>
      <c r="AP728" s="754"/>
      <c r="AQ728" s="754"/>
      <c r="AR728" s="754"/>
      <c r="AS728" s="754"/>
      <c r="AT728" s="754"/>
      <c r="AU728" s="754"/>
    </row>
    <row r="729" ht="15.75" customHeight="1">
      <c r="A729" s="768">
        <v>44532.0</v>
      </c>
      <c r="B729" s="769" t="s">
        <v>2514</v>
      </c>
      <c r="C729" s="770" t="s">
        <v>2376</v>
      </c>
      <c r="D729" s="745" t="s">
        <v>5903</v>
      </c>
      <c r="E729" s="771">
        <v>500.0</v>
      </c>
      <c r="F729" s="745" t="s">
        <v>319</v>
      </c>
      <c r="G729" s="755" t="s">
        <v>18</v>
      </c>
      <c r="H729" s="755" t="s">
        <v>145</v>
      </c>
      <c r="I729" s="755" t="s">
        <v>146</v>
      </c>
      <c r="J729" s="755">
        <v>44263.0</v>
      </c>
      <c r="K729" s="755" t="s">
        <v>3651</v>
      </c>
      <c r="L729" s="754"/>
      <c r="M729" s="754"/>
      <c r="N729" s="754"/>
      <c r="O729" s="754"/>
      <c r="P729" s="754"/>
      <c r="Q729" s="754"/>
      <c r="R729" s="754"/>
      <c r="S729" s="754"/>
      <c r="T729" s="754"/>
      <c r="U729" s="754"/>
      <c r="V729" s="754"/>
      <c r="W729" s="754"/>
      <c r="X729" s="754"/>
      <c r="Y729" s="754"/>
      <c r="Z729" s="754"/>
      <c r="AA729" s="754"/>
      <c r="AB729" s="754"/>
      <c r="AC729" s="754"/>
      <c r="AD729" s="754"/>
      <c r="AE729" s="754"/>
      <c r="AF729" s="754"/>
      <c r="AG729" s="754"/>
      <c r="AH729" s="754"/>
      <c r="AI729" s="754"/>
      <c r="AJ729" s="754"/>
      <c r="AK729" s="754"/>
      <c r="AL729" s="754"/>
      <c r="AM729" s="754"/>
      <c r="AN729" s="754"/>
      <c r="AO729" s="754"/>
      <c r="AP729" s="754"/>
      <c r="AQ729" s="754"/>
      <c r="AR729" s="754"/>
      <c r="AS729" s="754"/>
      <c r="AT729" s="754"/>
      <c r="AU729" s="754"/>
    </row>
    <row r="730" ht="15.75" customHeight="1">
      <c r="A730" s="768">
        <v>44532.0</v>
      </c>
      <c r="B730" s="769" t="s">
        <v>3043</v>
      </c>
      <c r="C730" s="770" t="s">
        <v>2376</v>
      </c>
      <c r="D730" s="745" t="s">
        <v>5903</v>
      </c>
      <c r="E730" s="771">
        <v>10000.0</v>
      </c>
      <c r="F730" s="745" t="s">
        <v>3042</v>
      </c>
      <c r="G730" s="755" t="s">
        <v>18</v>
      </c>
      <c r="H730" s="755" t="s">
        <v>145</v>
      </c>
      <c r="I730" s="755" t="s">
        <v>171</v>
      </c>
      <c r="J730" s="755">
        <v>44322.0</v>
      </c>
      <c r="K730" s="755" t="s">
        <v>3651</v>
      </c>
      <c r="L730" s="754"/>
      <c r="M730" s="754"/>
      <c r="N730" s="754"/>
      <c r="O730" s="754"/>
      <c r="P730" s="754"/>
      <c r="Q730" s="754"/>
      <c r="R730" s="754"/>
      <c r="S730" s="754"/>
      <c r="T730" s="754"/>
      <c r="U730" s="754"/>
      <c r="V730" s="754"/>
      <c r="W730" s="754"/>
      <c r="X730" s="754"/>
      <c r="Y730" s="754"/>
      <c r="Z730" s="754"/>
      <c r="AA730" s="754"/>
      <c r="AB730" s="754"/>
      <c r="AC730" s="754"/>
      <c r="AD730" s="754"/>
      <c r="AE730" s="754"/>
      <c r="AF730" s="754"/>
      <c r="AG730" s="754"/>
      <c r="AH730" s="754"/>
      <c r="AI730" s="754"/>
      <c r="AJ730" s="754"/>
      <c r="AK730" s="754"/>
      <c r="AL730" s="754"/>
      <c r="AM730" s="754"/>
      <c r="AN730" s="754"/>
      <c r="AO730" s="754"/>
      <c r="AP730" s="754"/>
      <c r="AQ730" s="754"/>
      <c r="AR730" s="754"/>
      <c r="AS730" s="754"/>
      <c r="AT730" s="754"/>
      <c r="AU730" s="754"/>
    </row>
    <row r="731" ht="15.75" customHeight="1">
      <c r="A731" s="768">
        <v>44532.0</v>
      </c>
      <c r="B731" s="769" t="s">
        <v>2811</v>
      </c>
      <c r="C731" s="770" t="s">
        <v>2376</v>
      </c>
      <c r="D731" s="745" t="s">
        <v>5903</v>
      </c>
      <c r="E731" s="771">
        <v>25000.0</v>
      </c>
      <c r="F731" s="745" t="s">
        <v>2810</v>
      </c>
      <c r="G731" s="755" t="s">
        <v>2379</v>
      </c>
      <c r="H731" s="755" t="s">
        <v>29</v>
      </c>
      <c r="I731" s="755" t="s">
        <v>2380</v>
      </c>
      <c r="J731" s="755">
        <v>43703.0</v>
      </c>
      <c r="K731" s="755" t="s">
        <v>4033</v>
      </c>
      <c r="L731" s="754"/>
      <c r="M731" s="754"/>
      <c r="N731" s="754"/>
      <c r="O731" s="754"/>
      <c r="P731" s="754"/>
      <c r="Q731" s="754"/>
      <c r="R731" s="754"/>
      <c r="S731" s="754"/>
      <c r="T731" s="754"/>
      <c r="U731" s="754"/>
      <c r="V731" s="754"/>
      <c r="W731" s="754"/>
      <c r="X731" s="754"/>
      <c r="Y731" s="754"/>
      <c r="Z731" s="754"/>
      <c r="AA731" s="754"/>
      <c r="AB731" s="754"/>
      <c r="AC731" s="754"/>
      <c r="AD731" s="754"/>
      <c r="AE731" s="754"/>
      <c r="AF731" s="754"/>
      <c r="AG731" s="754"/>
      <c r="AH731" s="754"/>
      <c r="AI731" s="754"/>
      <c r="AJ731" s="754"/>
      <c r="AK731" s="754"/>
      <c r="AL731" s="754"/>
      <c r="AM731" s="754"/>
      <c r="AN731" s="754"/>
      <c r="AO731" s="754"/>
      <c r="AP731" s="754"/>
      <c r="AQ731" s="754"/>
      <c r="AR731" s="754"/>
      <c r="AS731" s="754"/>
      <c r="AT731" s="754"/>
      <c r="AU731" s="754"/>
    </row>
    <row r="732" ht="15.75" customHeight="1">
      <c r="A732" s="768">
        <v>44536.0</v>
      </c>
      <c r="B732" s="769" t="s">
        <v>3342</v>
      </c>
      <c r="C732" s="770" t="s">
        <v>2376</v>
      </c>
      <c r="D732" s="745" t="s">
        <v>5903</v>
      </c>
      <c r="E732" s="771">
        <v>6000.0</v>
      </c>
      <c r="F732" s="745" t="s">
        <v>3341</v>
      </c>
      <c r="G732" s="755" t="s">
        <v>2379</v>
      </c>
      <c r="H732" s="755" t="s">
        <v>29</v>
      </c>
      <c r="I732" s="755" t="s">
        <v>2380</v>
      </c>
      <c r="J732" s="755">
        <v>43717.0</v>
      </c>
      <c r="K732" s="755" t="s">
        <v>4033</v>
      </c>
      <c r="L732" s="754"/>
      <c r="M732" s="754"/>
      <c r="N732" s="754"/>
      <c r="O732" s="754"/>
      <c r="P732" s="754"/>
      <c r="Q732" s="754"/>
      <c r="R732" s="754"/>
      <c r="S732" s="754"/>
      <c r="T732" s="754"/>
      <c r="U732" s="754"/>
      <c r="V732" s="754"/>
      <c r="W732" s="754"/>
      <c r="X732" s="754"/>
      <c r="Y732" s="754"/>
      <c r="Z732" s="754"/>
      <c r="AA732" s="754"/>
      <c r="AB732" s="754"/>
      <c r="AC732" s="754"/>
      <c r="AD732" s="754"/>
      <c r="AE732" s="754"/>
      <c r="AF732" s="754"/>
      <c r="AG732" s="754"/>
      <c r="AH732" s="754"/>
      <c r="AI732" s="754"/>
      <c r="AJ732" s="754"/>
      <c r="AK732" s="754"/>
      <c r="AL732" s="754"/>
      <c r="AM732" s="754"/>
      <c r="AN732" s="754"/>
      <c r="AO732" s="754"/>
      <c r="AP732" s="754"/>
      <c r="AQ732" s="754"/>
      <c r="AR732" s="754"/>
      <c r="AS732" s="754"/>
      <c r="AT732" s="754"/>
      <c r="AU732" s="754"/>
    </row>
    <row r="733" ht="15.75" customHeight="1">
      <c r="A733" s="768">
        <v>44536.0</v>
      </c>
      <c r="B733" s="756" t="s">
        <v>2870</v>
      </c>
      <c r="C733" s="770" t="s">
        <v>2376</v>
      </c>
      <c r="D733" s="745" t="s">
        <v>5903</v>
      </c>
      <c r="E733" s="771">
        <v>12000.0</v>
      </c>
      <c r="F733" s="745" t="s">
        <v>2869</v>
      </c>
      <c r="G733" s="755" t="s">
        <v>2379</v>
      </c>
      <c r="H733" s="755" t="s">
        <v>29</v>
      </c>
      <c r="I733" s="755" t="s">
        <v>2380</v>
      </c>
      <c r="J733" s="755">
        <v>43605.0</v>
      </c>
      <c r="K733" s="755" t="s">
        <v>3660</v>
      </c>
      <c r="L733" s="754"/>
      <c r="M733" s="754"/>
      <c r="N733" s="754"/>
      <c r="O733" s="754"/>
      <c r="P733" s="754"/>
      <c r="Q733" s="754"/>
      <c r="R733" s="754"/>
      <c r="S733" s="754"/>
      <c r="T733" s="754"/>
      <c r="U733" s="754"/>
      <c r="V733" s="754"/>
      <c r="W733" s="754"/>
      <c r="X733" s="754"/>
      <c r="Y733" s="754"/>
      <c r="Z733" s="754"/>
      <c r="AA733" s="754"/>
      <c r="AB733" s="754"/>
      <c r="AC733" s="754"/>
      <c r="AD733" s="754"/>
      <c r="AE733" s="754"/>
      <c r="AF733" s="754"/>
      <c r="AG733" s="754"/>
      <c r="AH733" s="754"/>
      <c r="AI733" s="754"/>
      <c r="AJ733" s="754"/>
      <c r="AK733" s="754"/>
      <c r="AL733" s="754"/>
      <c r="AM733" s="754"/>
      <c r="AN733" s="754"/>
      <c r="AO733" s="754"/>
      <c r="AP733" s="754"/>
      <c r="AQ733" s="754"/>
      <c r="AR733" s="754"/>
      <c r="AS733" s="754"/>
      <c r="AT733" s="754"/>
      <c r="AU733" s="754"/>
    </row>
    <row r="734" ht="15.75" customHeight="1">
      <c r="A734" s="768">
        <v>44537.0</v>
      </c>
      <c r="B734" s="769" t="s">
        <v>2484</v>
      </c>
      <c r="C734" s="770" t="s">
        <v>2376</v>
      </c>
      <c r="D734" s="745" t="s">
        <v>5903</v>
      </c>
      <c r="E734" s="771">
        <v>100000.0</v>
      </c>
      <c r="F734" s="745" t="s">
        <v>2483</v>
      </c>
      <c r="G734" s="755" t="s">
        <v>2379</v>
      </c>
      <c r="H734" s="755" t="s">
        <v>29</v>
      </c>
      <c r="I734" s="755" t="s">
        <v>2380</v>
      </c>
      <c r="J734" s="755">
        <v>43867.0</v>
      </c>
      <c r="K734" s="755" t="s">
        <v>3651</v>
      </c>
      <c r="L734" s="754"/>
      <c r="M734" s="754"/>
      <c r="N734" s="754"/>
      <c r="O734" s="754"/>
      <c r="P734" s="754"/>
      <c r="Q734" s="754"/>
      <c r="R734" s="754"/>
      <c r="S734" s="754"/>
      <c r="T734" s="754"/>
      <c r="U734" s="754"/>
      <c r="V734" s="754"/>
      <c r="W734" s="754"/>
      <c r="X734" s="754"/>
      <c r="Y734" s="754"/>
      <c r="Z734" s="754"/>
      <c r="AA734" s="754"/>
      <c r="AB734" s="754"/>
      <c r="AC734" s="754"/>
      <c r="AD734" s="754"/>
      <c r="AE734" s="754"/>
      <c r="AF734" s="754"/>
      <c r="AG734" s="754"/>
      <c r="AH734" s="754"/>
      <c r="AI734" s="754"/>
      <c r="AJ734" s="754"/>
      <c r="AK734" s="754"/>
      <c r="AL734" s="754"/>
      <c r="AM734" s="754"/>
      <c r="AN734" s="754"/>
      <c r="AO734" s="754"/>
      <c r="AP734" s="754"/>
      <c r="AQ734" s="754"/>
      <c r="AR734" s="754"/>
      <c r="AS734" s="754"/>
      <c r="AT734" s="754"/>
      <c r="AU734" s="754"/>
    </row>
    <row r="735" ht="15.75" customHeight="1">
      <c r="A735" s="768">
        <v>44537.0</v>
      </c>
      <c r="B735" s="769" t="s">
        <v>3333</v>
      </c>
      <c r="C735" s="770" t="s">
        <v>2376</v>
      </c>
      <c r="D735" s="745" t="s">
        <v>5903</v>
      </c>
      <c r="E735" s="771">
        <v>20000.0</v>
      </c>
      <c r="F735" s="745" t="s">
        <v>3332</v>
      </c>
      <c r="G735" s="755" t="s">
        <v>18</v>
      </c>
      <c r="H735" s="755" t="s">
        <v>145</v>
      </c>
      <c r="I735" s="755" t="s">
        <v>146</v>
      </c>
      <c r="J735" s="755">
        <v>44263.0</v>
      </c>
      <c r="K735" s="755" t="s">
        <v>3660</v>
      </c>
      <c r="L735" s="754"/>
      <c r="M735" s="754"/>
      <c r="N735" s="754"/>
      <c r="O735" s="754"/>
      <c r="P735" s="754"/>
      <c r="Q735" s="754"/>
      <c r="R735" s="754"/>
      <c r="S735" s="754"/>
      <c r="T735" s="754"/>
      <c r="U735" s="754"/>
      <c r="V735" s="754"/>
      <c r="W735" s="754"/>
      <c r="X735" s="754"/>
      <c r="Y735" s="754"/>
      <c r="Z735" s="754"/>
      <c r="AA735" s="754"/>
      <c r="AB735" s="754"/>
      <c r="AC735" s="754"/>
      <c r="AD735" s="754"/>
      <c r="AE735" s="754"/>
      <c r="AF735" s="754"/>
      <c r="AG735" s="754"/>
      <c r="AH735" s="754"/>
      <c r="AI735" s="754"/>
      <c r="AJ735" s="754"/>
      <c r="AK735" s="754"/>
      <c r="AL735" s="754"/>
      <c r="AM735" s="754"/>
      <c r="AN735" s="754"/>
      <c r="AO735" s="754"/>
      <c r="AP735" s="754"/>
      <c r="AQ735" s="754"/>
      <c r="AR735" s="754"/>
      <c r="AS735" s="754"/>
      <c r="AT735" s="754"/>
      <c r="AU735" s="754"/>
    </row>
    <row r="736" ht="15.75" customHeight="1">
      <c r="A736" s="768">
        <v>44537.0</v>
      </c>
      <c r="B736" s="769" t="s">
        <v>3235</v>
      </c>
      <c r="C736" s="770" t="s">
        <v>2376</v>
      </c>
      <c r="D736" s="745" t="s">
        <v>5903</v>
      </c>
      <c r="E736" s="771">
        <v>4000.0</v>
      </c>
      <c r="F736" s="745" t="s">
        <v>3234</v>
      </c>
      <c r="G736" s="755" t="s">
        <v>2379</v>
      </c>
      <c r="H736" s="755" t="s">
        <v>29</v>
      </c>
      <c r="I736" s="755" t="s">
        <v>2380</v>
      </c>
      <c r="J736" s="755">
        <v>43894.0</v>
      </c>
      <c r="K736" s="755" t="s">
        <v>3660</v>
      </c>
      <c r="L736" s="754"/>
      <c r="M736" s="754"/>
      <c r="N736" s="754"/>
      <c r="O736" s="754"/>
      <c r="P736" s="754"/>
      <c r="Q736" s="754"/>
      <c r="R736" s="754"/>
      <c r="S736" s="754"/>
      <c r="T736" s="754"/>
      <c r="U736" s="754"/>
      <c r="V736" s="754"/>
      <c r="W736" s="754"/>
      <c r="X736" s="754"/>
      <c r="Y736" s="754"/>
      <c r="Z736" s="754"/>
      <c r="AA736" s="754"/>
      <c r="AB736" s="754"/>
      <c r="AC736" s="754"/>
      <c r="AD736" s="754"/>
      <c r="AE736" s="754"/>
      <c r="AF736" s="754"/>
      <c r="AG736" s="754"/>
      <c r="AH736" s="754"/>
      <c r="AI736" s="754"/>
      <c r="AJ736" s="754"/>
      <c r="AK736" s="754"/>
      <c r="AL736" s="754"/>
      <c r="AM736" s="754"/>
      <c r="AN736" s="754"/>
      <c r="AO736" s="754"/>
      <c r="AP736" s="754"/>
      <c r="AQ736" s="754"/>
      <c r="AR736" s="754"/>
      <c r="AS736" s="754"/>
      <c r="AT736" s="754"/>
      <c r="AU736" s="754"/>
    </row>
    <row r="737" ht="15.75" customHeight="1">
      <c r="A737" s="768">
        <v>44537.0</v>
      </c>
      <c r="B737" s="805" t="s">
        <v>5977</v>
      </c>
      <c r="C737" s="770" t="s">
        <v>3642</v>
      </c>
      <c r="D737" s="745" t="s">
        <v>5902</v>
      </c>
      <c r="E737" s="771">
        <v>165996.78</v>
      </c>
      <c r="F737" s="745" t="s">
        <v>4567</v>
      </c>
      <c r="G737" s="745" t="s">
        <v>86</v>
      </c>
      <c r="H737" s="745" t="s">
        <v>29</v>
      </c>
      <c r="I737" s="791" t="s">
        <v>4568</v>
      </c>
      <c r="J737" s="755">
        <v>44130.0</v>
      </c>
      <c r="K737" s="762" t="s">
        <v>3651</v>
      </c>
      <c r="L737" s="754"/>
      <c r="M737" s="754"/>
      <c r="N737" s="754"/>
      <c r="O737" s="754"/>
      <c r="P737" s="754"/>
      <c r="Q737" s="754"/>
      <c r="R737" s="754"/>
      <c r="S737" s="754"/>
      <c r="T737" s="754"/>
      <c r="U737" s="754"/>
      <c r="V737" s="754"/>
      <c r="W737" s="754"/>
      <c r="X737" s="754"/>
      <c r="Y737" s="754"/>
      <c r="Z737" s="754"/>
      <c r="AA737" s="754"/>
      <c r="AB737" s="754"/>
      <c r="AC737" s="754"/>
      <c r="AD737" s="754"/>
      <c r="AE737" s="754"/>
      <c r="AF737" s="754"/>
      <c r="AG737" s="754"/>
      <c r="AH737" s="754"/>
      <c r="AI737" s="754"/>
      <c r="AJ737" s="754"/>
      <c r="AK737" s="754"/>
      <c r="AL737" s="754"/>
      <c r="AM737" s="754"/>
      <c r="AN737" s="754"/>
      <c r="AO737" s="754"/>
      <c r="AP737" s="754"/>
      <c r="AQ737" s="754"/>
      <c r="AR737" s="754"/>
      <c r="AS737" s="754"/>
      <c r="AT737" s="754"/>
      <c r="AU737" s="754"/>
    </row>
    <row r="738" ht="15.75" customHeight="1">
      <c r="A738" s="768">
        <v>44537.0</v>
      </c>
      <c r="B738" s="805" t="s">
        <v>6017</v>
      </c>
      <c r="C738" s="770" t="s">
        <v>3642</v>
      </c>
      <c r="D738" s="745" t="s">
        <v>5902</v>
      </c>
      <c r="E738" s="771">
        <v>2049.55</v>
      </c>
      <c r="F738" s="745" t="s">
        <v>4103</v>
      </c>
      <c r="G738" s="745" t="s">
        <v>86</v>
      </c>
      <c r="H738" s="745" t="s">
        <v>29</v>
      </c>
      <c r="I738" s="745" t="s">
        <v>3702</v>
      </c>
      <c r="J738" s="755">
        <v>44075.0</v>
      </c>
      <c r="K738" s="745" t="s">
        <v>3647</v>
      </c>
      <c r="L738" s="754"/>
      <c r="M738" s="754"/>
      <c r="N738" s="754"/>
      <c r="O738" s="754"/>
      <c r="P738" s="754"/>
      <c r="Q738" s="754"/>
      <c r="R738" s="754"/>
      <c r="S738" s="754"/>
      <c r="T738" s="754"/>
      <c r="U738" s="754"/>
      <c r="V738" s="754"/>
      <c r="W738" s="754"/>
      <c r="X738" s="754"/>
      <c r="Y738" s="754"/>
      <c r="Z738" s="754"/>
      <c r="AA738" s="754"/>
      <c r="AB738" s="754"/>
      <c r="AC738" s="754"/>
      <c r="AD738" s="754"/>
      <c r="AE738" s="754"/>
      <c r="AF738" s="754"/>
      <c r="AG738" s="754"/>
      <c r="AH738" s="754"/>
      <c r="AI738" s="754"/>
      <c r="AJ738" s="754"/>
      <c r="AK738" s="754"/>
      <c r="AL738" s="754"/>
      <c r="AM738" s="754"/>
      <c r="AN738" s="754"/>
      <c r="AO738" s="754"/>
      <c r="AP738" s="754"/>
      <c r="AQ738" s="754"/>
      <c r="AR738" s="754"/>
      <c r="AS738" s="754"/>
      <c r="AT738" s="754"/>
      <c r="AU738" s="754"/>
    </row>
    <row r="739" ht="15.75" customHeight="1">
      <c r="A739" s="768">
        <v>44538.0</v>
      </c>
      <c r="B739" s="816">
        <v>6549214.0</v>
      </c>
      <c r="C739" s="770" t="s">
        <v>3642</v>
      </c>
      <c r="D739" s="745" t="s">
        <v>5903</v>
      </c>
      <c r="E739" s="771">
        <v>24469.7</v>
      </c>
      <c r="F739" s="745" t="s">
        <v>4619</v>
      </c>
      <c r="G739" s="755" t="s">
        <v>18</v>
      </c>
      <c r="H739" s="755" t="s">
        <v>19</v>
      </c>
      <c r="I739" s="755" t="s">
        <v>3978</v>
      </c>
      <c r="J739" s="755">
        <v>44487.0</v>
      </c>
      <c r="K739" s="755" t="s">
        <v>3651</v>
      </c>
      <c r="L739" s="754"/>
      <c r="M739" s="754"/>
      <c r="N739" s="754"/>
      <c r="O739" s="754"/>
      <c r="P739" s="754"/>
      <c r="Q739" s="754"/>
      <c r="R739" s="754"/>
      <c r="S739" s="754"/>
      <c r="T739" s="754"/>
      <c r="U739" s="754"/>
      <c r="V739" s="754"/>
      <c r="W739" s="754"/>
      <c r="X739" s="754"/>
      <c r="Y739" s="754"/>
      <c r="Z739" s="754"/>
      <c r="AA739" s="754"/>
      <c r="AB739" s="754"/>
      <c r="AC739" s="754"/>
      <c r="AD739" s="754"/>
      <c r="AE739" s="754"/>
      <c r="AF739" s="754"/>
      <c r="AG739" s="754"/>
      <c r="AH739" s="754"/>
      <c r="AI739" s="754"/>
      <c r="AJ739" s="754"/>
      <c r="AK739" s="754"/>
      <c r="AL739" s="754"/>
      <c r="AM739" s="754"/>
      <c r="AN739" s="754"/>
      <c r="AO739" s="754"/>
      <c r="AP739" s="754"/>
      <c r="AQ739" s="754"/>
      <c r="AR739" s="754"/>
      <c r="AS739" s="754"/>
      <c r="AT739" s="754"/>
      <c r="AU739" s="754"/>
    </row>
    <row r="740" ht="15.75" customHeight="1">
      <c r="A740" s="768">
        <v>44540.0</v>
      </c>
      <c r="B740" s="769" t="s">
        <v>2888</v>
      </c>
      <c r="C740" s="770" t="s">
        <v>2376</v>
      </c>
      <c r="D740" s="745" t="s">
        <v>5903</v>
      </c>
      <c r="E740" s="771">
        <v>10000.0</v>
      </c>
      <c r="F740" s="745" t="s">
        <v>2887</v>
      </c>
      <c r="G740" s="755" t="s">
        <v>18</v>
      </c>
      <c r="H740" s="755" t="s">
        <v>145</v>
      </c>
      <c r="I740" s="755" t="s">
        <v>2464</v>
      </c>
      <c r="J740" s="755">
        <v>44266.0</v>
      </c>
      <c r="K740" s="755" t="s">
        <v>3660</v>
      </c>
      <c r="L740" s="754"/>
      <c r="M740" s="754"/>
      <c r="N740" s="754"/>
      <c r="O740" s="754"/>
      <c r="P740" s="754"/>
      <c r="Q740" s="754"/>
      <c r="R740" s="754"/>
      <c r="S740" s="754"/>
      <c r="T740" s="754"/>
      <c r="U740" s="754"/>
      <c r="V740" s="754"/>
      <c r="W740" s="754"/>
      <c r="X740" s="754"/>
      <c r="Y740" s="754"/>
      <c r="Z740" s="754"/>
      <c r="AA740" s="754"/>
      <c r="AB740" s="754"/>
      <c r="AC740" s="754"/>
      <c r="AD740" s="754"/>
      <c r="AE740" s="754"/>
      <c r="AF740" s="754"/>
      <c r="AG740" s="754"/>
      <c r="AH740" s="754"/>
      <c r="AI740" s="754"/>
      <c r="AJ740" s="754"/>
      <c r="AK740" s="754"/>
      <c r="AL740" s="754"/>
      <c r="AM740" s="754"/>
      <c r="AN740" s="754"/>
      <c r="AO740" s="754"/>
      <c r="AP740" s="754"/>
      <c r="AQ740" s="754"/>
      <c r="AR740" s="754"/>
      <c r="AS740" s="754"/>
      <c r="AT740" s="754"/>
      <c r="AU740" s="754"/>
    </row>
    <row r="741" ht="15.75" customHeight="1">
      <c r="A741" s="768">
        <v>44543.0</v>
      </c>
      <c r="B741" s="805" t="s">
        <v>6030</v>
      </c>
      <c r="C741" s="770" t="s">
        <v>3642</v>
      </c>
      <c r="D741" s="745" t="s">
        <v>5902</v>
      </c>
      <c r="E741" s="771">
        <v>79069.9</v>
      </c>
      <c r="F741" s="745" t="s">
        <v>3179</v>
      </c>
      <c r="G741" s="745" t="s">
        <v>2379</v>
      </c>
      <c r="H741" s="745" t="s">
        <v>29</v>
      </c>
      <c r="I741" s="745" t="s">
        <v>2379</v>
      </c>
      <c r="J741" s="755">
        <v>44151.0</v>
      </c>
      <c r="K741" s="745" t="s">
        <v>3651</v>
      </c>
      <c r="L741" s="754"/>
      <c r="M741" s="754"/>
      <c r="N741" s="754"/>
      <c r="O741" s="754"/>
      <c r="P741" s="754"/>
      <c r="Q741" s="754"/>
      <c r="R741" s="754"/>
      <c r="S741" s="754"/>
      <c r="T741" s="754"/>
      <c r="U741" s="754"/>
      <c r="V741" s="754"/>
      <c r="W741" s="754"/>
      <c r="X741" s="754"/>
      <c r="Y741" s="754"/>
      <c r="Z741" s="754"/>
      <c r="AA741" s="754"/>
      <c r="AB741" s="754"/>
      <c r="AC741" s="754"/>
      <c r="AD741" s="754"/>
      <c r="AE741" s="754"/>
      <c r="AF741" s="754"/>
      <c r="AG741" s="754"/>
      <c r="AH741" s="754"/>
      <c r="AI741" s="754"/>
      <c r="AJ741" s="754"/>
      <c r="AK741" s="754"/>
      <c r="AL741" s="754"/>
      <c r="AM741" s="754"/>
      <c r="AN741" s="754"/>
      <c r="AO741" s="754"/>
      <c r="AP741" s="754"/>
      <c r="AQ741" s="754"/>
      <c r="AR741" s="754"/>
      <c r="AS741" s="754"/>
      <c r="AT741" s="754"/>
      <c r="AU741" s="754"/>
    </row>
    <row r="742" ht="15.75" customHeight="1">
      <c r="A742" s="768">
        <v>44543.0</v>
      </c>
      <c r="B742" s="769" t="s">
        <v>2922</v>
      </c>
      <c r="C742" s="770" t="s">
        <v>2376</v>
      </c>
      <c r="D742" s="745" t="s">
        <v>5903</v>
      </c>
      <c r="E742" s="771">
        <v>104000.0</v>
      </c>
      <c r="F742" s="745" t="s">
        <v>2921</v>
      </c>
      <c r="G742" s="755" t="s">
        <v>18</v>
      </c>
      <c r="H742" s="755" t="s">
        <v>145</v>
      </c>
      <c r="I742" s="755" t="s">
        <v>146</v>
      </c>
      <c r="J742" s="755">
        <v>44263.0</v>
      </c>
      <c r="K742" s="755" t="s">
        <v>3651</v>
      </c>
      <c r="L742" s="754"/>
      <c r="M742" s="754"/>
      <c r="N742" s="754"/>
      <c r="O742" s="754"/>
      <c r="P742" s="754"/>
      <c r="Q742" s="754"/>
      <c r="R742" s="754"/>
      <c r="S742" s="754"/>
      <c r="T742" s="754"/>
      <c r="U742" s="754"/>
      <c r="V742" s="754"/>
      <c r="W742" s="754"/>
      <c r="X742" s="754"/>
      <c r="Y742" s="754"/>
      <c r="Z742" s="754"/>
      <c r="AA742" s="754"/>
      <c r="AB742" s="754"/>
      <c r="AC742" s="754"/>
      <c r="AD742" s="754"/>
      <c r="AE742" s="754"/>
      <c r="AF742" s="754"/>
      <c r="AG742" s="754"/>
      <c r="AH742" s="754"/>
      <c r="AI742" s="754"/>
      <c r="AJ742" s="754"/>
      <c r="AK742" s="754"/>
      <c r="AL742" s="754"/>
      <c r="AM742" s="754"/>
      <c r="AN742" s="754"/>
      <c r="AO742" s="754"/>
      <c r="AP742" s="754"/>
      <c r="AQ742" s="754"/>
      <c r="AR742" s="754"/>
      <c r="AS742" s="754"/>
      <c r="AT742" s="754"/>
      <c r="AU742" s="754"/>
    </row>
    <row r="743" ht="15.75" customHeight="1">
      <c r="A743" s="768">
        <v>44544.0</v>
      </c>
      <c r="B743" s="769" t="s">
        <v>6046</v>
      </c>
      <c r="C743" s="770" t="s">
        <v>3642</v>
      </c>
      <c r="D743" s="745" t="s">
        <v>2387</v>
      </c>
      <c r="E743" s="771">
        <v>47268.23</v>
      </c>
      <c r="F743" s="745" t="s">
        <v>4645</v>
      </c>
      <c r="G743" s="745" t="s">
        <v>2379</v>
      </c>
      <c r="H743" s="745" t="s">
        <v>29</v>
      </c>
      <c r="I743" s="745" t="s">
        <v>2379</v>
      </c>
      <c r="J743" s="755">
        <v>44734.0</v>
      </c>
      <c r="K743" s="745" t="s">
        <v>3651</v>
      </c>
      <c r="L743" s="754"/>
      <c r="M743" s="754"/>
      <c r="N743" s="754"/>
      <c r="O743" s="754"/>
      <c r="P743" s="754"/>
      <c r="Q743" s="754"/>
      <c r="R743" s="754"/>
      <c r="S743" s="754"/>
      <c r="T743" s="754"/>
      <c r="U743" s="754"/>
      <c r="V743" s="754"/>
      <c r="W743" s="754"/>
      <c r="X743" s="754"/>
      <c r="Y743" s="754"/>
      <c r="Z743" s="754"/>
      <c r="AA743" s="754"/>
      <c r="AB743" s="754"/>
      <c r="AC743" s="754"/>
      <c r="AD743" s="754"/>
      <c r="AE743" s="754"/>
      <c r="AF743" s="754"/>
      <c r="AG743" s="754"/>
      <c r="AH743" s="754"/>
      <c r="AI743" s="754"/>
      <c r="AJ743" s="754"/>
      <c r="AK743" s="754"/>
      <c r="AL743" s="754"/>
      <c r="AM743" s="754"/>
      <c r="AN743" s="754"/>
      <c r="AO743" s="754"/>
      <c r="AP743" s="754"/>
      <c r="AQ743" s="754"/>
      <c r="AR743" s="754"/>
      <c r="AS743" s="754"/>
      <c r="AT743" s="754"/>
      <c r="AU743" s="754"/>
    </row>
    <row r="744" ht="15.75" customHeight="1">
      <c r="A744" s="768">
        <v>44544.0</v>
      </c>
      <c r="B744" s="807" t="s">
        <v>5929</v>
      </c>
      <c r="C744" s="770" t="s">
        <v>3642</v>
      </c>
      <c r="D744" s="745" t="s">
        <v>5903</v>
      </c>
      <c r="E744" s="771">
        <v>5000.0</v>
      </c>
      <c r="F744" s="745" t="s">
        <v>3706</v>
      </c>
      <c r="G744" s="745" t="s">
        <v>2379</v>
      </c>
      <c r="H744" s="745" t="s">
        <v>29</v>
      </c>
      <c r="I744" s="745" t="s">
        <v>2379</v>
      </c>
      <c r="J744" s="755">
        <v>44180.0</v>
      </c>
      <c r="K744" s="745" t="s">
        <v>3651</v>
      </c>
      <c r="L744" s="754"/>
      <c r="M744" s="754"/>
      <c r="N744" s="754"/>
      <c r="O744" s="754"/>
      <c r="P744" s="754"/>
      <c r="Q744" s="754"/>
      <c r="R744" s="754"/>
      <c r="S744" s="754"/>
      <c r="T744" s="754"/>
      <c r="U744" s="754"/>
      <c r="V744" s="754"/>
      <c r="W744" s="754"/>
      <c r="X744" s="754"/>
      <c r="Y744" s="754"/>
      <c r="Z744" s="754"/>
      <c r="AA744" s="754"/>
      <c r="AB744" s="754"/>
      <c r="AC744" s="754"/>
      <c r="AD744" s="754"/>
      <c r="AE744" s="754"/>
      <c r="AF744" s="754"/>
      <c r="AG744" s="754"/>
      <c r="AH744" s="754"/>
      <c r="AI744" s="754"/>
      <c r="AJ744" s="754"/>
      <c r="AK744" s="754"/>
      <c r="AL744" s="754"/>
      <c r="AM744" s="754"/>
      <c r="AN744" s="754"/>
      <c r="AO744" s="754"/>
      <c r="AP744" s="754"/>
      <c r="AQ744" s="754"/>
      <c r="AR744" s="754"/>
      <c r="AS744" s="754"/>
      <c r="AT744" s="754"/>
      <c r="AU744" s="754"/>
    </row>
    <row r="745" ht="15.75" customHeight="1">
      <c r="A745" s="768">
        <v>44544.0</v>
      </c>
      <c r="B745" s="769" t="s">
        <v>2919</v>
      </c>
      <c r="C745" s="770" t="s">
        <v>2376</v>
      </c>
      <c r="D745" s="745" t="s">
        <v>5903</v>
      </c>
      <c r="E745" s="771">
        <v>5000.0</v>
      </c>
      <c r="F745" s="745" t="s">
        <v>2918</v>
      </c>
      <c r="G745" s="755" t="s">
        <v>18</v>
      </c>
      <c r="H745" s="755" t="s">
        <v>145</v>
      </c>
      <c r="I745" s="755" t="s">
        <v>146</v>
      </c>
      <c r="J745" s="755">
        <v>44295.0</v>
      </c>
      <c r="K745" s="755" t="s">
        <v>3657</v>
      </c>
      <c r="L745" s="754"/>
      <c r="M745" s="754"/>
      <c r="N745" s="754"/>
      <c r="O745" s="754"/>
      <c r="P745" s="754"/>
      <c r="Q745" s="754"/>
      <c r="R745" s="754"/>
      <c r="S745" s="754"/>
      <c r="T745" s="754"/>
      <c r="U745" s="754"/>
      <c r="V745" s="754"/>
      <c r="W745" s="754"/>
      <c r="X745" s="754"/>
      <c r="Y745" s="754"/>
      <c r="Z745" s="754"/>
      <c r="AA745" s="754"/>
      <c r="AB745" s="754"/>
      <c r="AC745" s="754"/>
      <c r="AD745" s="754"/>
      <c r="AE745" s="754"/>
      <c r="AF745" s="754"/>
      <c r="AG745" s="754"/>
      <c r="AH745" s="754"/>
      <c r="AI745" s="754"/>
      <c r="AJ745" s="754"/>
      <c r="AK745" s="754"/>
      <c r="AL745" s="754"/>
      <c r="AM745" s="754"/>
      <c r="AN745" s="754"/>
      <c r="AO745" s="754"/>
      <c r="AP745" s="754"/>
      <c r="AQ745" s="754"/>
      <c r="AR745" s="754"/>
      <c r="AS745" s="754"/>
      <c r="AT745" s="754"/>
      <c r="AU745" s="754"/>
    </row>
    <row r="746" ht="15.75" customHeight="1">
      <c r="A746" s="768">
        <v>44545.0</v>
      </c>
      <c r="B746" s="773" t="s">
        <v>5925</v>
      </c>
      <c r="C746" s="770" t="s">
        <v>3642</v>
      </c>
      <c r="D746" s="745" t="s">
        <v>5903</v>
      </c>
      <c r="E746" s="771">
        <v>5000.0</v>
      </c>
      <c r="F746" s="745" t="s">
        <v>6047</v>
      </c>
      <c r="G746" s="734" t="s">
        <v>86</v>
      </c>
      <c r="H746" s="813" t="s">
        <v>29</v>
      </c>
      <c r="I746" s="813" t="s">
        <v>3711</v>
      </c>
      <c r="J746" s="814">
        <v>44263.0</v>
      </c>
      <c r="K746" s="745" t="s">
        <v>3651</v>
      </c>
      <c r="L746" s="754"/>
      <c r="M746" s="754"/>
      <c r="N746" s="754"/>
      <c r="O746" s="754"/>
      <c r="P746" s="754"/>
      <c r="Q746" s="754"/>
      <c r="R746" s="754"/>
      <c r="S746" s="754"/>
      <c r="T746" s="754"/>
      <c r="U746" s="754"/>
      <c r="V746" s="754"/>
      <c r="W746" s="754"/>
      <c r="X746" s="754"/>
      <c r="Y746" s="754"/>
      <c r="Z746" s="754"/>
      <c r="AA746" s="754"/>
      <c r="AB746" s="754"/>
      <c r="AC746" s="754"/>
      <c r="AD746" s="754"/>
      <c r="AE746" s="754"/>
      <c r="AF746" s="754"/>
      <c r="AG746" s="754"/>
      <c r="AH746" s="754"/>
      <c r="AI746" s="754"/>
      <c r="AJ746" s="754"/>
      <c r="AK746" s="754"/>
      <c r="AL746" s="754"/>
      <c r="AM746" s="754"/>
      <c r="AN746" s="754"/>
      <c r="AO746" s="754"/>
      <c r="AP746" s="754"/>
      <c r="AQ746" s="754"/>
      <c r="AR746" s="754"/>
      <c r="AS746" s="754"/>
      <c r="AT746" s="754"/>
      <c r="AU746" s="754"/>
    </row>
    <row r="747" ht="15.75" customHeight="1">
      <c r="A747" s="768">
        <v>44545.0</v>
      </c>
      <c r="B747" s="806" t="s">
        <v>6048</v>
      </c>
      <c r="C747" s="770" t="s">
        <v>3642</v>
      </c>
      <c r="D747" s="745" t="s">
        <v>5902</v>
      </c>
      <c r="E747" s="771">
        <v>110068.61</v>
      </c>
      <c r="F747" s="745" t="s">
        <v>4750</v>
      </c>
      <c r="G747" s="745" t="s">
        <v>18</v>
      </c>
      <c r="H747" s="745" t="s">
        <v>19</v>
      </c>
      <c r="I747" s="745" t="s">
        <v>230</v>
      </c>
      <c r="J747" s="755">
        <v>44369.0</v>
      </c>
      <c r="K747" s="745" t="s">
        <v>3664</v>
      </c>
      <c r="L747" s="754"/>
      <c r="M747" s="754"/>
      <c r="N747" s="754"/>
      <c r="O747" s="754"/>
      <c r="P747" s="754"/>
      <c r="Q747" s="754"/>
      <c r="R747" s="754"/>
      <c r="S747" s="754"/>
      <c r="T747" s="754"/>
      <c r="U747" s="754"/>
      <c r="V747" s="754"/>
      <c r="W747" s="754"/>
      <c r="X747" s="754"/>
      <c r="Y747" s="754"/>
      <c r="Z747" s="754"/>
      <c r="AA747" s="754"/>
      <c r="AB747" s="754"/>
      <c r="AC747" s="754"/>
      <c r="AD747" s="754"/>
      <c r="AE747" s="754"/>
      <c r="AF747" s="754"/>
      <c r="AG747" s="754"/>
      <c r="AH747" s="754"/>
      <c r="AI747" s="754"/>
      <c r="AJ747" s="754"/>
      <c r="AK747" s="754"/>
      <c r="AL747" s="754"/>
      <c r="AM747" s="754"/>
      <c r="AN747" s="754"/>
      <c r="AO747" s="754"/>
      <c r="AP747" s="754"/>
      <c r="AQ747" s="754"/>
      <c r="AR747" s="754"/>
      <c r="AS747" s="754"/>
      <c r="AT747" s="754"/>
      <c r="AU747" s="754"/>
    </row>
    <row r="748" ht="15.75" customHeight="1">
      <c r="A748" s="768">
        <v>44545.0</v>
      </c>
      <c r="B748" s="769" t="s">
        <v>2952</v>
      </c>
      <c r="C748" s="770" t="s">
        <v>2376</v>
      </c>
      <c r="D748" s="745" t="s">
        <v>5903</v>
      </c>
      <c r="E748" s="771">
        <v>114749.72</v>
      </c>
      <c r="F748" s="745" t="s">
        <v>2951</v>
      </c>
      <c r="G748" s="755" t="s">
        <v>18</v>
      </c>
      <c r="H748" s="755" t="s">
        <v>145</v>
      </c>
      <c r="I748" s="755" t="s">
        <v>171</v>
      </c>
      <c r="J748" s="755">
        <v>44321.0</v>
      </c>
      <c r="K748" s="755" t="s">
        <v>3647</v>
      </c>
      <c r="L748" s="754"/>
      <c r="M748" s="754"/>
      <c r="N748" s="754"/>
      <c r="O748" s="754"/>
      <c r="P748" s="754"/>
      <c r="Q748" s="754"/>
      <c r="R748" s="754"/>
      <c r="S748" s="754"/>
      <c r="T748" s="754"/>
      <c r="U748" s="754"/>
      <c r="V748" s="754"/>
      <c r="W748" s="754"/>
      <c r="X748" s="754"/>
      <c r="Y748" s="754"/>
      <c r="Z748" s="754"/>
      <c r="AA748" s="754"/>
      <c r="AB748" s="754"/>
      <c r="AC748" s="754"/>
      <c r="AD748" s="754"/>
      <c r="AE748" s="754"/>
      <c r="AF748" s="754"/>
      <c r="AG748" s="754"/>
      <c r="AH748" s="754"/>
      <c r="AI748" s="754"/>
      <c r="AJ748" s="754"/>
      <c r="AK748" s="754"/>
      <c r="AL748" s="754"/>
      <c r="AM748" s="754"/>
      <c r="AN748" s="754"/>
      <c r="AO748" s="754"/>
      <c r="AP748" s="754"/>
      <c r="AQ748" s="754"/>
      <c r="AR748" s="754"/>
      <c r="AS748" s="754"/>
      <c r="AT748" s="754"/>
      <c r="AU748" s="754"/>
    </row>
    <row r="749" ht="15.75" customHeight="1">
      <c r="A749" s="768">
        <v>44545.0</v>
      </c>
      <c r="B749" s="769" t="s">
        <v>3238</v>
      </c>
      <c r="C749" s="770" t="s">
        <v>2376</v>
      </c>
      <c r="D749" s="745" t="s">
        <v>5903</v>
      </c>
      <c r="E749" s="771">
        <v>30000.0</v>
      </c>
      <c r="F749" s="745" t="s">
        <v>3237</v>
      </c>
      <c r="G749" s="755" t="s">
        <v>18</v>
      </c>
      <c r="H749" s="755" t="s">
        <v>145</v>
      </c>
      <c r="I749" s="755" t="s">
        <v>171</v>
      </c>
      <c r="J749" s="755">
        <v>44279.0</v>
      </c>
      <c r="K749" s="755" t="s">
        <v>3651</v>
      </c>
      <c r="L749" s="754"/>
      <c r="M749" s="754"/>
      <c r="N749" s="754"/>
      <c r="O749" s="754"/>
      <c r="P749" s="754"/>
      <c r="Q749" s="754"/>
      <c r="R749" s="754"/>
      <c r="S749" s="754"/>
      <c r="T749" s="754"/>
      <c r="U749" s="754"/>
      <c r="V749" s="754"/>
      <c r="W749" s="754"/>
      <c r="X749" s="754"/>
      <c r="Y749" s="754"/>
      <c r="Z749" s="754"/>
      <c r="AA749" s="754"/>
      <c r="AB749" s="754"/>
      <c r="AC749" s="754"/>
      <c r="AD749" s="754"/>
      <c r="AE749" s="754"/>
      <c r="AF749" s="754"/>
      <c r="AG749" s="754"/>
      <c r="AH749" s="754"/>
      <c r="AI749" s="754"/>
      <c r="AJ749" s="754"/>
      <c r="AK749" s="754"/>
      <c r="AL749" s="754"/>
      <c r="AM749" s="754"/>
      <c r="AN749" s="754"/>
      <c r="AO749" s="754"/>
      <c r="AP749" s="754"/>
      <c r="AQ749" s="754"/>
      <c r="AR749" s="754"/>
      <c r="AS749" s="754"/>
      <c r="AT749" s="754"/>
      <c r="AU749" s="754"/>
    </row>
    <row r="750" ht="15.75" customHeight="1">
      <c r="A750" s="768">
        <v>44545.0</v>
      </c>
      <c r="B750" s="809" t="s">
        <v>2623</v>
      </c>
      <c r="C750" s="770" t="s">
        <v>2376</v>
      </c>
      <c r="D750" s="745" t="s">
        <v>5902</v>
      </c>
      <c r="E750" s="771">
        <v>240263.39</v>
      </c>
      <c r="F750" s="745" t="s">
        <v>2622</v>
      </c>
      <c r="G750" s="755" t="s">
        <v>2379</v>
      </c>
      <c r="H750" s="755" t="s">
        <v>29</v>
      </c>
      <c r="I750" s="755" t="s">
        <v>2380</v>
      </c>
      <c r="J750" s="755">
        <v>43822.0</v>
      </c>
      <c r="K750" s="755" t="s">
        <v>3660</v>
      </c>
      <c r="L750" s="754"/>
      <c r="M750" s="754"/>
      <c r="N750" s="754"/>
      <c r="O750" s="754"/>
      <c r="P750" s="754"/>
      <c r="Q750" s="754"/>
      <c r="R750" s="754"/>
      <c r="S750" s="754"/>
      <c r="T750" s="754"/>
      <c r="U750" s="754"/>
      <c r="V750" s="754"/>
      <c r="W750" s="754"/>
      <c r="X750" s="754"/>
      <c r="Y750" s="754"/>
      <c r="Z750" s="754"/>
      <c r="AA750" s="754"/>
      <c r="AB750" s="754"/>
      <c r="AC750" s="754"/>
      <c r="AD750" s="754"/>
      <c r="AE750" s="754"/>
      <c r="AF750" s="754"/>
      <c r="AG750" s="754"/>
      <c r="AH750" s="754"/>
      <c r="AI750" s="754"/>
      <c r="AJ750" s="754"/>
      <c r="AK750" s="754"/>
      <c r="AL750" s="754"/>
      <c r="AM750" s="754"/>
      <c r="AN750" s="754"/>
      <c r="AO750" s="754"/>
      <c r="AP750" s="754"/>
      <c r="AQ750" s="754"/>
      <c r="AR750" s="754"/>
      <c r="AS750" s="754"/>
      <c r="AT750" s="754"/>
      <c r="AU750" s="754"/>
    </row>
    <row r="751" ht="15.75" customHeight="1">
      <c r="A751" s="768">
        <v>44546.0</v>
      </c>
      <c r="B751" s="756" t="s">
        <v>2870</v>
      </c>
      <c r="C751" s="770" t="s">
        <v>2376</v>
      </c>
      <c r="D751" s="745" t="s">
        <v>5903</v>
      </c>
      <c r="E751" s="771">
        <v>5000.0</v>
      </c>
      <c r="F751" s="745" t="s">
        <v>2869</v>
      </c>
      <c r="G751" s="755" t="s">
        <v>2379</v>
      </c>
      <c r="H751" s="755" t="s">
        <v>29</v>
      </c>
      <c r="I751" s="755" t="s">
        <v>2380</v>
      </c>
      <c r="J751" s="755">
        <v>43605.0</v>
      </c>
      <c r="K751" s="755" t="s">
        <v>3660</v>
      </c>
      <c r="L751" s="754"/>
      <c r="M751" s="754"/>
      <c r="N751" s="754"/>
      <c r="O751" s="754"/>
      <c r="P751" s="754"/>
      <c r="Q751" s="754"/>
      <c r="R751" s="754"/>
      <c r="S751" s="754"/>
      <c r="T751" s="754"/>
      <c r="U751" s="754"/>
      <c r="V751" s="754"/>
      <c r="W751" s="754"/>
      <c r="X751" s="754"/>
      <c r="Y751" s="754"/>
      <c r="Z751" s="754"/>
      <c r="AA751" s="754"/>
      <c r="AB751" s="754"/>
      <c r="AC751" s="754"/>
      <c r="AD751" s="754"/>
      <c r="AE751" s="754"/>
      <c r="AF751" s="754"/>
      <c r="AG751" s="754"/>
      <c r="AH751" s="754"/>
      <c r="AI751" s="754"/>
      <c r="AJ751" s="754"/>
      <c r="AK751" s="754"/>
      <c r="AL751" s="754"/>
      <c r="AM751" s="754"/>
      <c r="AN751" s="754"/>
      <c r="AO751" s="754"/>
      <c r="AP751" s="754"/>
      <c r="AQ751" s="754"/>
      <c r="AR751" s="754"/>
      <c r="AS751" s="754"/>
      <c r="AT751" s="754"/>
      <c r="AU751" s="754"/>
    </row>
    <row r="752" ht="15.75" customHeight="1">
      <c r="A752" s="768">
        <v>44547.0</v>
      </c>
      <c r="B752" s="769" t="s">
        <v>2877</v>
      </c>
      <c r="C752" s="770" t="s">
        <v>2376</v>
      </c>
      <c r="D752" s="745" t="s">
        <v>5903</v>
      </c>
      <c r="E752" s="771">
        <v>5000.0</v>
      </c>
      <c r="F752" s="745" t="s">
        <v>1122</v>
      </c>
      <c r="G752" s="755" t="s">
        <v>18</v>
      </c>
      <c r="H752" s="755" t="s">
        <v>145</v>
      </c>
      <c r="I752" s="755" t="s">
        <v>146</v>
      </c>
      <c r="J752" s="755">
        <v>44280.0</v>
      </c>
      <c r="K752" s="755" t="s">
        <v>3657</v>
      </c>
      <c r="L752" s="754"/>
      <c r="M752" s="754"/>
      <c r="N752" s="754"/>
      <c r="O752" s="754"/>
      <c r="P752" s="754"/>
      <c r="Q752" s="754"/>
      <c r="R752" s="754"/>
      <c r="S752" s="754"/>
      <c r="T752" s="754"/>
      <c r="U752" s="754"/>
      <c r="V752" s="754"/>
      <c r="W752" s="754"/>
      <c r="X752" s="754"/>
      <c r="Y752" s="754"/>
      <c r="Z752" s="754"/>
      <c r="AA752" s="754"/>
      <c r="AB752" s="754"/>
      <c r="AC752" s="754"/>
      <c r="AD752" s="754"/>
      <c r="AE752" s="754"/>
      <c r="AF752" s="754"/>
      <c r="AG752" s="754"/>
      <c r="AH752" s="754"/>
      <c r="AI752" s="754"/>
      <c r="AJ752" s="754"/>
      <c r="AK752" s="754"/>
      <c r="AL752" s="754"/>
      <c r="AM752" s="754"/>
      <c r="AN752" s="754"/>
      <c r="AO752" s="754"/>
      <c r="AP752" s="754"/>
      <c r="AQ752" s="754"/>
      <c r="AR752" s="754"/>
      <c r="AS752" s="754"/>
      <c r="AT752" s="754"/>
      <c r="AU752" s="754"/>
    </row>
    <row r="753" ht="15.75" customHeight="1">
      <c r="A753" s="768">
        <v>44551.0</v>
      </c>
      <c r="B753" s="809" t="s">
        <v>2484</v>
      </c>
      <c r="C753" s="770" t="s">
        <v>2376</v>
      </c>
      <c r="D753" s="745" t="s">
        <v>5902</v>
      </c>
      <c r="E753" s="771">
        <v>840387.52</v>
      </c>
      <c r="F753" s="745" t="s">
        <v>2483</v>
      </c>
      <c r="G753" s="755" t="s">
        <v>2379</v>
      </c>
      <c r="H753" s="755" t="s">
        <v>29</v>
      </c>
      <c r="I753" s="755" t="s">
        <v>2380</v>
      </c>
      <c r="J753" s="755">
        <v>43867.0</v>
      </c>
      <c r="K753" s="755" t="s">
        <v>3651</v>
      </c>
      <c r="L753" s="754"/>
      <c r="M753" s="754"/>
      <c r="N753" s="754"/>
      <c r="O753" s="754"/>
      <c r="P753" s="754"/>
      <c r="Q753" s="754"/>
      <c r="R753" s="754"/>
      <c r="S753" s="754"/>
      <c r="T753" s="754"/>
      <c r="U753" s="754"/>
      <c r="V753" s="754"/>
      <c r="W753" s="754"/>
      <c r="X753" s="754"/>
      <c r="Y753" s="754"/>
      <c r="Z753" s="754"/>
      <c r="AA753" s="754"/>
      <c r="AB753" s="754"/>
      <c r="AC753" s="754"/>
      <c r="AD753" s="754"/>
      <c r="AE753" s="754"/>
      <c r="AF753" s="754"/>
      <c r="AG753" s="754"/>
      <c r="AH753" s="754"/>
      <c r="AI753" s="754"/>
      <c r="AJ753" s="754"/>
      <c r="AK753" s="754"/>
      <c r="AL753" s="754"/>
      <c r="AM753" s="754"/>
      <c r="AN753" s="754"/>
      <c r="AO753" s="754"/>
      <c r="AP753" s="754"/>
      <c r="AQ753" s="754"/>
      <c r="AR753" s="754"/>
      <c r="AS753" s="754"/>
      <c r="AT753" s="754"/>
      <c r="AU753" s="754"/>
    </row>
    <row r="754" ht="15.75" customHeight="1">
      <c r="A754" s="768">
        <v>44552.0</v>
      </c>
      <c r="B754" s="769" t="s">
        <v>2628</v>
      </c>
      <c r="C754" s="770" t="s">
        <v>2376</v>
      </c>
      <c r="D754" s="745" t="s">
        <v>5903</v>
      </c>
      <c r="E754" s="771">
        <v>40000.0</v>
      </c>
      <c r="F754" s="745" t="s">
        <v>582</v>
      </c>
      <c r="G754" s="755" t="s">
        <v>18</v>
      </c>
      <c r="H754" s="755" t="s">
        <v>145</v>
      </c>
      <c r="I754" s="755" t="s">
        <v>146</v>
      </c>
      <c r="J754" s="755">
        <v>44280.0</v>
      </c>
      <c r="K754" s="755" t="s">
        <v>3651</v>
      </c>
      <c r="L754" s="754"/>
      <c r="M754" s="754"/>
      <c r="N754" s="754"/>
      <c r="O754" s="754"/>
      <c r="P754" s="754"/>
      <c r="Q754" s="754"/>
      <c r="R754" s="754"/>
      <c r="S754" s="754"/>
      <c r="T754" s="754"/>
      <c r="U754" s="754"/>
      <c r="V754" s="754"/>
      <c r="W754" s="754"/>
      <c r="X754" s="754"/>
      <c r="Y754" s="754"/>
      <c r="Z754" s="754"/>
      <c r="AA754" s="754"/>
      <c r="AB754" s="754"/>
      <c r="AC754" s="754"/>
      <c r="AD754" s="754"/>
      <c r="AE754" s="754"/>
      <c r="AF754" s="754"/>
      <c r="AG754" s="754"/>
      <c r="AH754" s="754"/>
      <c r="AI754" s="754"/>
      <c r="AJ754" s="754"/>
      <c r="AK754" s="754"/>
      <c r="AL754" s="754"/>
      <c r="AM754" s="754"/>
      <c r="AN754" s="754"/>
      <c r="AO754" s="754"/>
      <c r="AP754" s="754"/>
      <c r="AQ754" s="754"/>
      <c r="AR754" s="754"/>
      <c r="AS754" s="754"/>
      <c r="AT754" s="754"/>
      <c r="AU754" s="754"/>
    </row>
    <row r="755" ht="15.75" customHeight="1">
      <c r="A755" s="768">
        <v>44553.0</v>
      </c>
      <c r="B755" s="803" t="s">
        <v>6049</v>
      </c>
      <c r="C755" s="770" t="s">
        <v>3642</v>
      </c>
      <c r="D755" s="745" t="s">
        <v>2387</v>
      </c>
      <c r="E755" s="771">
        <v>368899.52</v>
      </c>
      <c r="F755" s="745" t="s">
        <v>4656</v>
      </c>
      <c r="G755" s="745" t="s">
        <v>18</v>
      </c>
      <c r="H755" s="745" t="s">
        <v>19</v>
      </c>
      <c r="I755" s="745" t="s">
        <v>230</v>
      </c>
      <c r="J755" s="755">
        <v>44251.0</v>
      </c>
      <c r="K755" s="745" t="s">
        <v>3651</v>
      </c>
      <c r="L755" s="754"/>
      <c r="M755" s="754"/>
      <c r="N755" s="754"/>
      <c r="O755" s="754"/>
      <c r="P755" s="754"/>
      <c r="Q755" s="754"/>
      <c r="R755" s="754"/>
      <c r="S755" s="754"/>
      <c r="T755" s="754"/>
      <c r="U755" s="754"/>
      <c r="V755" s="754"/>
      <c r="W755" s="754"/>
      <c r="X755" s="754"/>
      <c r="Y755" s="754"/>
      <c r="Z755" s="754"/>
      <c r="AA755" s="754"/>
      <c r="AB755" s="754"/>
      <c r="AC755" s="754"/>
      <c r="AD755" s="754"/>
      <c r="AE755" s="754"/>
      <c r="AF755" s="754"/>
      <c r="AG755" s="754"/>
      <c r="AH755" s="754"/>
      <c r="AI755" s="754"/>
      <c r="AJ755" s="754"/>
      <c r="AK755" s="754"/>
      <c r="AL755" s="754"/>
      <c r="AM755" s="754"/>
      <c r="AN755" s="754"/>
      <c r="AO755" s="754"/>
      <c r="AP755" s="754"/>
      <c r="AQ755" s="754"/>
      <c r="AR755" s="754"/>
      <c r="AS755" s="754"/>
      <c r="AT755" s="754"/>
      <c r="AU755" s="754"/>
    </row>
    <row r="756" ht="15.75" customHeight="1">
      <c r="A756" s="768">
        <v>44553.0</v>
      </c>
      <c r="B756" s="769" t="s">
        <v>3333</v>
      </c>
      <c r="C756" s="770" t="s">
        <v>2376</v>
      </c>
      <c r="D756" s="745" t="s">
        <v>5903</v>
      </c>
      <c r="E756" s="771">
        <v>30000.0</v>
      </c>
      <c r="F756" s="745" t="s">
        <v>3332</v>
      </c>
      <c r="G756" s="755" t="s">
        <v>18</v>
      </c>
      <c r="H756" s="755" t="s">
        <v>145</v>
      </c>
      <c r="I756" s="755" t="s">
        <v>146</v>
      </c>
      <c r="J756" s="755">
        <v>44263.0</v>
      </c>
      <c r="K756" s="755" t="s">
        <v>3660</v>
      </c>
      <c r="L756" s="754"/>
      <c r="M756" s="754"/>
      <c r="N756" s="754"/>
      <c r="O756" s="754"/>
      <c r="P756" s="754"/>
      <c r="Q756" s="754"/>
      <c r="R756" s="754"/>
      <c r="S756" s="754"/>
      <c r="T756" s="754"/>
      <c r="U756" s="754"/>
      <c r="V756" s="754"/>
      <c r="W756" s="754"/>
      <c r="X756" s="754"/>
      <c r="Y756" s="754"/>
      <c r="Z756" s="754"/>
      <c r="AA756" s="754"/>
      <c r="AB756" s="754"/>
      <c r="AC756" s="754"/>
      <c r="AD756" s="754"/>
      <c r="AE756" s="754"/>
      <c r="AF756" s="754"/>
      <c r="AG756" s="754"/>
      <c r="AH756" s="754"/>
      <c r="AI756" s="754"/>
      <c r="AJ756" s="754"/>
      <c r="AK756" s="754"/>
      <c r="AL756" s="754"/>
      <c r="AM756" s="754"/>
      <c r="AN756" s="754"/>
      <c r="AO756" s="754"/>
      <c r="AP756" s="754"/>
      <c r="AQ756" s="754"/>
      <c r="AR756" s="754"/>
      <c r="AS756" s="754"/>
      <c r="AT756" s="754"/>
      <c r="AU756" s="754"/>
    </row>
    <row r="757" ht="15.75" customHeight="1">
      <c r="A757" s="768">
        <v>44553.0</v>
      </c>
      <c r="B757" s="769" t="s">
        <v>3053</v>
      </c>
      <c r="C757" s="770" t="s">
        <v>2376</v>
      </c>
      <c r="D757" s="745" t="s">
        <v>5903</v>
      </c>
      <c r="E757" s="771">
        <v>40000.0</v>
      </c>
      <c r="F757" s="745" t="s">
        <v>3052</v>
      </c>
      <c r="G757" s="755" t="s">
        <v>18</v>
      </c>
      <c r="H757" s="755" t="s">
        <v>145</v>
      </c>
      <c r="I757" s="755" t="s">
        <v>146</v>
      </c>
      <c r="J757" s="755">
        <v>44323.0</v>
      </c>
      <c r="K757" s="755" t="s">
        <v>3693</v>
      </c>
      <c r="L757" s="754"/>
      <c r="M757" s="754"/>
      <c r="N757" s="754"/>
      <c r="O757" s="754"/>
      <c r="P757" s="754"/>
      <c r="Q757" s="754"/>
      <c r="R757" s="754"/>
      <c r="S757" s="754"/>
      <c r="T757" s="754"/>
      <c r="U757" s="754"/>
      <c r="V757" s="754"/>
      <c r="W757" s="754"/>
      <c r="X757" s="754"/>
      <c r="Y757" s="754"/>
      <c r="Z757" s="754"/>
      <c r="AA757" s="754"/>
      <c r="AB757" s="754"/>
      <c r="AC757" s="754"/>
      <c r="AD757" s="754"/>
      <c r="AE757" s="754"/>
      <c r="AF757" s="754"/>
      <c r="AG757" s="754"/>
      <c r="AH757" s="754"/>
      <c r="AI757" s="754"/>
      <c r="AJ757" s="754"/>
      <c r="AK757" s="754"/>
      <c r="AL757" s="754"/>
      <c r="AM757" s="754"/>
      <c r="AN757" s="754"/>
      <c r="AO757" s="754"/>
      <c r="AP757" s="754"/>
      <c r="AQ757" s="754"/>
      <c r="AR757" s="754"/>
      <c r="AS757" s="754"/>
      <c r="AT757" s="754"/>
      <c r="AU757" s="754"/>
    </row>
    <row r="758" ht="15.75" customHeight="1">
      <c r="A758" s="768">
        <v>44553.0</v>
      </c>
      <c r="B758" s="769" t="s">
        <v>2457</v>
      </c>
      <c r="C758" s="770" t="s">
        <v>2376</v>
      </c>
      <c r="D758" s="745" t="s">
        <v>5903</v>
      </c>
      <c r="E758" s="771">
        <v>100000.0</v>
      </c>
      <c r="F758" s="745" t="s">
        <v>217</v>
      </c>
      <c r="G758" s="755" t="s">
        <v>18</v>
      </c>
      <c r="H758" s="755" t="s">
        <v>145</v>
      </c>
      <c r="I758" s="755" t="s">
        <v>146</v>
      </c>
      <c r="J758" s="755">
        <v>44266.0</v>
      </c>
      <c r="K758" s="755" t="s">
        <v>3647</v>
      </c>
      <c r="L758" s="754"/>
      <c r="M758" s="754"/>
      <c r="N758" s="754"/>
      <c r="O758" s="754"/>
      <c r="P758" s="754"/>
      <c r="Q758" s="754"/>
      <c r="R758" s="754"/>
      <c r="S758" s="754"/>
      <c r="T758" s="754"/>
      <c r="U758" s="754"/>
      <c r="V758" s="754"/>
      <c r="W758" s="754"/>
      <c r="X758" s="754"/>
      <c r="Y758" s="754"/>
      <c r="Z758" s="754"/>
      <c r="AA758" s="754"/>
      <c r="AB758" s="754"/>
      <c r="AC758" s="754"/>
      <c r="AD758" s="754"/>
      <c r="AE758" s="754"/>
      <c r="AF758" s="754"/>
      <c r="AG758" s="754"/>
      <c r="AH758" s="754"/>
      <c r="AI758" s="754"/>
      <c r="AJ758" s="754"/>
      <c r="AK758" s="754"/>
      <c r="AL758" s="754"/>
      <c r="AM758" s="754"/>
      <c r="AN758" s="754"/>
      <c r="AO758" s="754"/>
      <c r="AP758" s="754"/>
      <c r="AQ758" s="754"/>
      <c r="AR758" s="754"/>
      <c r="AS758" s="754"/>
      <c r="AT758" s="754"/>
      <c r="AU758" s="754"/>
    </row>
    <row r="759" ht="15.75" customHeight="1">
      <c r="A759" s="768">
        <v>44557.0</v>
      </c>
      <c r="B759" s="756" t="s">
        <v>2870</v>
      </c>
      <c r="C759" s="770" t="s">
        <v>2376</v>
      </c>
      <c r="D759" s="745" t="s">
        <v>5903</v>
      </c>
      <c r="E759" s="771">
        <v>14000.0</v>
      </c>
      <c r="F759" s="745" t="s">
        <v>2869</v>
      </c>
      <c r="G759" s="755" t="s">
        <v>2379</v>
      </c>
      <c r="H759" s="755" t="s">
        <v>29</v>
      </c>
      <c r="I759" s="755" t="s">
        <v>2380</v>
      </c>
      <c r="J759" s="755">
        <v>43605.0</v>
      </c>
      <c r="K759" s="755" t="s">
        <v>3660</v>
      </c>
      <c r="L759" s="754"/>
      <c r="M759" s="754"/>
      <c r="N759" s="754"/>
      <c r="O759" s="754"/>
      <c r="P759" s="754"/>
      <c r="Q759" s="754"/>
      <c r="R759" s="754"/>
      <c r="S759" s="754"/>
      <c r="T759" s="754"/>
      <c r="U759" s="754"/>
      <c r="V759" s="754"/>
      <c r="W759" s="754"/>
      <c r="X759" s="754"/>
      <c r="Y759" s="754"/>
      <c r="Z759" s="754"/>
      <c r="AA759" s="754"/>
      <c r="AB759" s="754"/>
      <c r="AC759" s="754"/>
      <c r="AD759" s="754"/>
      <c r="AE759" s="754"/>
      <c r="AF759" s="754"/>
      <c r="AG759" s="754"/>
      <c r="AH759" s="754"/>
      <c r="AI759" s="754"/>
      <c r="AJ759" s="754"/>
      <c r="AK759" s="754"/>
      <c r="AL759" s="754"/>
      <c r="AM759" s="754"/>
      <c r="AN759" s="754"/>
      <c r="AO759" s="754"/>
      <c r="AP759" s="754"/>
      <c r="AQ759" s="754"/>
      <c r="AR759" s="754"/>
      <c r="AS759" s="754"/>
      <c r="AT759" s="754"/>
      <c r="AU759" s="754"/>
    </row>
    <row r="760" ht="15.75" customHeight="1">
      <c r="A760" s="768">
        <v>44559.0</v>
      </c>
      <c r="B760" s="769" t="s">
        <v>3342</v>
      </c>
      <c r="C760" s="770" t="s">
        <v>2376</v>
      </c>
      <c r="D760" s="745" t="s">
        <v>5903</v>
      </c>
      <c r="E760" s="771">
        <v>5000.0</v>
      </c>
      <c r="F760" s="745" t="s">
        <v>3341</v>
      </c>
      <c r="G760" s="755" t="s">
        <v>2379</v>
      </c>
      <c r="H760" s="755" t="s">
        <v>29</v>
      </c>
      <c r="I760" s="755" t="s">
        <v>2380</v>
      </c>
      <c r="J760" s="755">
        <v>43717.0</v>
      </c>
      <c r="K760" s="755" t="s">
        <v>4033</v>
      </c>
      <c r="L760" s="754"/>
      <c r="M760" s="754"/>
      <c r="N760" s="754"/>
      <c r="O760" s="754"/>
      <c r="P760" s="754"/>
      <c r="Q760" s="754"/>
      <c r="R760" s="754"/>
      <c r="S760" s="754"/>
      <c r="T760" s="754"/>
      <c r="U760" s="754"/>
      <c r="V760" s="754"/>
      <c r="W760" s="754"/>
      <c r="X760" s="754"/>
      <c r="Y760" s="754"/>
      <c r="Z760" s="754"/>
      <c r="AA760" s="754"/>
      <c r="AB760" s="754"/>
      <c r="AC760" s="754"/>
      <c r="AD760" s="754"/>
      <c r="AE760" s="754"/>
      <c r="AF760" s="754"/>
      <c r="AG760" s="754"/>
      <c r="AH760" s="754"/>
      <c r="AI760" s="754"/>
      <c r="AJ760" s="754"/>
      <c r="AK760" s="754"/>
      <c r="AL760" s="754"/>
      <c r="AM760" s="754"/>
      <c r="AN760" s="754"/>
      <c r="AO760" s="754"/>
      <c r="AP760" s="754"/>
      <c r="AQ760" s="754"/>
      <c r="AR760" s="754"/>
      <c r="AS760" s="754"/>
      <c r="AT760" s="754"/>
      <c r="AU760" s="754"/>
    </row>
    <row r="761" ht="15.75" customHeight="1">
      <c r="A761" s="768">
        <v>44559.0</v>
      </c>
      <c r="B761" s="806" t="s">
        <v>6050</v>
      </c>
      <c r="C761" s="770" t="s">
        <v>3642</v>
      </c>
      <c r="D761" s="745" t="s">
        <v>5902</v>
      </c>
      <c r="E761" s="771">
        <v>97410.24</v>
      </c>
      <c r="F761" s="745" t="s">
        <v>6051</v>
      </c>
      <c r="G761" s="745" t="s">
        <v>18</v>
      </c>
      <c r="H761" s="745" t="s">
        <v>29</v>
      </c>
      <c r="I761" s="745" t="s">
        <v>3533</v>
      </c>
      <c r="J761" s="755">
        <v>44354.0</v>
      </c>
      <c r="K761" s="745" t="s">
        <v>3664</v>
      </c>
      <c r="L761" s="754"/>
      <c r="M761" s="754"/>
      <c r="N761" s="754"/>
      <c r="O761" s="754"/>
      <c r="P761" s="754"/>
      <c r="Q761" s="754"/>
      <c r="R761" s="754"/>
      <c r="S761" s="754"/>
      <c r="T761" s="754"/>
      <c r="U761" s="754"/>
      <c r="V761" s="754"/>
      <c r="W761" s="754"/>
      <c r="X761" s="754"/>
      <c r="Y761" s="754"/>
      <c r="Z761" s="754"/>
      <c r="AA761" s="754"/>
      <c r="AB761" s="754"/>
      <c r="AC761" s="754"/>
      <c r="AD761" s="754"/>
      <c r="AE761" s="754"/>
      <c r="AF761" s="754"/>
      <c r="AG761" s="754"/>
      <c r="AH761" s="754"/>
      <c r="AI761" s="754"/>
      <c r="AJ761" s="754"/>
      <c r="AK761" s="754"/>
      <c r="AL761" s="754"/>
      <c r="AM761" s="754"/>
      <c r="AN761" s="754"/>
      <c r="AO761" s="754"/>
      <c r="AP761" s="754"/>
      <c r="AQ761" s="754"/>
      <c r="AR761" s="754"/>
      <c r="AS761" s="754"/>
      <c r="AT761" s="754"/>
      <c r="AU761" s="754"/>
    </row>
    <row r="762" ht="15.75" customHeight="1">
      <c r="A762" s="817">
        <v>44566.405864444445</v>
      </c>
      <c r="B762" s="785" t="s">
        <v>3333</v>
      </c>
      <c r="C762" s="770" t="s">
        <v>2376</v>
      </c>
      <c r="D762" s="745" t="s">
        <v>5903</v>
      </c>
      <c r="E762" s="771" t="s">
        <v>6052</v>
      </c>
      <c r="F762" s="745" t="s">
        <v>3332</v>
      </c>
      <c r="G762" s="755" t="s">
        <v>18</v>
      </c>
      <c r="H762" s="755" t="s">
        <v>145</v>
      </c>
      <c r="I762" s="755" t="s">
        <v>146</v>
      </c>
      <c r="J762" s="755">
        <v>44263.0</v>
      </c>
      <c r="K762" s="755" t="s">
        <v>3660</v>
      </c>
      <c r="L762" s="754"/>
      <c r="M762" s="754"/>
      <c r="N762" s="754"/>
      <c r="O762" s="754"/>
      <c r="P762" s="754"/>
      <c r="Q762" s="754"/>
      <c r="R762" s="754"/>
      <c r="S762" s="754"/>
      <c r="T762" s="754"/>
      <c r="U762" s="754"/>
      <c r="V762" s="754"/>
      <c r="W762" s="754"/>
      <c r="X762" s="754"/>
      <c r="Y762" s="754"/>
      <c r="Z762" s="754"/>
      <c r="AA762" s="754"/>
      <c r="AB762" s="754"/>
      <c r="AC762" s="754"/>
      <c r="AD762" s="754"/>
      <c r="AE762" s="754"/>
      <c r="AF762" s="754"/>
      <c r="AG762" s="754"/>
      <c r="AH762" s="754"/>
      <c r="AI762" s="754"/>
      <c r="AJ762" s="754"/>
      <c r="AK762" s="754"/>
      <c r="AL762" s="754"/>
      <c r="AM762" s="754"/>
      <c r="AN762" s="754"/>
      <c r="AO762" s="754"/>
      <c r="AP762" s="754"/>
      <c r="AQ762" s="754"/>
      <c r="AR762" s="754"/>
      <c r="AS762" s="754"/>
      <c r="AT762" s="754"/>
      <c r="AU762" s="754"/>
    </row>
    <row r="763" ht="15.75" customHeight="1">
      <c r="A763" s="817">
        <v>44567.470252824074</v>
      </c>
      <c r="B763" s="785" t="s">
        <v>2748</v>
      </c>
      <c r="C763" s="770" t="s">
        <v>2376</v>
      </c>
      <c r="D763" s="745" t="s">
        <v>2387</v>
      </c>
      <c r="E763" s="818">
        <v>648751.76</v>
      </c>
      <c r="F763" s="745" t="s">
        <v>2747</v>
      </c>
      <c r="G763" s="755" t="s">
        <v>18</v>
      </c>
      <c r="H763" s="755" t="s">
        <v>145</v>
      </c>
      <c r="I763" s="755" t="s">
        <v>146</v>
      </c>
      <c r="J763" s="755">
        <v>44280.0</v>
      </c>
      <c r="K763" s="755" t="s">
        <v>3647</v>
      </c>
      <c r="L763" s="754"/>
      <c r="M763" s="754"/>
      <c r="N763" s="754"/>
      <c r="O763" s="754"/>
      <c r="P763" s="754"/>
      <c r="Q763" s="754"/>
      <c r="R763" s="754"/>
      <c r="S763" s="754"/>
      <c r="T763" s="754"/>
      <c r="U763" s="754"/>
      <c r="V763" s="754"/>
      <c r="W763" s="754"/>
      <c r="X763" s="754"/>
      <c r="Y763" s="754"/>
      <c r="Z763" s="754"/>
      <c r="AA763" s="754"/>
      <c r="AB763" s="754"/>
      <c r="AC763" s="754"/>
      <c r="AD763" s="754"/>
      <c r="AE763" s="754"/>
      <c r="AF763" s="754"/>
      <c r="AG763" s="754"/>
      <c r="AH763" s="754"/>
      <c r="AI763" s="754"/>
      <c r="AJ763" s="754"/>
      <c r="AK763" s="754"/>
      <c r="AL763" s="754"/>
      <c r="AM763" s="754"/>
      <c r="AN763" s="754"/>
      <c r="AO763" s="754"/>
      <c r="AP763" s="754"/>
      <c r="AQ763" s="754"/>
      <c r="AR763" s="754"/>
      <c r="AS763" s="754"/>
      <c r="AT763" s="754"/>
      <c r="AU763" s="754"/>
    </row>
    <row r="764" ht="15.75" customHeight="1">
      <c r="A764" s="817">
        <v>44567.6009122338</v>
      </c>
      <c r="B764" s="785" t="s">
        <v>3364</v>
      </c>
      <c r="C764" s="770" t="s">
        <v>2376</v>
      </c>
      <c r="D764" s="745" t="s">
        <v>2387</v>
      </c>
      <c r="E764" s="801">
        <v>146875.19</v>
      </c>
      <c r="F764" s="745" t="s">
        <v>3363</v>
      </c>
      <c r="G764" s="755" t="s">
        <v>18</v>
      </c>
      <c r="H764" s="755" t="s">
        <v>145</v>
      </c>
      <c r="I764" s="755" t="s">
        <v>171</v>
      </c>
      <c r="J764" s="755">
        <v>44340.0</v>
      </c>
      <c r="K764" s="755" t="s">
        <v>3660</v>
      </c>
      <c r="L764" s="754"/>
      <c r="M764" s="754"/>
      <c r="N764" s="754"/>
      <c r="O764" s="754"/>
      <c r="P764" s="754"/>
      <c r="Q764" s="754"/>
      <c r="R764" s="754"/>
      <c r="S764" s="754"/>
      <c r="T764" s="754"/>
      <c r="U764" s="754"/>
      <c r="V764" s="754"/>
      <c r="W764" s="754"/>
      <c r="X764" s="754"/>
      <c r="Y764" s="754"/>
      <c r="Z764" s="754"/>
      <c r="AA764" s="754"/>
      <c r="AB764" s="754"/>
      <c r="AC764" s="754"/>
      <c r="AD764" s="754"/>
      <c r="AE764" s="754"/>
      <c r="AF764" s="754"/>
      <c r="AG764" s="754"/>
      <c r="AH764" s="754"/>
      <c r="AI764" s="754"/>
      <c r="AJ764" s="754"/>
      <c r="AK764" s="754"/>
      <c r="AL764" s="754"/>
      <c r="AM764" s="754"/>
      <c r="AN764" s="754"/>
      <c r="AO764" s="754"/>
      <c r="AP764" s="754"/>
      <c r="AQ764" s="754"/>
      <c r="AR764" s="754"/>
      <c r="AS764" s="754"/>
      <c r="AT764" s="754"/>
      <c r="AU764" s="754"/>
    </row>
    <row r="765" ht="15.75" customHeight="1">
      <c r="A765" s="817">
        <v>44567.60629972222</v>
      </c>
      <c r="B765" s="785" t="s">
        <v>2719</v>
      </c>
      <c r="C765" s="770" t="s">
        <v>2376</v>
      </c>
      <c r="D765" s="745" t="s">
        <v>5903</v>
      </c>
      <c r="E765" s="771" t="s">
        <v>6053</v>
      </c>
      <c r="F765" s="745" t="s">
        <v>2718</v>
      </c>
      <c r="G765" s="755" t="s">
        <v>18</v>
      </c>
      <c r="H765" s="755" t="s">
        <v>145</v>
      </c>
      <c r="I765" s="755" t="s">
        <v>171</v>
      </c>
      <c r="J765" s="755">
        <v>44291.0</v>
      </c>
      <c r="K765" s="755" t="s">
        <v>3651</v>
      </c>
      <c r="L765" s="754"/>
      <c r="M765" s="754"/>
      <c r="N765" s="754"/>
      <c r="O765" s="754"/>
      <c r="P765" s="754"/>
      <c r="Q765" s="754"/>
      <c r="R765" s="754"/>
      <c r="S765" s="754"/>
      <c r="T765" s="754"/>
      <c r="U765" s="754"/>
      <c r="V765" s="754"/>
      <c r="W765" s="754"/>
      <c r="X765" s="754"/>
      <c r="Y765" s="754"/>
      <c r="Z765" s="754"/>
      <c r="AA765" s="754"/>
      <c r="AB765" s="754"/>
      <c r="AC765" s="754"/>
      <c r="AD765" s="754"/>
      <c r="AE765" s="754"/>
      <c r="AF765" s="754"/>
      <c r="AG765" s="754"/>
      <c r="AH765" s="754"/>
      <c r="AI765" s="754"/>
      <c r="AJ765" s="754"/>
      <c r="AK765" s="754"/>
      <c r="AL765" s="754"/>
      <c r="AM765" s="754"/>
      <c r="AN765" s="754"/>
      <c r="AO765" s="754"/>
      <c r="AP765" s="754"/>
      <c r="AQ765" s="754"/>
      <c r="AR765" s="754"/>
      <c r="AS765" s="754"/>
      <c r="AT765" s="754"/>
      <c r="AU765" s="754"/>
    </row>
    <row r="766" ht="15.75" customHeight="1">
      <c r="A766" s="817">
        <v>44568.43395849537</v>
      </c>
      <c r="B766" s="785" t="s">
        <v>2398</v>
      </c>
      <c r="C766" s="770" t="s">
        <v>2376</v>
      </c>
      <c r="D766" s="745" t="s">
        <v>5903</v>
      </c>
      <c r="E766" s="771" t="s">
        <v>6054</v>
      </c>
      <c r="F766" s="745" t="s">
        <v>2397</v>
      </c>
      <c r="G766" s="755" t="s">
        <v>18</v>
      </c>
      <c r="H766" s="755" t="s">
        <v>145</v>
      </c>
      <c r="I766" s="755" t="s">
        <v>171</v>
      </c>
      <c r="J766" s="755">
        <v>44321.0</v>
      </c>
      <c r="K766" s="755" t="s">
        <v>3660</v>
      </c>
      <c r="L766" s="754"/>
      <c r="M766" s="754"/>
      <c r="N766" s="754"/>
      <c r="O766" s="754"/>
      <c r="P766" s="754"/>
      <c r="Q766" s="754"/>
      <c r="R766" s="754"/>
      <c r="S766" s="754"/>
      <c r="T766" s="754"/>
      <c r="U766" s="754"/>
      <c r="V766" s="754"/>
      <c r="W766" s="754"/>
      <c r="X766" s="754"/>
      <c r="Y766" s="754"/>
      <c r="Z766" s="754"/>
      <c r="AA766" s="754"/>
      <c r="AB766" s="754"/>
      <c r="AC766" s="754"/>
      <c r="AD766" s="754"/>
      <c r="AE766" s="754"/>
      <c r="AF766" s="754"/>
      <c r="AG766" s="754"/>
      <c r="AH766" s="754"/>
      <c r="AI766" s="754"/>
      <c r="AJ766" s="754"/>
      <c r="AK766" s="754"/>
      <c r="AL766" s="754"/>
      <c r="AM766" s="754"/>
      <c r="AN766" s="754"/>
      <c r="AO766" s="754"/>
      <c r="AP766" s="754"/>
      <c r="AQ766" s="754"/>
      <c r="AR766" s="754"/>
      <c r="AS766" s="754"/>
      <c r="AT766" s="754"/>
      <c r="AU766" s="754"/>
    </row>
    <row r="767" ht="15.75" customHeight="1">
      <c r="A767" s="817">
        <v>44568.56865099537</v>
      </c>
      <c r="B767" s="785" t="s">
        <v>2741</v>
      </c>
      <c r="C767" s="770" t="s">
        <v>2376</v>
      </c>
      <c r="D767" s="745" t="s">
        <v>5903</v>
      </c>
      <c r="E767" s="771" t="s">
        <v>6055</v>
      </c>
      <c r="F767" s="745" t="s">
        <v>2740</v>
      </c>
      <c r="G767" s="755" t="s">
        <v>18</v>
      </c>
      <c r="H767" s="755" t="s">
        <v>145</v>
      </c>
      <c r="I767" s="755" t="s">
        <v>171</v>
      </c>
      <c r="J767" s="755">
        <v>44280.0</v>
      </c>
      <c r="K767" s="755" t="s">
        <v>3647</v>
      </c>
      <c r="L767" s="754"/>
      <c r="M767" s="754"/>
      <c r="N767" s="754"/>
      <c r="O767" s="754"/>
      <c r="P767" s="754"/>
      <c r="Q767" s="754"/>
      <c r="R767" s="754"/>
      <c r="S767" s="754"/>
      <c r="T767" s="754"/>
      <c r="U767" s="754"/>
      <c r="V767" s="754"/>
      <c r="W767" s="754"/>
      <c r="X767" s="754"/>
      <c r="Y767" s="754"/>
      <c r="Z767" s="754"/>
      <c r="AA767" s="754"/>
      <c r="AB767" s="754"/>
      <c r="AC767" s="754"/>
      <c r="AD767" s="754"/>
      <c r="AE767" s="754"/>
      <c r="AF767" s="754"/>
      <c r="AG767" s="754"/>
      <c r="AH767" s="754"/>
      <c r="AI767" s="754"/>
      <c r="AJ767" s="754"/>
      <c r="AK767" s="754"/>
      <c r="AL767" s="754"/>
      <c r="AM767" s="754"/>
      <c r="AN767" s="754"/>
      <c r="AO767" s="754"/>
      <c r="AP767" s="754"/>
      <c r="AQ767" s="754"/>
      <c r="AR767" s="754"/>
      <c r="AS767" s="754"/>
      <c r="AT767" s="754"/>
      <c r="AU767" s="754"/>
    </row>
    <row r="768" ht="15.75" customHeight="1">
      <c r="A768" s="817">
        <v>44569.0</v>
      </c>
      <c r="B768" s="785" t="s">
        <v>3537</v>
      </c>
      <c r="C768" s="770" t="s">
        <v>3458</v>
      </c>
      <c r="D768" s="745" t="s">
        <v>5902</v>
      </c>
      <c r="E768" s="771">
        <v>151280.2</v>
      </c>
      <c r="F768" s="745" t="s">
        <v>3536</v>
      </c>
      <c r="G768" s="755" t="s">
        <v>18</v>
      </c>
      <c r="H768" s="755" t="s">
        <v>29</v>
      </c>
      <c r="I768" s="755" t="s">
        <v>3503</v>
      </c>
      <c r="J768" s="755">
        <v>43731.0</v>
      </c>
      <c r="K768" s="755" t="s">
        <v>3647</v>
      </c>
      <c r="L768" s="754"/>
      <c r="M768" s="754"/>
      <c r="N768" s="754"/>
      <c r="O768" s="754"/>
      <c r="P768" s="754"/>
      <c r="Q768" s="754"/>
      <c r="R768" s="754"/>
      <c r="S768" s="754"/>
      <c r="T768" s="754"/>
      <c r="U768" s="754"/>
      <c r="V768" s="754"/>
      <c r="W768" s="754"/>
      <c r="X768" s="754"/>
      <c r="Y768" s="754"/>
      <c r="Z768" s="754"/>
      <c r="AA768" s="754"/>
      <c r="AB768" s="754"/>
      <c r="AC768" s="754"/>
      <c r="AD768" s="754"/>
      <c r="AE768" s="754"/>
      <c r="AF768" s="754"/>
      <c r="AG768" s="754"/>
      <c r="AH768" s="754"/>
      <c r="AI768" s="754"/>
      <c r="AJ768" s="754"/>
      <c r="AK768" s="754"/>
      <c r="AL768" s="754"/>
      <c r="AM768" s="754"/>
      <c r="AN768" s="754"/>
      <c r="AO768" s="754"/>
      <c r="AP768" s="754"/>
      <c r="AQ768" s="754"/>
      <c r="AR768" s="754"/>
      <c r="AS768" s="754"/>
      <c r="AT768" s="754"/>
      <c r="AU768" s="754"/>
    </row>
    <row r="769" ht="15.75" customHeight="1">
      <c r="A769" s="817">
        <v>44571.46989226852</v>
      </c>
      <c r="B769" s="785" t="s">
        <v>3333</v>
      </c>
      <c r="C769" s="770" t="s">
        <v>2376</v>
      </c>
      <c r="D769" s="745" t="s">
        <v>5903</v>
      </c>
      <c r="E769" s="771" t="s">
        <v>6056</v>
      </c>
      <c r="F769" s="745" t="s">
        <v>3332</v>
      </c>
      <c r="G769" s="755" t="s">
        <v>18</v>
      </c>
      <c r="H769" s="755" t="s">
        <v>145</v>
      </c>
      <c r="I769" s="755" t="s">
        <v>146</v>
      </c>
      <c r="J769" s="755">
        <v>44263.0</v>
      </c>
      <c r="K769" s="755" t="s">
        <v>3660</v>
      </c>
      <c r="L769" s="754"/>
      <c r="M769" s="754"/>
      <c r="N769" s="754"/>
      <c r="O769" s="754"/>
      <c r="P769" s="754"/>
      <c r="Q769" s="754"/>
      <c r="R769" s="754"/>
      <c r="S769" s="754"/>
      <c r="T769" s="754"/>
      <c r="U769" s="754"/>
      <c r="V769" s="754"/>
      <c r="W769" s="754"/>
      <c r="X769" s="754"/>
      <c r="Y769" s="754"/>
      <c r="Z769" s="754"/>
      <c r="AA769" s="754"/>
      <c r="AB769" s="754"/>
      <c r="AC769" s="754"/>
      <c r="AD769" s="754"/>
      <c r="AE769" s="754"/>
      <c r="AF769" s="754"/>
      <c r="AG769" s="754"/>
      <c r="AH769" s="754"/>
      <c r="AI769" s="754"/>
      <c r="AJ769" s="754"/>
      <c r="AK769" s="754"/>
      <c r="AL769" s="754"/>
      <c r="AM769" s="754"/>
      <c r="AN769" s="754"/>
      <c r="AO769" s="754"/>
      <c r="AP769" s="754"/>
      <c r="AQ769" s="754"/>
      <c r="AR769" s="754"/>
      <c r="AS769" s="754"/>
      <c r="AT769" s="754"/>
      <c r="AU769" s="754"/>
    </row>
    <row r="770" ht="15.75" customHeight="1">
      <c r="A770" s="817">
        <v>44571.51773393519</v>
      </c>
      <c r="B770" s="797" t="s">
        <v>3482</v>
      </c>
      <c r="C770" s="770" t="s">
        <v>3458</v>
      </c>
      <c r="D770" s="745" t="s">
        <v>5903</v>
      </c>
      <c r="E770" s="771">
        <v>8500.0</v>
      </c>
      <c r="F770" s="745" t="s">
        <v>3481</v>
      </c>
      <c r="G770" s="755" t="s">
        <v>18</v>
      </c>
      <c r="H770" s="755" t="s">
        <v>29</v>
      </c>
      <c r="I770" s="755" t="s">
        <v>18</v>
      </c>
      <c r="J770" s="755">
        <v>44062.0</v>
      </c>
      <c r="K770" s="755" t="s">
        <v>3651</v>
      </c>
      <c r="L770" s="754"/>
      <c r="M770" s="754"/>
      <c r="N770" s="754"/>
      <c r="O770" s="754"/>
      <c r="P770" s="754"/>
      <c r="Q770" s="754"/>
      <c r="R770" s="754"/>
      <c r="S770" s="754"/>
      <c r="T770" s="754"/>
      <c r="U770" s="754"/>
      <c r="V770" s="754"/>
      <c r="W770" s="754"/>
      <c r="X770" s="754"/>
      <c r="Y770" s="754"/>
      <c r="Z770" s="754"/>
      <c r="AA770" s="754"/>
      <c r="AB770" s="754"/>
      <c r="AC770" s="754"/>
      <c r="AD770" s="754"/>
      <c r="AE770" s="754"/>
      <c r="AF770" s="754"/>
      <c r="AG770" s="754"/>
      <c r="AH770" s="754"/>
      <c r="AI770" s="754"/>
      <c r="AJ770" s="754"/>
      <c r="AK770" s="754"/>
      <c r="AL770" s="754"/>
      <c r="AM770" s="754"/>
      <c r="AN770" s="754"/>
      <c r="AO770" s="754"/>
      <c r="AP770" s="754"/>
      <c r="AQ770" s="754"/>
      <c r="AR770" s="754"/>
      <c r="AS770" s="754"/>
      <c r="AT770" s="754"/>
      <c r="AU770" s="754"/>
    </row>
    <row r="771" ht="15.75" customHeight="1">
      <c r="A771" s="817">
        <v>44571.51773393519</v>
      </c>
      <c r="B771" s="785" t="s">
        <v>2919</v>
      </c>
      <c r="C771" s="770" t="s">
        <v>2376</v>
      </c>
      <c r="D771" s="745" t="s">
        <v>5903</v>
      </c>
      <c r="E771" s="771" t="s">
        <v>6057</v>
      </c>
      <c r="F771" s="745" t="s">
        <v>2918</v>
      </c>
      <c r="G771" s="755" t="s">
        <v>18</v>
      </c>
      <c r="H771" s="755" t="s">
        <v>145</v>
      </c>
      <c r="I771" s="755" t="s">
        <v>146</v>
      </c>
      <c r="J771" s="755">
        <v>44295.0</v>
      </c>
      <c r="K771" s="755" t="s">
        <v>3657</v>
      </c>
      <c r="L771" s="754"/>
      <c r="M771" s="754"/>
      <c r="N771" s="754"/>
      <c r="O771" s="754"/>
      <c r="P771" s="754"/>
      <c r="Q771" s="754"/>
      <c r="R771" s="754"/>
      <c r="S771" s="754"/>
      <c r="T771" s="754"/>
      <c r="U771" s="754"/>
      <c r="V771" s="754"/>
      <c r="W771" s="754"/>
      <c r="X771" s="754"/>
      <c r="Y771" s="754"/>
      <c r="Z771" s="754"/>
      <c r="AA771" s="754"/>
      <c r="AB771" s="754"/>
      <c r="AC771" s="754"/>
      <c r="AD771" s="754"/>
      <c r="AE771" s="754"/>
      <c r="AF771" s="754"/>
      <c r="AG771" s="754"/>
      <c r="AH771" s="754"/>
      <c r="AI771" s="754"/>
      <c r="AJ771" s="754"/>
      <c r="AK771" s="754"/>
      <c r="AL771" s="754"/>
      <c r="AM771" s="754"/>
      <c r="AN771" s="754"/>
      <c r="AO771" s="754"/>
      <c r="AP771" s="754"/>
      <c r="AQ771" s="754"/>
      <c r="AR771" s="754"/>
      <c r="AS771" s="754"/>
      <c r="AT771" s="754"/>
      <c r="AU771" s="754"/>
    </row>
    <row r="772" ht="15.75" customHeight="1">
      <c r="A772" s="817">
        <v>44572.44878824074</v>
      </c>
      <c r="B772" s="785" t="s">
        <v>3267</v>
      </c>
      <c r="C772" s="770" t="s">
        <v>2376</v>
      </c>
      <c r="D772" s="745" t="s">
        <v>5903</v>
      </c>
      <c r="E772" s="771" t="s">
        <v>6057</v>
      </c>
      <c r="F772" s="745" t="s">
        <v>3266</v>
      </c>
      <c r="G772" s="755" t="s">
        <v>18</v>
      </c>
      <c r="H772" s="755" t="s">
        <v>145</v>
      </c>
      <c r="I772" s="755" t="s">
        <v>171</v>
      </c>
      <c r="J772" s="755">
        <v>44319.0</v>
      </c>
      <c r="K772" s="755" t="s">
        <v>3651</v>
      </c>
      <c r="L772" s="754"/>
      <c r="M772" s="754"/>
      <c r="N772" s="754"/>
      <c r="O772" s="754"/>
      <c r="P772" s="754"/>
      <c r="Q772" s="754"/>
      <c r="R772" s="754"/>
      <c r="S772" s="754"/>
      <c r="T772" s="754"/>
      <c r="U772" s="754"/>
      <c r="V772" s="754"/>
      <c r="W772" s="754"/>
      <c r="X772" s="754"/>
      <c r="Y772" s="754"/>
      <c r="Z772" s="754"/>
      <c r="AA772" s="754"/>
      <c r="AB772" s="754"/>
      <c r="AC772" s="754"/>
      <c r="AD772" s="754"/>
      <c r="AE772" s="754"/>
      <c r="AF772" s="754"/>
      <c r="AG772" s="754"/>
      <c r="AH772" s="754"/>
      <c r="AI772" s="754"/>
      <c r="AJ772" s="754"/>
      <c r="AK772" s="754"/>
      <c r="AL772" s="754"/>
      <c r="AM772" s="754"/>
      <c r="AN772" s="754"/>
      <c r="AO772" s="754"/>
      <c r="AP772" s="754"/>
      <c r="AQ772" s="754"/>
      <c r="AR772" s="754"/>
      <c r="AS772" s="754"/>
      <c r="AT772" s="754"/>
      <c r="AU772" s="754"/>
    </row>
    <row r="773" ht="15.75" customHeight="1">
      <c r="A773" s="817">
        <v>44573.0</v>
      </c>
      <c r="B773" s="819" t="s">
        <v>3510</v>
      </c>
      <c r="C773" s="770" t="s">
        <v>3458</v>
      </c>
      <c r="D773" s="745" t="s">
        <v>2387</v>
      </c>
      <c r="E773" s="771">
        <v>9354.08</v>
      </c>
      <c r="F773" s="745" t="s">
        <v>3509</v>
      </c>
      <c r="G773" s="755" t="s">
        <v>18</v>
      </c>
      <c r="H773" s="755" t="s">
        <v>29</v>
      </c>
      <c r="I773" s="755" t="s">
        <v>3511</v>
      </c>
      <c r="J773" s="755">
        <v>43718.0</v>
      </c>
      <c r="K773" s="755" t="s">
        <v>3660</v>
      </c>
      <c r="L773" s="754"/>
      <c r="M773" s="754"/>
      <c r="N773" s="754"/>
      <c r="O773" s="754"/>
      <c r="P773" s="754"/>
      <c r="Q773" s="754"/>
      <c r="R773" s="754"/>
      <c r="S773" s="754"/>
      <c r="T773" s="754"/>
      <c r="U773" s="754"/>
      <c r="V773" s="754"/>
      <c r="W773" s="754"/>
      <c r="X773" s="754"/>
      <c r="Y773" s="754"/>
      <c r="Z773" s="754"/>
      <c r="AA773" s="754"/>
      <c r="AB773" s="754"/>
      <c r="AC773" s="754"/>
      <c r="AD773" s="754"/>
      <c r="AE773" s="754"/>
      <c r="AF773" s="754"/>
      <c r="AG773" s="754"/>
      <c r="AH773" s="754"/>
      <c r="AI773" s="754"/>
      <c r="AJ773" s="754"/>
      <c r="AK773" s="754"/>
      <c r="AL773" s="754"/>
      <c r="AM773" s="754"/>
      <c r="AN773" s="754"/>
      <c r="AO773" s="754"/>
      <c r="AP773" s="754"/>
      <c r="AQ773" s="754"/>
      <c r="AR773" s="754"/>
      <c r="AS773" s="754"/>
      <c r="AT773" s="754"/>
      <c r="AU773" s="754"/>
    </row>
    <row r="774" ht="15.75" customHeight="1">
      <c r="A774" s="817">
        <v>44573.0</v>
      </c>
      <c r="B774" s="769" t="s">
        <v>3043</v>
      </c>
      <c r="C774" s="770" t="s">
        <v>2376</v>
      </c>
      <c r="D774" s="745" t="s">
        <v>5903</v>
      </c>
      <c r="E774" s="771">
        <v>3000.0</v>
      </c>
      <c r="F774" s="745" t="s">
        <v>3042</v>
      </c>
      <c r="G774" s="755" t="s">
        <v>18</v>
      </c>
      <c r="H774" s="755" t="s">
        <v>145</v>
      </c>
      <c r="I774" s="755" t="s">
        <v>171</v>
      </c>
      <c r="J774" s="755">
        <v>44322.0</v>
      </c>
      <c r="K774" s="755" t="s">
        <v>3651</v>
      </c>
      <c r="L774" s="754"/>
      <c r="M774" s="754"/>
      <c r="N774" s="754"/>
      <c r="O774" s="754"/>
      <c r="P774" s="754"/>
      <c r="Q774" s="754"/>
      <c r="R774" s="754"/>
      <c r="S774" s="754"/>
      <c r="T774" s="754"/>
      <c r="U774" s="754"/>
      <c r="V774" s="754"/>
      <c r="W774" s="754"/>
      <c r="X774" s="754"/>
      <c r="Y774" s="754"/>
      <c r="Z774" s="754"/>
      <c r="AA774" s="754"/>
      <c r="AB774" s="754"/>
      <c r="AC774" s="754"/>
      <c r="AD774" s="754"/>
      <c r="AE774" s="754"/>
      <c r="AF774" s="754"/>
      <c r="AG774" s="754"/>
      <c r="AH774" s="754"/>
      <c r="AI774" s="754"/>
      <c r="AJ774" s="754"/>
      <c r="AK774" s="754"/>
      <c r="AL774" s="754"/>
      <c r="AM774" s="754"/>
      <c r="AN774" s="754"/>
      <c r="AO774" s="754"/>
      <c r="AP774" s="754"/>
      <c r="AQ774" s="754"/>
      <c r="AR774" s="754"/>
      <c r="AS774" s="754"/>
      <c r="AT774" s="754"/>
      <c r="AU774" s="754"/>
    </row>
    <row r="775" ht="15.75" customHeight="1">
      <c r="A775" s="817">
        <v>44575.0</v>
      </c>
      <c r="B775" s="805" t="s">
        <v>6058</v>
      </c>
      <c r="C775" s="770" t="s">
        <v>3642</v>
      </c>
      <c r="D775" s="745" t="s">
        <v>5902</v>
      </c>
      <c r="E775" s="771">
        <v>659874.72</v>
      </c>
      <c r="F775" s="745" t="s">
        <v>4688</v>
      </c>
      <c r="G775" s="745" t="s">
        <v>86</v>
      </c>
      <c r="H775" s="745" t="s">
        <v>29</v>
      </c>
      <c r="I775" s="745" t="s">
        <v>3818</v>
      </c>
      <c r="J775" s="755">
        <v>44005.0</v>
      </c>
      <c r="K775" s="745" t="s">
        <v>3647</v>
      </c>
      <c r="L775" s="754"/>
      <c r="M775" s="754"/>
      <c r="N775" s="754"/>
      <c r="O775" s="754"/>
      <c r="P775" s="754"/>
      <c r="Q775" s="754"/>
      <c r="R775" s="754"/>
      <c r="S775" s="754"/>
      <c r="T775" s="754"/>
      <c r="U775" s="754"/>
      <c r="V775" s="754"/>
      <c r="W775" s="754"/>
      <c r="X775" s="754"/>
      <c r="Y775" s="754"/>
      <c r="Z775" s="754"/>
      <c r="AA775" s="754"/>
      <c r="AB775" s="754"/>
      <c r="AC775" s="754"/>
      <c r="AD775" s="754"/>
      <c r="AE775" s="754"/>
      <c r="AF775" s="754"/>
      <c r="AG775" s="754"/>
      <c r="AH775" s="754"/>
      <c r="AI775" s="754"/>
      <c r="AJ775" s="754"/>
      <c r="AK775" s="754"/>
      <c r="AL775" s="754"/>
      <c r="AM775" s="754"/>
      <c r="AN775" s="754"/>
      <c r="AO775" s="754"/>
      <c r="AP775" s="754"/>
      <c r="AQ775" s="754"/>
      <c r="AR775" s="754"/>
      <c r="AS775" s="754"/>
      <c r="AT775" s="754"/>
      <c r="AU775" s="754"/>
    </row>
    <row r="776" ht="15.75" customHeight="1">
      <c r="A776" s="817">
        <v>44575.0</v>
      </c>
      <c r="B776" s="820" t="s">
        <v>3549</v>
      </c>
      <c r="C776" s="770" t="s">
        <v>3458</v>
      </c>
      <c r="D776" s="745" t="s">
        <v>5902</v>
      </c>
      <c r="E776" s="771">
        <v>147515.9</v>
      </c>
      <c r="F776" s="745" t="s">
        <v>3548</v>
      </c>
      <c r="G776" s="755" t="s">
        <v>18</v>
      </c>
      <c r="H776" s="755" t="s">
        <v>29</v>
      </c>
      <c r="I776" s="755" t="s">
        <v>2633</v>
      </c>
      <c r="J776" s="755">
        <v>43873.0</v>
      </c>
      <c r="K776" s="755" t="s">
        <v>3647</v>
      </c>
      <c r="L776" s="754"/>
      <c r="M776" s="754"/>
      <c r="N776" s="754"/>
      <c r="O776" s="754"/>
      <c r="P776" s="754"/>
      <c r="Q776" s="754"/>
      <c r="R776" s="754"/>
      <c r="S776" s="754"/>
      <c r="T776" s="754"/>
      <c r="U776" s="754"/>
      <c r="V776" s="754"/>
      <c r="W776" s="754"/>
      <c r="X776" s="754"/>
      <c r="Y776" s="754"/>
      <c r="Z776" s="754"/>
      <c r="AA776" s="754"/>
      <c r="AB776" s="754"/>
      <c r="AC776" s="754"/>
      <c r="AD776" s="754"/>
      <c r="AE776" s="754"/>
      <c r="AF776" s="754"/>
      <c r="AG776" s="754"/>
      <c r="AH776" s="754"/>
      <c r="AI776" s="754"/>
      <c r="AJ776" s="754"/>
      <c r="AK776" s="754"/>
      <c r="AL776" s="754"/>
      <c r="AM776" s="754"/>
      <c r="AN776" s="754"/>
      <c r="AO776" s="754"/>
      <c r="AP776" s="754"/>
      <c r="AQ776" s="754"/>
      <c r="AR776" s="754"/>
      <c r="AS776" s="754"/>
      <c r="AT776" s="754"/>
      <c r="AU776" s="754"/>
    </row>
    <row r="777" ht="15.75" customHeight="1">
      <c r="A777" s="817">
        <v>44575.0</v>
      </c>
      <c r="B777" s="819" t="s">
        <v>2731</v>
      </c>
      <c r="C777" s="770" t="s">
        <v>2376</v>
      </c>
      <c r="D777" s="745" t="s">
        <v>5903</v>
      </c>
      <c r="E777" s="771">
        <v>80000.0</v>
      </c>
      <c r="F777" s="745" t="s">
        <v>2730</v>
      </c>
      <c r="G777" s="755" t="s">
        <v>18</v>
      </c>
      <c r="H777" s="755" t="s">
        <v>145</v>
      </c>
      <c r="I777" s="755" t="s">
        <v>171</v>
      </c>
      <c r="J777" s="755">
        <v>44298.0</v>
      </c>
      <c r="K777" s="755" t="s">
        <v>3651</v>
      </c>
      <c r="L777" s="754"/>
      <c r="M777" s="754"/>
      <c r="N777" s="754"/>
      <c r="O777" s="754"/>
      <c r="P777" s="754"/>
      <c r="Q777" s="754"/>
      <c r="R777" s="754"/>
      <c r="S777" s="754"/>
      <c r="T777" s="754"/>
      <c r="U777" s="754"/>
      <c r="V777" s="754"/>
      <c r="W777" s="754"/>
      <c r="X777" s="754"/>
      <c r="Y777" s="754"/>
      <c r="Z777" s="754"/>
      <c r="AA777" s="754"/>
      <c r="AB777" s="754"/>
      <c r="AC777" s="754"/>
      <c r="AD777" s="754"/>
      <c r="AE777" s="754"/>
      <c r="AF777" s="754"/>
      <c r="AG777" s="754"/>
      <c r="AH777" s="754"/>
      <c r="AI777" s="754"/>
      <c r="AJ777" s="754"/>
      <c r="AK777" s="754"/>
      <c r="AL777" s="754"/>
      <c r="AM777" s="754"/>
      <c r="AN777" s="754"/>
      <c r="AO777" s="754"/>
      <c r="AP777" s="754"/>
      <c r="AQ777" s="754"/>
      <c r="AR777" s="754"/>
      <c r="AS777" s="754"/>
      <c r="AT777" s="754"/>
      <c r="AU777" s="754"/>
    </row>
    <row r="778" ht="15.75" customHeight="1">
      <c r="A778" s="817">
        <v>44575.0</v>
      </c>
      <c r="B778" s="819" t="s">
        <v>3235</v>
      </c>
      <c r="C778" s="770" t="s">
        <v>2376</v>
      </c>
      <c r="D778" s="745" t="s">
        <v>5903</v>
      </c>
      <c r="E778" s="771">
        <v>5000.0</v>
      </c>
      <c r="F778" s="745" t="s">
        <v>3234</v>
      </c>
      <c r="G778" s="755" t="s">
        <v>2379</v>
      </c>
      <c r="H778" s="755" t="s">
        <v>29</v>
      </c>
      <c r="I778" s="755" t="s">
        <v>2380</v>
      </c>
      <c r="J778" s="755">
        <v>43894.0</v>
      </c>
      <c r="K778" s="755" t="s">
        <v>3660</v>
      </c>
      <c r="L778" s="754"/>
      <c r="M778" s="754"/>
      <c r="N778" s="754"/>
      <c r="O778" s="754"/>
      <c r="P778" s="754"/>
      <c r="Q778" s="754"/>
      <c r="R778" s="754"/>
      <c r="S778" s="754"/>
      <c r="T778" s="754"/>
      <c r="U778" s="754"/>
      <c r="V778" s="754"/>
      <c r="W778" s="754"/>
      <c r="X778" s="754"/>
      <c r="Y778" s="754"/>
      <c r="Z778" s="754"/>
      <c r="AA778" s="754"/>
      <c r="AB778" s="754"/>
      <c r="AC778" s="754"/>
      <c r="AD778" s="754"/>
      <c r="AE778" s="754"/>
      <c r="AF778" s="754"/>
      <c r="AG778" s="754"/>
      <c r="AH778" s="754"/>
      <c r="AI778" s="754"/>
      <c r="AJ778" s="754"/>
      <c r="AK778" s="754"/>
      <c r="AL778" s="754"/>
      <c r="AM778" s="754"/>
      <c r="AN778" s="754"/>
      <c r="AO778" s="754"/>
      <c r="AP778" s="754"/>
      <c r="AQ778" s="754"/>
      <c r="AR778" s="754"/>
      <c r="AS778" s="754"/>
      <c r="AT778" s="754"/>
      <c r="AU778" s="754"/>
    </row>
    <row r="779" ht="15.75" customHeight="1">
      <c r="A779" s="817">
        <v>44578.0</v>
      </c>
      <c r="B779" s="819" t="s">
        <v>2731</v>
      </c>
      <c r="C779" s="770" t="s">
        <v>2376</v>
      </c>
      <c r="D779" s="745" t="s">
        <v>5902</v>
      </c>
      <c r="E779" s="771">
        <v>181959.12</v>
      </c>
      <c r="F779" s="745" t="s">
        <v>2730</v>
      </c>
      <c r="G779" s="755" t="s">
        <v>18</v>
      </c>
      <c r="H779" s="755" t="s">
        <v>145</v>
      </c>
      <c r="I779" s="755" t="s">
        <v>171</v>
      </c>
      <c r="J779" s="755">
        <v>44298.0</v>
      </c>
      <c r="K779" s="755" t="s">
        <v>3651</v>
      </c>
      <c r="L779" s="754"/>
      <c r="M779" s="754"/>
      <c r="N779" s="754"/>
      <c r="O779" s="754"/>
      <c r="P779" s="754"/>
      <c r="Q779" s="754"/>
      <c r="R779" s="754"/>
      <c r="S779" s="754"/>
      <c r="T779" s="754"/>
      <c r="U779" s="754"/>
      <c r="V779" s="754"/>
      <c r="W779" s="754"/>
      <c r="X779" s="754"/>
      <c r="Y779" s="754"/>
      <c r="Z779" s="754"/>
      <c r="AA779" s="754"/>
      <c r="AB779" s="754"/>
      <c r="AC779" s="754"/>
      <c r="AD779" s="754"/>
      <c r="AE779" s="754"/>
      <c r="AF779" s="754"/>
      <c r="AG779" s="754"/>
      <c r="AH779" s="754"/>
      <c r="AI779" s="754"/>
      <c r="AJ779" s="754"/>
      <c r="AK779" s="754"/>
      <c r="AL779" s="754"/>
      <c r="AM779" s="754"/>
      <c r="AN779" s="754"/>
      <c r="AO779" s="754"/>
      <c r="AP779" s="754"/>
      <c r="AQ779" s="754"/>
      <c r="AR779" s="754"/>
      <c r="AS779" s="754"/>
      <c r="AT779" s="754"/>
      <c r="AU779" s="754"/>
    </row>
    <row r="780" ht="15.75" customHeight="1">
      <c r="A780" s="817">
        <v>44578.0</v>
      </c>
      <c r="B780" s="803" t="s">
        <v>6059</v>
      </c>
      <c r="C780" s="770" t="s">
        <v>3642</v>
      </c>
      <c r="D780" s="745" t="s">
        <v>5903</v>
      </c>
      <c r="E780" s="771">
        <v>50000.0</v>
      </c>
      <c r="F780" s="745" t="s">
        <v>3797</v>
      </c>
      <c r="G780" s="745" t="s">
        <v>18</v>
      </c>
      <c r="H780" s="745" t="s">
        <v>29</v>
      </c>
      <c r="I780" s="745" t="s">
        <v>3798</v>
      </c>
      <c r="J780" s="755">
        <v>44061.0</v>
      </c>
      <c r="K780" s="745" t="s">
        <v>3651</v>
      </c>
      <c r="L780" s="754"/>
      <c r="M780" s="754"/>
      <c r="N780" s="754"/>
      <c r="O780" s="754"/>
      <c r="P780" s="754"/>
      <c r="Q780" s="754"/>
      <c r="R780" s="754"/>
      <c r="S780" s="754"/>
      <c r="T780" s="754"/>
      <c r="U780" s="754"/>
      <c r="V780" s="754"/>
      <c r="W780" s="754"/>
      <c r="X780" s="754"/>
      <c r="Y780" s="754"/>
      <c r="Z780" s="754"/>
      <c r="AA780" s="754"/>
      <c r="AB780" s="754"/>
      <c r="AC780" s="754"/>
      <c r="AD780" s="754"/>
      <c r="AE780" s="754"/>
      <c r="AF780" s="754"/>
      <c r="AG780" s="754"/>
      <c r="AH780" s="754"/>
      <c r="AI780" s="754"/>
      <c r="AJ780" s="754"/>
      <c r="AK780" s="754"/>
      <c r="AL780" s="754"/>
      <c r="AM780" s="754"/>
      <c r="AN780" s="754"/>
      <c r="AO780" s="754"/>
      <c r="AP780" s="754"/>
      <c r="AQ780" s="754"/>
      <c r="AR780" s="754"/>
      <c r="AS780" s="754"/>
      <c r="AT780" s="754"/>
      <c r="AU780" s="754"/>
    </row>
    <row r="781" ht="15.75" customHeight="1">
      <c r="A781" s="817">
        <v>44578.0</v>
      </c>
      <c r="B781" s="785" t="s">
        <v>2919</v>
      </c>
      <c r="C781" s="770" t="s">
        <v>2376</v>
      </c>
      <c r="D781" s="745" t="s">
        <v>5903</v>
      </c>
      <c r="E781" s="771">
        <v>10000.0</v>
      </c>
      <c r="F781" s="745" t="s">
        <v>2918</v>
      </c>
      <c r="G781" s="755" t="s">
        <v>18</v>
      </c>
      <c r="H781" s="755" t="s">
        <v>145</v>
      </c>
      <c r="I781" s="755" t="s">
        <v>146</v>
      </c>
      <c r="J781" s="755">
        <v>44295.0</v>
      </c>
      <c r="K781" s="755" t="s">
        <v>3657</v>
      </c>
      <c r="L781" s="754"/>
      <c r="M781" s="754"/>
      <c r="N781" s="754"/>
      <c r="O781" s="754"/>
      <c r="P781" s="754"/>
      <c r="Q781" s="754"/>
      <c r="R781" s="754"/>
      <c r="S781" s="754"/>
      <c r="T781" s="754"/>
      <c r="U781" s="754"/>
      <c r="V781" s="754"/>
      <c r="W781" s="754"/>
      <c r="X781" s="754"/>
      <c r="Y781" s="754"/>
      <c r="Z781" s="754"/>
      <c r="AA781" s="754"/>
      <c r="AB781" s="754"/>
      <c r="AC781" s="754"/>
      <c r="AD781" s="754"/>
      <c r="AE781" s="754"/>
      <c r="AF781" s="754"/>
      <c r="AG781" s="754"/>
      <c r="AH781" s="754"/>
      <c r="AI781" s="754"/>
      <c r="AJ781" s="754"/>
      <c r="AK781" s="754"/>
      <c r="AL781" s="754"/>
      <c r="AM781" s="754"/>
      <c r="AN781" s="754"/>
      <c r="AO781" s="754"/>
      <c r="AP781" s="754"/>
      <c r="AQ781" s="754"/>
      <c r="AR781" s="754"/>
      <c r="AS781" s="754"/>
      <c r="AT781" s="754"/>
      <c r="AU781" s="754"/>
    </row>
    <row r="782" ht="15.75" customHeight="1">
      <c r="A782" s="817">
        <v>44578.0</v>
      </c>
      <c r="B782" s="785" t="s">
        <v>2934</v>
      </c>
      <c r="C782" s="770" t="s">
        <v>2376</v>
      </c>
      <c r="D782" s="745" t="s">
        <v>5903</v>
      </c>
      <c r="E782" s="771">
        <v>15000.0</v>
      </c>
      <c r="F782" s="745" t="s">
        <v>2933</v>
      </c>
      <c r="G782" s="755" t="s">
        <v>18</v>
      </c>
      <c r="H782" s="755" t="s">
        <v>145</v>
      </c>
      <c r="I782" s="755" t="s">
        <v>171</v>
      </c>
      <c r="J782" s="755">
        <v>44333.0</v>
      </c>
      <c r="K782" s="755" t="s">
        <v>3660</v>
      </c>
      <c r="L782" s="754"/>
      <c r="M782" s="754"/>
      <c r="N782" s="754"/>
      <c r="O782" s="754"/>
      <c r="P782" s="754"/>
      <c r="Q782" s="754"/>
      <c r="R782" s="754"/>
      <c r="S782" s="754"/>
      <c r="T782" s="754"/>
      <c r="U782" s="754"/>
      <c r="V782" s="754"/>
      <c r="W782" s="754"/>
      <c r="X782" s="754"/>
      <c r="Y782" s="754"/>
      <c r="Z782" s="754"/>
      <c r="AA782" s="754"/>
      <c r="AB782" s="754"/>
      <c r="AC782" s="754"/>
      <c r="AD782" s="754"/>
      <c r="AE782" s="754"/>
      <c r="AF782" s="754"/>
      <c r="AG782" s="754"/>
      <c r="AH782" s="754"/>
      <c r="AI782" s="754"/>
      <c r="AJ782" s="754"/>
      <c r="AK782" s="754"/>
      <c r="AL782" s="754"/>
      <c r="AM782" s="754"/>
      <c r="AN782" s="754"/>
      <c r="AO782" s="754"/>
      <c r="AP782" s="754"/>
      <c r="AQ782" s="754"/>
      <c r="AR782" s="754"/>
      <c r="AS782" s="754"/>
      <c r="AT782" s="754"/>
      <c r="AU782" s="754"/>
    </row>
    <row r="783" ht="15.75" customHeight="1">
      <c r="A783" s="817">
        <v>44578.0</v>
      </c>
      <c r="B783" s="805" t="s">
        <v>6060</v>
      </c>
      <c r="C783" s="770" t="s">
        <v>3642</v>
      </c>
      <c r="D783" s="745" t="s">
        <v>5902</v>
      </c>
      <c r="E783" s="771">
        <v>109449.2</v>
      </c>
      <c r="F783" s="745" t="s">
        <v>3737</v>
      </c>
      <c r="G783" s="745" t="s">
        <v>86</v>
      </c>
      <c r="H783" s="745" t="s">
        <v>29</v>
      </c>
      <c r="I783" s="745" t="s">
        <v>3738</v>
      </c>
      <c r="J783" s="755">
        <v>44202.0</v>
      </c>
      <c r="K783" s="745" t="s">
        <v>3647</v>
      </c>
      <c r="L783" s="754"/>
      <c r="M783" s="754"/>
      <c r="N783" s="754"/>
      <c r="O783" s="754"/>
      <c r="P783" s="754"/>
      <c r="Q783" s="754"/>
      <c r="R783" s="754"/>
      <c r="S783" s="754"/>
      <c r="T783" s="754"/>
      <c r="U783" s="754"/>
      <c r="V783" s="754"/>
      <c r="W783" s="754"/>
      <c r="X783" s="754"/>
      <c r="Y783" s="754"/>
      <c r="Z783" s="754"/>
      <c r="AA783" s="754"/>
      <c r="AB783" s="754"/>
      <c r="AC783" s="754"/>
      <c r="AD783" s="754"/>
      <c r="AE783" s="754"/>
      <c r="AF783" s="754"/>
      <c r="AG783" s="754"/>
      <c r="AH783" s="754"/>
      <c r="AI783" s="754"/>
      <c r="AJ783" s="754"/>
      <c r="AK783" s="754"/>
      <c r="AL783" s="754"/>
      <c r="AM783" s="754"/>
      <c r="AN783" s="754"/>
      <c r="AO783" s="754"/>
      <c r="AP783" s="754"/>
      <c r="AQ783" s="754"/>
      <c r="AR783" s="754"/>
      <c r="AS783" s="754"/>
      <c r="AT783" s="754"/>
      <c r="AU783" s="754"/>
    </row>
    <row r="784" ht="15.75" customHeight="1">
      <c r="A784" s="817">
        <v>44579.0</v>
      </c>
      <c r="B784" s="803" t="s">
        <v>6003</v>
      </c>
      <c r="C784" s="770" t="s">
        <v>3642</v>
      </c>
      <c r="D784" s="745" t="s">
        <v>2387</v>
      </c>
      <c r="E784" s="771">
        <v>139991.04</v>
      </c>
      <c r="F784" s="745" t="s">
        <v>6061</v>
      </c>
      <c r="G784" s="745" t="s">
        <v>18</v>
      </c>
      <c r="H784" s="745" t="s">
        <v>19</v>
      </c>
      <c r="I784" s="745" t="s">
        <v>230</v>
      </c>
      <c r="J784" s="755">
        <v>44204.0</v>
      </c>
      <c r="K784" s="745" t="s">
        <v>3855</v>
      </c>
      <c r="L784" s="754"/>
      <c r="M784" s="754"/>
      <c r="N784" s="754"/>
      <c r="O784" s="754"/>
      <c r="P784" s="754"/>
      <c r="Q784" s="754"/>
      <c r="R784" s="754"/>
      <c r="S784" s="754"/>
      <c r="T784" s="754"/>
      <c r="U784" s="754"/>
      <c r="V784" s="754"/>
      <c r="W784" s="754"/>
      <c r="X784" s="754"/>
      <c r="Y784" s="754"/>
      <c r="Z784" s="754"/>
      <c r="AA784" s="754"/>
      <c r="AB784" s="754"/>
      <c r="AC784" s="754"/>
      <c r="AD784" s="754"/>
      <c r="AE784" s="754"/>
      <c r="AF784" s="754"/>
      <c r="AG784" s="754"/>
      <c r="AH784" s="754"/>
      <c r="AI784" s="754"/>
      <c r="AJ784" s="754"/>
      <c r="AK784" s="754"/>
      <c r="AL784" s="754"/>
      <c r="AM784" s="754"/>
      <c r="AN784" s="754"/>
      <c r="AO784" s="754"/>
      <c r="AP784" s="754"/>
      <c r="AQ784" s="754"/>
      <c r="AR784" s="754"/>
      <c r="AS784" s="754"/>
      <c r="AT784" s="754"/>
      <c r="AU784" s="754"/>
    </row>
    <row r="785" ht="15.75" customHeight="1">
      <c r="A785" s="817">
        <v>44579.0</v>
      </c>
      <c r="B785" s="816">
        <v>7048589.0</v>
      </c>
      <c r="C785" s="770" t="s">
        <v>3642</v>
      </c>
      <c r="D785" s="745" t="s">
        <v>2387</v>
      </c>
      <c r="E785" s="771">
        <v>193747.43</v>
      </c>
      <c r="F785" s="745" t="s">
        <v>4754</v>
      </c>
      <c r="G785" s="755" t="s">
        <v>18</v>
      </c>
      <c r="H785" s="755" t="s">
        <v>19</v>
      </c>
      <c r="I785" s="755" t="s">
        <v>52</v>
      </c>
      <c r="J785" s="755">
        <v>44508.0</v>
      </c>
      <c r="K785" s="755" t="s">
        <v>3660</v>
      </c>
      <c r="L785" s="754"/>
      <c r="M785" s="754"/>
      <c r="N785" s="754"/>
      <c r="O785" s="754"/>
      <c r="P785" s="754"/>
      <c r="Q785" s="754"/>
      <c r="R785" s="754"/>
      <c r="S785" s="754"/>
      <c r="T785" s="754"/>
      <c r="U785" s="754"/>
      <c r="V785" s="754"/>
      <c r="W785" s="754"/>
      <c r="X785" s="754"/>
      <c r="Y785" s="754"/>
      <c r="Z785" s="754"/>
      <c r="AA785" s="754"/>
      <c r="AB785" s="754"/>
      <c r="AC785" s="754"/>
      <c r="AD785" s="754"/>
      <c r="AE785" s="754"/>
      <c r="AF785" s="754"/>
      <c r="AG785" s="754"/>
      <c r="AH785" s="754"/>
      <c r="AI785" s="754"/>
      <c r="AJ785" s="754"/>
      <c r="AK785" s="754"/>
      <c r="AL785" s="754"/>
      <c r="AM785" s="754"/>
      <c r="AN785" s="754"/>
      <c r="AO785" s="754"/>
      <c r="AP785" s="754"/>
      <c r="AQ785" s="754"/>
      <c r="AR785" s="754"/>
      <c r="AS785" s="754"/>
      <c r="AT785" s="754"/>
      <c r="AU785" s="754"/>
    </row>
    <row r="786" ht="15.75" customHeight="1">
      <c r="A786" s="817">
        <v>44579.0</v>
      </c>
      <c r="B786" s="803" t="s">
        <v>5941</v>
      </c>
      <c r="C786" s="770" t="s">
        <v>3642</v>
      </c>
      <c r="D786" s="745" t="s">
        <v>5903</v>
      </c>
      <c r="E786" s="771">
        <v>12000.0</v>
      </c>
      <c r="F786" s="745" t="s">
        <v>4928</v>
      </c>
      <c r="G786" s="745" t="s">
        <v>86</v>
      </c>
      <c r="H786" s="745" t="s">
        <v>29</v>
      </c>
      <c r="I786" s="745" t="s">
        <v>4314</v>
      </c>
      <c r="J786" s="755">
        <v>44180.0</v>
      </c>
      <c r="K786" s="745" t="s">
        <v>3651</v>
      </c>
      <c r="L786" s="754"/>
      <c r="M786" s="754"/>
      <c r="N786" s="754"/>
      <c r="O786" s="754"/>
      <c r="P786" s="754"/>
      <c r="Q786" s="754"/>
      <c r="R786" s="754"/>
      <c r="S786" s="754"/>
      <c r="T786" s="754"/>
      <c r="U786" s="754"/>
      <c r="V786" s="754"/>
      <c r="W786" s="754"/>
      <c r="X786" s="754"/>
      <c r="Y786" s="754"/>
      <c r="Z786" s="754"/>
      <c r="AA786" s="754"/>
      <c r="AB786" s="754"/>
      <c r="AC786" s="754"/>
      <c r="AD786" s="754"/>
      <c r="AE786" s="754"/>
      <c r="AF786" s="754"/>
      <c r="AG786" s="754"/>
      <c r="AH786" s="754"/>
      <c r="AI786" s="754"/>
      <c r="AJ786" s="754"/>
      <c r="AK786" s="754"/>
      <c r="AL786" s="754"/>
      <c r="AM786" s="754"/>
      <c r="AN786" s="754"/>
      <c r="AO786" s="754"/>
      <c r="AP786" s="754"/>
      <c r="AQ786" s="754"/>
      <c r="AR786" s="754"/>
      <c r="AS786" s="754"/>
      <c r="AT786" s="754"/>
      <c r="AU786" s="754"/>
    </row>
    <row r="787" ht="15.75" customHeight="1">
      <c r="A787" s="817">
        <v>44580.0</v>
      </c>
      <c r="B787" s="769" t="s">
        <v>2748</v>
      </c>
      <c r="C787" s="770" t="s">
        <v>2376</v>
      </c>
      <c r="D787" s="745" t="s">
        <v>5902</v>
      </c>
      <c r="E787" s="771">
        <v>0.0</v>
      </c>
      <c r="F787" s="745" t="s">
        <v>2747</v>
      </c>
      <c r="G787" s="755" t="s">
        <v>18</v>
      </c>
      <c r="H787" s="755" t="s">
        <v>145</v>
      </c>
      <c r="I787" s="755" t="s">
        <v>146</v>
      </c>
      <c r="J787" s="755">
        <v>44280.0</v>
      </c>
      <c r="K787" s="755" t="s">
        <v>3647</v>
      </c>
      <c r="L787" s="754"/>
      <c r="M787" s="754"/>
      <c r="N787" s="754"/>
      <c r="O787" s="754"/>
      <c r="P787" s="754"/>
      <c r="Q787" s="754"/>
      <c r="R787" s="754"/>
      <c r="S787" s="754"/>
      <c r="T787" s="754"/>
      <c r="U787" s="754"/>
      <c r="V787" s="754"/>
      <c r="W787" s="754"/>
      <c r="X787" s="754"/>
      <c r="Y787" s="754"/>
      <c r="Z787" s="754"/>
      <c r="AA787" s="754"/>
      <c r="AB787" s="754"/>
      <c r="AC787" s="754"/>
      <c r="AD787" s="754"/>
      <c r="AE787" s="754"/>
      <c r="AF787" s="754"/>
      <c r="AG787" s="754"/>
      <c r="AH787" s="754"/>
      <c r="AI787" s="754"/>
      <c r="AJ787" s="754"/>
      <c r="AK787" s="754"/>
      <c r="AL787" s="754"/>
      <c r="AM787" s="754"/>
      <c r="AN787" s="754"/>
      <c r="AO787" s="754"/>
      <c r="AP787" s="754"/>
      <c r="AQ787" s="754"/>
      <c r="AR787" s="754"/>
      <c r="AS787" s="754"/>
      <c r="AT787" s="754"/>
      <c r="AU787" s="754"/>
    </row>
    <row r="788" ht="15.75" customHeight="1">
      <c r="A788" s="817">
        <v>44580.0</v>
      </c>
      <c r="B788" s="769" t="s">
        <v>3075</v>
      </c>
      <c r="C788" s="770" t="s">
        <v>2376</v>
      </c>
      <c r="D788" s="745" t="s">
        <v>5903</v>
      </c>
      <c r="E788" s="771">
        <v>25000.0</v>
      </c>
      <c r="F788" s="745" t="s">
        <v>3072</v>
      </c>
      <c r="G788" s="755" t="s">
        <v>2379</v>
      </c>
      <c r="H788" s="755" t="s">
        <v>29</v>
      </c>
      <c r="I788" s="755" t="s">
        <v>2380</v>
      </c>
      <c r="J788" s="755">
        <v>43811.0</v>
      </c>
      <c r="K788" s="755" t="s">
        <v>3660</v>
      </c>
      <c r="L788" s="754"/>
      <c r="M788" s="754"/>
      <c r="N788" s="754"/>
      <c r="O788" s="754"/>
      <c r="P788" s="754"/>
      <c r="Q788" s="754"/>
      <c r="R788" s="754"/>
      <c r="S788" s="754"/>
      <c r="T788" s="754"/>
      <c r="U788" s="754"/>
      <c r="V788" s="754"/>
      <c r="W788" s="754"/>
      <c r="X788" s="754"/>
      <c r="Y788" s="754"/>
      <c r="Z788" s="754"/>
      <c r="AA788" s="754"/>
      <c r="AB788" s="754"/>
      <c r="AC788" s="754"/>
      <c r="AD788" s="754"/>
      <c r="AE788" s="754"/>
      <c r="AF788" s="754"/>
      <c r="AG788" s="754"/>
      <c r="AH788" s="754"/>
      <c r="AI788" s="754"/>
      <c r="AJ788" s="754"/>
      <c r="AK788" s="754"/>
      <c r="AL788" s="754"/>
      <c r="AM788" s="754"/>
      <c r="AN788" s="754"/>
      <c r="AO788" s="754"/>
      <c r="AP788" s="754"/>
      <c r="AQ788" s="754"/>
      <c r="AR788" s="754"/>
      <c r="AS788" s="754"/>
      <c r="AT788" s="754"/>
      <c r="AU788" s="754"/>
    </row>
    <row r="789" ht="15.75" customHeight="1">
      <c r="A789" s="817">
        <v>44581.0</v>
      </c>
      <c r="B789" s="769" t="s">
        <v>6062</v>
      </c>
      <c r="C789" s="770" t="s">
        <v>3642</v>
      </c>
      <c r="D789" s="745" t="s">
        <v>2387</v>
      </c>
      <c r="E789" s="771">
        <v>13213.29</v>
      </c>
      <c r="F789" s="745" t="s">
        <v>4304</v>
      </c>
      <c r="G789" s="734" t="s">
        <v>18</v>
      </c>
      <c r="H789" s="813" t="s">
        <v>19</v>
      </c>
      <c r="I789" s="813" t="s">
        <v>230</v>
      </c>
      <c r="J789" s="814">
        <v>44405.0</v>
      </c>
      <c r="K789" s="783" t="s">
        <v>3651</v>
      </c>
      <c r="L789" s="754"/>
      <c r="M789" s="754"/>
      <c r="N789" s="754"/>
      <c r="O789" s="754"/>
      <c r="P789" s="754"/>
      <c r="Q789" s="754"/>
      <c r="R789" s="754"/>
      <c r="S789" s="754"/>
      <c r="T789" s="754"/>
      <c r="U789" s="754"/>
      <c r="V789" s="754"/>
      <c r="W789" s="754"/>
      <c r="X789" s="754"/>
      <c r="Y789" s="754"/>
      <c r="Z789" s="754"/>
      <c r="AA789" s="754"/>
      <c r="AB789" s="754"/>
      <c r="AC789" s="754"/>
      <c r="AD789" s="754"/>
      <c r="AE789" s="754"/>
      <c r="AF789" s="754"/>
      <c r="AG789" s="754"/>
      <c r="AH789" s="754"/>
      <c r="AI789" s="754"/>
      <c r="AJ789" s="754"/>
      <c r="AK789" s="754"/>
      <c r="AL789" s="754"/>
      <c r="AM789" s="754"/>
      <c r="AN789" s="754"/>
      <c r="AO789" s="754"/>
      <c r="AP789" s="754"/>
      <c r="AQ789" s="754"/>
      <c r="AR789" s="754"/>
      <c r="AS789" s="754"/>
      <c r="AT789" s="754"/>
      <c r="AU789" s="754"/>
    </row>
    <row r="790" ht="15.75" customHeight="1">
      <c r="A790" s="817">
        <v>44581.0</v>
      </c>
      <c r="B790" s="785" t="s">
        <v>3379</v>
      </c>
      <c r="C790" s="770" t="s">
        <v>2376</v>
      </c>
      <c r="D790" s="745" t="s">
        <v>5903</v>
      </c>
      <c r="E790" s="821">
        <v>13800.0</v>
      </c>
      <c r="F790" s="745" t="s">
        <v>3378</v>
      </c>
      <c r="G790" s="755" t="s">
        <v>2379</v>
      </c>
      <c r="H790" s="755" t="s">
        <v>29</v>
      </c>
      <c r="I790" s="755" t="s">
        <v>2392</v>
      </c>
      <c r="J790" s="755">
        <v>43822.0</v>
      </c>
      <c r="K790" s="755" t="s">
        <v>3660</v>
      </c>
      <c r="L790" s="754"/>
      <c r="M790" s="754"/>
      <c r="N790" s="754"/>
      <c r="O790" s="754"/>
      <c r="P790" s="754"/>
      <c r="Q790" s="754"/>
      <c r="R790" s="754"/>
      <c r="S790" s="754"/>
      <c r="T790" s="754"/>
      <c r="U790" s="754"/>
      <c r="V790" s="754"/>
      <c r="W790" s="754"/>
      <c r="X790" s="754"/>
      <c r="Y790" s="754"/>
      <c r="Z790" s="754"/>
      <c r="AA790" s="754"/>
      <c r="AB790" s="754"/>
      <c r="AC790" s="754"/>
      <c r="AD790" s="754"/>
      <c r="AE790" s="754"/>
      <c r="AF790" s="754"/>
      <c r="AG790" s="754"/>
      <c r="AH790" s="754"/>
      <c r="AI790" s="754"/>
      <c r="AJ790" s="754"/>
      <c r="AK790" s="754"/>
      <c r="AL790" s="754"/>
      <c r="AM790" s="754"/>
      <c r="AN790" s="754"/>
      <c r="AO790" s="754"/>
      <c r="AP790" s="754"/>
      <c r="AQ790" s="754"/>
      <c r="AR790" s="754"/>
      <c r="AS790" s="754"/>
      <c r="AT790" s="754"/>
      <c r="AU790" s="754"/>
    </row>
    <row r="791" ht="15.75" customHeight="1">
      <c r="A791" s="817">
        <v>44581.0</v>
      </c>
      <c r="B791" s="785" t="s">
        <v>3342</v>
      </c>
      <c r="C791" s="770" t="s">
        <v>2376</v>
      </c>
      <c r="D791" s="745" t="s">
        <v>5902</v>
      </c>
      <c r="E791" s="821">
        <v>3800.0</v>
      </c>
      <c r="F791" s="745" t="s">
        <v>3341</v>
      </c>
      <c r="G791" s="755" t="s">
        <v>2379</v>
      </c>
      <c r="H791" s="755" t="s">
        <v>29</v>
      </c>
      <c r="I791" s="755" t="s">
        <v>2380</v>
      </c>
      <c r="J791" s="755">
        <v>43717.0</v>
      </c>
      <c r="K791" s="755" t="s">
        <v>4033</v>
      </c>
      <c r="L791" s="782"/>
      <c r="M791" s="782"/>
      <c r="N791" s="782"/>
      <c r="O791" s="754"/>
      <c r="P791" s="754"/>
      <c r="Q791" s="754"/>
      <c r="R791" s="754"/>
      <c r="S791" s="754"/>
      <c r="T791" s="754"/>
      <c r="U791" s="754"/>
      <c r="V791" s="754"/>
      <c r="W791" s="754"/>
      <c r="X791" s="754"/>
      <c r="Y791" s="754"/>
      <c r="Z791" s="754"/>
      <c r="AA791" s="754"/>
      <c r="AB791" s="754"/>
      <c r="AC791" s="754"/>
      <c r="AD791" s="754"/>
      <c r="AE791" s="754"/>
      <c r="AF791" s="754"/>
      <c r="AG791" s="754"/>
      <c r="AH791" s="754"/>
      <c r="AI791" s="754"/>
      <c r="AJ791" s="754"/>
      <c r="AK791" s="754"/>
      <c r="AL791" s="754"/>
      <c r="AM791" s="754"/>
      <c r="AN791" s="754"/>
      <c r="AO791" s="754"/>
      <c r="AP791" s="754"/>
      <c r="AQ791" s="754"/>
      <c r="AR791" s="754"/>
      <c r="AS791" s="754"/>
      <c r="AT791" s="754"/>
      <c r="AU791" s="754"/>
    </row>
    <row r="792" ht="15.75" customHeight="1">
      <c r="A792" s="817">
        <v>44581.0</v>
      </c>
      <c r="B792" s="785" t="s">
        <v>2540</v>
      </c>
      <c r="C792" s="770" t="s">
        <v>2376</v>
      </c>
      <c r="D792" s="745" t="s">
        <v>2387</v>
      </c>
      <c r="E792" s="771">
        <v>11926.38</v>
      </c>
      <c r="F792" s="745" t="s">
        <v>2539</v>
      </c>
      <c r="G792" s="755" t="s">
        <v>2379</v>
      </c>
      <c r="H792" s="755" t="s">
        <v>29</v>
      </c>
      <c r="I792" s="755" t="s">
        <v>2380</v>
      </c>
      <c r="J792" s="755">
        <v>43769.0</v>
      </c>
      <c r="K792" s="755" t="s">
        <v>3660</v>
      </c>
      <c r="L792" s="754"/>
      <c r="M792" s="754"/>
      <c r="N792" s="754"/>
      <c r="O792" s="754"/>
      <c r="P792" s="754"/>
      <c r="Q792" s="754"/>
      <c r="R792" s="754"/>
      <c r="S792" s="754"/>
      <c r="T792" s="754"/>
      <c r="U792" s="754"/>
      <c r="V792" s="754"/>
      <c r="W792" s="754"/>
      <c r="X792" s="754"/>
      <c r="Y792" s="754"/>
      <c r="Z792" s="754"/>
      <c r="AA792" s="754"/>
      <c r="AB792" s="754"/>
      <c r="AC792" s="754"/>
      <c r="AD792" s="754"/>
      <c r="AE792" s="754"/>
      <c r="AF792" s="754"/>
      <c r="AG792" s="754"/>
      <c r="AH792" s="754"/>
      <c r="AI792" s="754"/>
      <c r="AJ792" s="754"/>
      <c r="AK792" s="754"/>
      <c r="AL792" s="754"/>
      <c r="AM792" s="754"/>
      <c r="AN792" s="754"/>
      <c r="AO792" s="754"/>
      <c r="AP792" s="754"/>
      <c r="AQ792" s="754"/>
      <c r="AR792" s="754"/>
      <c r="AS792" s="754"/>
      <c r="AT792" s="754"/>
      <c r="AU792" s="754"/>
    </row>
    <row r="793" ht="15.75" customHeight="1">
      <c r="A793" s="817">
        <v>44582.0</v>
      </c>
      <c r="B793" s="785" t="s">
        <v>2967</v>
      </c>
      <c r="C793" s="770" t="s">
        <v>2376</v>
      </c>
      <c r="D793" s="745" t="s">
        <v>2387</v>
      </c>
      <c r="E793" s="771">
        <v>219739.11</v>
      </c>
      <c r="F793" s="745" t="s">
        <v>2966</v>
      </c>
      <c r="G793" s="755" t="s">
        <v>18</v>
      </c>
      <c r="H793" s="755" t="s">
        <v>145</v>
      </c>
      <c r="I793" s="755" t="s">
        <v>146</v>
      </c>
      <c r="J793" s="755">
        <v>44319.0</v>
      </c>
      <c r="K793" s="755" t="s">
        <v>3651</v>
      </c>
      <c r="L793" s="754"/>
      <c r="M793" s="754"/>
      <c r="N793" s="754"/>
      <c r="O793" s="754"/>
      <c r="P793" s="754"/>
      <c r="Q793" s="754"/>
      <c r="R793" s="754"/>
      <c r="S793" s="754"/>
      <c r="T793" s="754"/>
      <c r="U793" s="754"/>
      <c r="V793" s="754"/>
      <c r="W793" s="754"/>
      <c r="X793" s="754"/>
      <c r="Y793" s="754"/>
      <c r="Z793" s="754"/>
      <c r="AA793" s="754"/>
      <c r="AB793" s="754"/>
      <c r="AC793" s="754"/>
      <c r="AD793" s="754"/>
      <c r="AE793" s="754"/>
      <c r="AF793" s="754"/>
      <c r="AG793" s="754"/>
      <c r="AH793" s="754"/>
      <c r="AI793" s="754"/>
      <c r="AJ793" s="754"/>
      <c r="AK793" s="754"/>
      <c r="AL793" s="754"/>
      <c r="AM793" s="754"/>
      <c r="AN793" s="754"/>
      <c r="AO793" s="754"/>
      <c r="AP793" s="754"/>
      <c r="AQ793" s="754"/>
      <c r="AR793" s="754"/>
      <c r="AS793" s="754"/>
      <c r="AT793" s="754"/>
      <c r="AU793" s="754"/>
    </row>
    <row r="794" ht="15.75" customHeight="1">
      <c r="A794" s="817">
        <v>44582.0</v>
      </c>
      <c r="B794" s="822" t="s">
        <v>2870</v>
      </c>
      <c r="C794" s="770" t="s">
        <v>2376</v>
      </c>
      <c r="D794" s="745" t="s">
        <v>5903</v>
      </c>
      <c r="E794" s="771">
        <v>3000.0</v>
      </c>
      <c r="F794" s="745" t="s">
        <v>2869</v>
      </c>
      <c r="G794" s="755" t="s">
        <v>2379</v>
      </c>
      <c r="H794" s="755" t="s">
        <v>29</v>
      </c>
      <c r="I794" s="755" t="s">
        <v>2380</v>
      </c>
      <c r="J794" s="755">
        <v>43605.0</v>
      </c>
      <c r="K794" s="755" t="s">
        <v>3660</v>
      </c>
      <c r="L794" s="754"/>
      <c r="M794" s="754"/>
      <c r="N794" s="754"/>
      <c r="O794" s="754"/>
      <c r="P794" s="754"/>
      <c r="Q794" s="754"/>
      <c r="R794" s="754"/>
      <c r="S794" s="754"/>
      <c r="T794" s="754"/>
      <c r="U794" s="754"/>
      <c r="V794" s="754"/>
      <c r="W794" s="754"/>
      <c r="X794" s="754"/>
      <c r="Y794" s="754"/>
      <c r="Z794" s="754"/>
      <c r="AA794" s="754"/>
      <c r="AB794" s="754"/>
      <c r="AC794" s="754"/>
      <c r="AD794" s="754"/>
      <c r="AE794" s="754"/>
      <c r="AF794" s="754"/>
      <c r="AG794" s="754"/>
      <c r="AH794" s="754"/>
      <c r="AI794" s="754"/>
      <c r="AJ794" s="754"/>
      <c r="AK794" s="754"/>
      <c r="AL794" s="754"/>
      <c r="AM794" s="754"/>
      <c r="AN794" s="754"/>
      <c r="AO794" s="754"/>
      <c r="AP794" s="754"/>
      <c r="AQ794" s="754"/>
      <c r="AR794" s="754"/>
      <c r="AS794" s="754"/>
      <c r="AT794" s="754"/>
      <c r="AU794" s="754"/>
    </row>
    <row r="795" ht="15.75" customHeight="1">
      <c r="A795" s="817">
        <v>44582.0</v>
      </c>
      <c r="B795" s="785" t="s">
        <v>2944</v>
      </c>
      <c r="C795" s="770" t="s">
        <v>2376</v>
      </c>
      <c r="D795" s="745" t="s">
        <v>5903</v>
      </c>
      <c r="E795" s="771">
        <v>30000.0</v>
      </c>
      <c r="F795" s="745" t="s">
        <v>2943</v>
      </c>
      <c r="G795" s="755" t="s">
        <v>18</v>
      </c>
      <c r="H795" s="755" t="s">
        <v>145</v>
      </c>
      <c r="I795" s="755" t="s">
        <v>171</v>
      </c>
      <c r="J795" s="755">
        <v>44280.0</v>
      </c>
      <c r="K795" s="755" t="s">
        <v>3651</v>
      </c>
      <c r="L795" s="754"/>
      <c r="M795" s="754"/>
      <c r="N795" s="754"/>
      <c r="O795" s="754"/>
      <c r="P795" s="754"/>
      <c r="Q795" s="754"/>
      <c r="R795" s="754"/>
      <c r="S795" s="754"/>
      <c r="T795" s="754"/>
      <c r="U795" s="754"/>
      <c r="V795" s="754"/>
      <c r="W795" s="754"/>
      <c r="X795" s="754"/>
      <c r="Y795" s="754"/>
      <c r="Z795" s="754"/>
      <c r="AA795" s="754"/>
      <c r="AB795" s="754"/>
      <c r="AC795" s="754"/>
      <c r="AD795" s="754"/>
      <c r="AE795" s="754"/>
      <c r="AF795" s="754"/>
      <c r="AG795" s="754"/>
      <c r="AH795" s="754"/>
      <c r="AI795" s="754"/>
      <c r="AJ795" s="754"/>
      <c r="AK795" s="754"/>
      <c r="AL795" s="754"/>
      <c r="AM795" s="754"/>
      <c r="AN795" s="754"/>
      <c r="AO795" s="754"/>
      <c r="AP795" s="754"/>
      <c r="AQ795" s="754"/>
      <c r="AR795" s="754"/>
      <c r="AS795" s="754"/>
      <c r="AT795" s="754"/>
      <c r="AU795" s="754"/>
    </row>
    <row r="796" ht="15.75" customHeight="1">
      <c r="A796" s="817">
        <v>44582.0</v>
      </c>
      <c r="B796" s="785" t="s">
        <v>3411</v>
      </c>
      <c r="C796" s="770" t="s">
        <v>2376</v>
      </c>
      <c r="D796" s="745" t="s">
        <v>5903</v>
      </c>
      <c r="E796" s="771">
        <v>10000.0</v>
      </c>
      <c r="F796" s="745" t="s">
        <v>3410</v>
      </c>
      <c r="G796" s="755" t="s">
        <v>18</v>
      </c>
      <c r="H796" s="755" t="s">
        <v>145</v>
      </c>
      <c r="I796" s="755" t="s">
        <v>2464</v>
      </c>
      <c r="J796" s="755">
        <v>44267.0</v>
      </c>
      <c r="K796" s="755" t="s">
        <v>3651</v>
      </c>
      <c r="L796" s="754"/>
      <c r="M796" s="754"/>
      <c r="N796" s="754"/>
      <c r="O796" s="754"/>
      <c r="P796" s="754"/>
      <c r="Q796" s="754"/>
      <c r="R796" s="754"/>
      <c r="S796" s="754"/>
      <c r="T796" s="754"/>
      <c r="U796" s="754"/>
      <c r="V796" s="754"/>
      <c r="W796" s="754"/>
      <c r="X796" s="754"/>
      <c r="Y796" s="754"/>
      <c r="Z796" s="754"/>
      <c r="AA796" s="754"/>
      <c r="AB796" s="754"/>
      <c r="AC796" s="754"/>
      <c r="AD796" s="754"/>
      <c r="AE796" s="754"/>
      <c r="AF796" s="754"/>
      <c r="AG796" s="754"/>
      <c r="AH796" s="754"/>
      <c r="AI796" s="754"/>
      <c r="AJ796" s="754"/>
      <c r="AK796" s="754"/>
      <c r="AL796" s="754"/>
      <c r="AM796" s="754"/>
      <c r="AN796" s="754"/>
      <c r="AO796" s="754"/>
      <c r="AP796" s="754"/>
      <c r="AQ796" s="754"/>
      <c r="AR796" s="754"/>
      <c r="AS796" s="754"/>
      <c r="AT796" s="754"/>
      <c r="AU796" s="754"/>
    </row>
    <row r="797" ht="15.75" customHeight="1">
      <c r="A797" s="817">
        <v>44582.0</v>
      </c>
      <c r="B797" s="710">
        <v>7082227.0</v>
      </c>
      <c r="C797" s="770" t="s">
        <v>3642</v>
      </c>
      <c r="D797" s="745" t="s">
        <v>5903</v>
      </c>
      <c r="E797" s="771">
        <v>25000.0</v>
      </c>
      <c r="F797" s="745" t="s">
        <v>4240</v>
      </c>
      <c r="G797" s="755" t="s">
        <v>18</v>
      </c>
      <c r="H797" s="755" t="s">
        <v>19</v>
      </c>
      <c r="I797" s="755" t="s">
        <v>4859</v>
      </c>
      <c r="J797" s="755">
        <v>44511.0</v>
      </c>
      <c r="K797" s="755" t="s">
        <v>3651</v>
      </c>
      <c r="L797" s="754"/>
      <c r="M797" s="754"/>
      <c r="N797" s="754"/>
      <c r="O797" s="754"/>
      <c r="P797" s="754"/>
      <c r="Q797" s="754"/>
      <c r="R797" s="754"/>
      <c r="S797" s="754"/>
      <c r="T797" s="754"/>
      <c r="U797" s="754"/>
      <c r="V797" s="754"/>
      <c r="W797" s="754"/>
      <c r="X797" s="754"/>
      <c r="Y797" s="754"/>
      <c r="Z797" s="754"/>
      <c r="AA797" s="754"/>
      <c r="AB797" s="754"/>
      <c r="AC797" s="754"/>
      <c r="AD797" s="754"/>
      <c r="AE797" s="754"/>
      <c r="AF797" s="754"/>
      <c r="AG797" s="754"/>
      <c r="AH797" s="754"/>
      <c r="AI797" s="754"/>
      <c r="AJ797" s="754"/>
      <c r="AK797" s="754"/>
      <c r="AL797" s="754"/>
      <c r="AM797" s="754"/>
      <c r="AN797" s="754"/>
      <c r="AO797" s="754"/>
      <c r="AP797" s="754"/>
      <c r="AQ797" s="754"/>
      <c r="AR797" s="754"/>
      <c r="AS797" s="754"/>
      <c r="AT797" s="754"/>
      <c r="AU797" s="754"/>
    </row>
    <row r="798" ht="15.75" customHeight="1">
      <c r="A798" s="817">
        <v>44582.0</v>
      </c>
      <c r="B798" s="812" t="s">
        <v>6035</v>
      </c>
      <c r="C798" s="770" t="s">
        <v>3642</v>
      </c>
      <c r="D798" s="745" t="s">
        <v>5903</v>
      </c>
      <c r="E798" s="771">
        <v>10000.0</v>
      </c>
      <c r="F798" s="745" t="s">
        <v>6063</v>
      </c>
      <c r="G798" s="745" t="s">
        <v>18</v>
      </c>
      <c r="H798" s="745" t="s">
        <v>29</v>
      </c>
      <c r="I798" s="745" t="s">
        <v>2633</v>
      </c>
      <c r="J798" s="755">
        <v>44399.0</v>
      </c>
      <c r="K798" s="745" t="s">
        <v>6064</v>
      </c>
      <c r="L798" s="754"/>
      <c r="M798" s="754"/>
      <c r="N798" s="754"/>
      <c r="O798" s="754"/>
      <c r="P798" s="754"/>
      <c r="Q798" s="754"/>
      <c r="R798" s="754"/>
      <c r="S798" s="754"/>
      <c r="T798" s="754"/>
      <c r="U798" s="754"/>
      <c r="V798" s="754"/>
      <c r="W798" s="754"/>
      <c r="X798" s="754"/>
      <c r="Y798" s="754"/>
      <c r="Z798" s="754"/>
      <c r="AA798" s="754"/>
      <c r="AB798" s="754"/>
      <c r="AC798" s="754"/>
      <c r="AD798" s="754"/>
      <c r="AE798" s="754"/>
      <c r="AF798" s="754"/>
      <c r="AG798" s="754"/>
      <c r="AH798" s="754"/>
      <c r="AI798" s="754"/>
      <c r="AJ798" s="754"/>
      <c r="AK798" s="754"/>
      <c r="AL798" s="754"/>
      <c r="AM798" s="754"/>
      <c r="AN798" s="754"/>
      <c r="AO798" s="754"/>
      <c r="AP798" s="754"/>
      <c r="AQ798" s="754"/>
      <c r="AR798" s="754"/>
      <c r="AS798" s="754"/>
      <c r="AT798" s="754"/>
      <c r="AU798" s="754"/>
    </row>
    <row r="799" ht="15.75" customHeight="1">
      <c r="A799" s="755">
        <v>44586.0</v>
      </c>
      <c r="B799" s="756" t="s">
        <v>6065</v>
      </c>
      <c r="C799" s="745" t="s">
        <v>3642</v>
      </c>
      <c r="D799" s="745" t="s">
        <v>2387</v>
      </c>
      <c r="E799" s="757">
        <v>142585.32</v>
      </c>
      <c r="F799" s="745" t="s">
        <v>4754</v>
      </c>
      <c r="G799" s="745" t="s">
        <v>18</v>
      </c>
      <c r="H799" s="745" t="s">
        <v>19</v>
      </c>
      <c r="I799" s="816" t="s">
        <v>52</v>
      </c>
      <c r="J799" s="823">
        <v>44508.0</v>
      </c>
      <c r="K799" s="745" t="s">
        <v>3660</v>
      </c>
      <c r="L799" s="824"/>
      <c r="M799" s="824"/>
      <c r="N799" s="824"/>
      <c r="O799" s="824"/>
      <c r="P799" s="824"/>
      <c r="Q799" s="824"/>
      <c r="R799" s="824"/>
      <c r="S799" s="824"/>
      <c r="T799" s="824"/>
      <c r="U799" s="824"/>
      <c r="V799" s="824"/>
      <c r="W799" s="824"/>
      <c r="X799" s="824"/>
      <c r="Y799" s="824"/>
      <c r="Z799" s="824"/>
      <c r="AA799" s="824"/>
      <c r="AB799" s="754"/>
      <c r="AC799" s="754"/>
      <c r="AD799" s="754"/>
      <c r="AE799" s="754"/>
      <c r="AF799" s="754"/>
      <c r="AG799" s="754"/>
      <c r="AH799" s="754"/>
      <c r="AI799" s="754"/>
      <c r="AJ799" s="754"/>
      <c r="AK799" s="754"/>
      <c r="AL799" s="754"/>
      <c r="AM799" s="754"/>
      <c r="AN799" s="754"/>
      <c r="AO799" s="754"/>
      <c r="AP799" s="754"/>
      <c r="AQ799" s="754"/>
      <c r="AR799" s="754"/>
      <c r="AS799" s="754"/>
      <c r="AT799" s="754"/>
      <c r="AU799" s="754"/>
    </row>
    <row r="800" ht="15.75" customHeight="1">
      <c r="A800" s="755">
        <v>44592.0</v>
      </c>
      <c r="B800" s="756" t="s">
        <v>6066</v>
      </c>
      <c r="C800" s="745" t="s">
        <v>3642</v>
      </c>
      <c r="D800" s="745" t="s">
        <v>5903</v>
      </c>
      <c r="E800" s="757">
        <v>3500.0</v>
      </c>
      <c r="F800" s="745" t="s">
        <v>3869</v>
      </c>
      <c r="G800" s="745" t="s">
        <v>18</v>
      </c>
      <c r="H800" s="745" t="s">
        <v>19</v>
      </c>
      <c r="I800" s="816" t="s">
        <v>201</v>
      </c>
      <c r="J800" s="823">
        <v>44523.0</v>
      </c>
      <c r="K800" s="745" t="s">
        <v>3657</v>
      </c>
      <c r="L800" s="747"/>
      <c r="M800" s="747"/>
      <c r="N800" s="747"/>
      <c r="O800" s="747"/>
      <c r="P800" s="747"/>
      <c r="Q800" s="747"/>
      <c r="R800" s="747"/>
      <c r="S800" s="747"/>
      <c r="T800" s="747"/>
      <c r="U800" s="747"/>
      <c r="V800" s="747"/>
      <c r="W800" s="747"/>
      <c r="X800" s="747"/>
      <c r="Y800" s="747"/>
      <c r="Z800" s="747"/>
      <c r="AA800" s="747"/>
      <c r="AB800" s="754"/>
      <c r="AC800" s="754"/>
      <c r="AD800" s="754"/>
      <c r="AE800" s="754"/>
      <c r="AF800" s="754"/>
      <c r="AG800" s="754"/>
      <c r="AH800" s="754"/>
      <c r="AI800" s="754"/>
      <c r="AJ800" s="754"/>
      <c r="AK800" s="754"/>
      <c r="AL800" s="754"/>
      <c r="AM800" s="754"/>
      <c r="AN800" s="754"/>
      <c r="AO800" s="754"/>
      <c r="AP800" s="754"/>
      <c r="AQ800" s="754"/>
      <c r="AR800" s="754"/>
      <c r="AS800" s="754"/>
      <c r="AT800" s="754"/>
      <c r="AU800" s="754"/>
    </row>
    <row r="801" ht="15.75" customHeight="1">
      <c r="A801" s="768">
        <v>44592.0</v>
      </c>
      <c r="B801" s="800" t="s">
        <v>2496</v>
      </c>
      <c r="C801" s="770" t="s">
        <v>2376</v>
      </c>
      <c r="D801" s="745" t="s">
        <v>5902</v>
      </c>
      <c r="E801" s="771" t="s">
        <v>6067</v>
      </c>
      <c r="F801" s="745" t="s">
        <v>2495</v>
      </c>
      <c r="G801" s="755" t="s">
        <v>18</v>
      </c>
      <c r="H801" s="755" t="s">
        <v>145</v>
      </c>
      <c r="I801" s="755" t="s">
        <v>171</v>
      </c>
      <c r="J801" s="755">
        <v>44295.0</v>
      </c>
      <c r="K801" s="755" t="s">
        <v>3647</v>
      </c>
      <c r="L801" s="747"/>
      <c r="M801" s="747"/>
      <c r="N801" s="747"/>
      <c r="O801" s="747"/>
      <c r="P801" s="747"/>
      <c r="Q801" s="747"/>
      <c r="R801" s="747"/>
      <c r="S801" s="747"/>
      <c r="T801" s="747"/>
      <c r="U801" s="747"/>
      <c r="V801" s="747"/>
      <c r="W801" s="747"/>
      <c r="X801" s="747"/>
      <c r="Y801" s="747"/>
      <c r="Z801" s="747"/>
      <c r="AA801" s="747"/>
      <c r="AB801" s="754"/>
      <c r="AC801" s="754"/>
      <c r="AD801" s="754"/>
      <c r="AE801" s="754"/>
      <c r="AF801" s="754"/>
      <c r="AG801" s="754"/>
      <c r="AH801" s="754"/>
      <c r="AI801" s="754"/>
      <c r="AJ801" s="754"/>
      <c r="AK801" s="754"/>
      <c r="AL801" s="754"/>
      <c r="AM801" s="754"/>
      <c r="AN801" s="754"/>
      <c r="AO801" s="754"/>
      <c r="AP801" s="754"/>
      <c r="AQ801" s="754"/>
      <c r="AR801" s="754"/>
      <c r="AS801" s="754"/>
      <c r="AT801" s="754"/>
      <c r="AU801" s="754"/>
    </row>
    <row r="802" ht="15.75" customHeight="1">
      <c r="A802" s="755">
        <v>44593.0</v>
      </c>
      <c r="B802" s="756" t="s">
        <v>5941</v>
      </c>
      <c r="C802" s="745" t="s">
        <v>3642</v>
      </c>
      <c r="D802" s="745" t="s">
        <v>5903</v>
      </c>
      <c r="E802" s="757">
        <v>11000.0</v>
      </c>
      <c r="F802" s="745" t="s">
        <v>4928</v>
      </c>
      <c r="G802" s="745" t="s">
        <v>86</v>
      </c>
      <c r="H802" s="745" t="s">
        <v>29</v>
      </c>
      <c r="I802" s="816" t="s">
        <v>4314</v>
      </c>
      <c r="J802" s="823">
        <v>44180.0</v>
      </c>
      <c r="K802" s="745" t="s">
        <v>3651</v>
      </c>
      <c r="L802" s="747"/>
      <c r="M802" s="747"/>
      <c r="N802" s="747"/>
      <c r="O802" s="747"/>
      <c r="P802" s="747"/>
      <c r="Q802" s="747"/>
      <c r="R802" s="747"/>
      <c r="S802" s="747"/>
      <c r="T802" s="747"/>
      <c r="U802" s="747"/>
      <c r="V802" s="747"/>
      <c r="W802" s="747"/>
      <c r="X802" s="747"/>
      <c r="Y802" s="747"/>
      <c r="Z802" s="747"/>
      <c r="AA802" s="747"/>
      <c r="AB802" s="754"/>
      <c r="AC802" s="754"/>
      <c r="AD802" s="754"/>
      <c r="AE802" s="754"/>
      <c r="AF802" s="754"/>
      <c r="AG802" s="754"/>
      <c r="AH802" s="754"/>
      <c r="AI802" s="754"/>
      <c r="AJ802" s="754"/>
      <c r="AK802" s="754"/>
      <c r="AL802" s="754"/>
      <c r="AM802" s="754"/>
      <c r="AN802" s="754"/>
      <c r="AO802" s="754"/>
      <c r="AP802" s="754"/>
      <c r="AQ802" s="754"/>
      <c r="AR802" s="754"/>
      <c r="AS802" s="754"/>
      <c r="AT802" s="754"/>
      <c r="AU802" s="754"/>
    </row>
    <row r="803" ht="15.75" customHeight="1">
      <c r="A803" s="755">
        <v>44601.0</v>
      </c>
      <c r="B803" s="816" t="s">
        <v>6068</v>
      </c>
      <c r="C803" s="745" t="s">
        <v>3642</v>
      </c>
      <c r="D803" s="745" t="s">
        <v>5903</v>
      </c>
      <c r="E803" s="757">
        <v>25000.0</v>
      </c>
      <c r="F803" s="745" t="s">
        <v>1426</v>
      </c>
      <c r="G803" s="734" t="s">
        <v>18</v>
      </c>
      <c r="H803" s="825" t="s">
        <v>29</v>
      </c>
      <c r="I803" s="734" t="s">
        <v>6069</v>
      </c>
      <c r="J803" s="781">
        <v>44594.0</v>
      </c>
      <c r="K803" s="745" t="s">
        <v>3657</v>
      </c>
      <c r="L803" s="754"/>
      <c r="M803" s="754"/>
      <c r="N803" s="754"/>
      <c r="O803" s="754"/>
      <c r="P803" s="754"/>
      <c r="Q803" s="754"/>
      <c r="R803" s="754"/>
      <c r="S803" s="754"/>
      <c r="T803" s="754"/>
      <c r="U803" s="754"/>
      <c r="V803" s="754"/>
      <c r="W803" s="754"/>
      <c r="X803" s="754"/>
      <c r="Y803" s="754"/>
      <c r="Z803" s="754"/>
      <c r="AA803" s="754"/>
      <c r="AB803" s="754"/>
      <c r="AC803" s="754"/>
      <c r="AD803" s="754"/>
      <c r="AE803" s="754"/>
      <c r="AF803" s="754"/>
      <c r="AG803" s="754"/>
      <c r="AH803" s="754"/>
      <c r="AI803" s="754"/>
      <c r="AJ803" s="754"/>
      <c r="AK803" s="754"/>
      <c r="AL803" s="754"/>
      <c r="AM803" s="754"/>
      <c r="AN803" s="754"/>
      <c r="AO803" s="754"/>
      <c r="AP803" s="754"/>
      <c r="AQ803" s="754"/>
      <c r="AR803" s="754"/>
      <c r="AS803" s="754"/>
      <c r="AT803" s="754"/>
      <c r="AU803" s="754"/>
    </row>
    <row r="804" ht="15.75" customHeight="1">
      <c r="A804" s="755">
        <v>44606.0</v>
      </c>
      <c r="B804" s="756" t="s">
        <v>6070</v>
      </c>
      <c r="C804" s="745" t="s">
        <v>3642</v>
      </c>
      <c r="D804" s="745" t="s">
        <v>5903</v>
      </c>
      <c r="E804" s="757">
        <v>45000.0</v>
      </c>
      <c r="F804" s="745" t="s">
        <v>3644</v>
      </c>
      <c r="G804" s="745" t="s">
        <v>18</v>
      </c>
      <c r="H804" s="745" t="s">
        <v>29</v>
      </c>
      <c r="I804" s="816" t="s">
        <v>865</v>
      </c>
      <c r="J804" s="823">
        <v>44482.0</v>
      </c>
      <c r="K804" s="745" t="s">
        <v>3647</v>
      </c>
      <c r="L804" s="754"/>
      <c r="M804" s="754"/>
      <c r="N804" s="754"/>
      <c r="O804" s="754"/>
      <c r="P804" s="754"/>
      <c r="Q804" s="754"/>
      <c r="R804" s="754"/>
      <c r="S804" s="754"/>
      <c r="T804" s="754"/>
      <c r="U804" s="754"/>
      <c r="V804" s="754"/>
      <c r="W804" s="754"/>
      <c r="X804" s="754"/>
      <c r="Y804" s="754"/>
      <c r="Z804" s="754"/>
      <c r="AA804" s="754"/>
      <c r="AB804" s="754"/>
      <c r="AC804" s="754"/>
      <c r="AD804" s="754"/>
      <c r="AE804" s="754"/>
      <c r="AF804" s="754"/>
      <c r="AG804" s="754"/>
      <c r="AH804" s="754"/>
      <c r="AI804" s="754"/>
      <c r="AJ804" s="754"/>
      <c r="AK804" s="754"/>
      <c r="AL804" s="754"/>
      <c r="AM804" s="754"/>
      <c r="AN804" s="754"/>
      <c r="AO804" s="754"/>
      <c r="AP804" s="754"/>
      <c r="AQ804" s="754"/>
      <c r="AR804" s="754"/>
      <c r="AS804" s="754"/>
      <c r="AT804" s="754"/>
      <c r="AU804" s="754"/>
    </row>
    <row r="805" ht="15.75" customHeight="1">
      <c r="A805" s="755">
        <v>44609.0</v>
      </c>
      <c r="B805" s="756" t="s">
        <v>5941</v>
      </c>
      <c r="C805" s="745" t="s">
        <v>3642</v>
      </c>
      <c r="D805" s="745" t="s">
        <v>5903</v>
      </c>
      <c r="E805" s="757">
        <v>10000.0</v>
      </c>
      <c r="F805" s="745" t="s">
        <v>4928</v>
      </c>
      <c r="G805" s="745" t="s">
        <v>86</v>
      </c>
      <c r="H805" s="825" t="s">
        <v>29</v>
      </c>
      <c r="I805" s="816" t="s">
        <v>4314</v>
      </c>
      <c r="J805" s="823">
        <v>44180.0</v>
      </c>
      <c r="K805" s="745" t="s">
        <v>3651</v>
      </c>
      <c r="L805" s="754"/>
      <c r="M805" s="754"/>
      <c r="N805" s="754"/>
      <c r="O805" s="754"/>
      <c r="P805" s="754"/>
      <c r="Q805" s="754"/>
      <c r="R805" s="754"/>
      <c r="S805" s="754"/>
      <c r="T805" s="754"/>
      <c r="U805" s="754"/>
      <c r="V805" s="754"/>
      <c r="W805" s="754"/>
      <c r="X805" s="754"/>
      <c r="Y805" s="754"/>
      <c r="Z805" s="754"/>
      <c r="AA805" s="754"/>
      <c r="AB805" s="754"/>
      <c r="AC805" s="754"/>
      <c r="AD805" s="754"/>
      <c r="AE805" s="754"/>
      <c r="AF805" s="754"/>
      <c r="AG805" s="754"/>
      <c r="AH805" s="754"/>
      <c r="AI805" s="754"/>
      <c r="AJ805" s="754"/>
      <c r="AK805" s="754"/>
      <c r="AL805" s="754"/>
      <c r="AM805" s="754"/>
      <c r="AN805" s="754"/>
      <c r="AO805" s="754"/>
      <c r="AP805" s="754"/>
      <c r="AQ805" s="754"/>
      <c r="AR805" s="754"/>
      <c r="AS805" s="754"/>
      <c r="AT805" s="754"/>
      <c r="AU805" s="754"/>
    </row>
    <row r="806" ht="15.75" customHeight="1">
      <c r="A806" s="755">
        <v>44622.0</v>
      </c>
      <c r="B806" s="710">
        <v>858723.0</v>
      </c>
      <c r="C806" s="710" t="s">
        <v>2376</v>
      </c>
      <c r="D806" s="745" t="s">
        <v>5903</v>
      </c>
      <c r="E806" s="772">
        <v>25000.0</v>
      </c>
      <c r="F806" s="710" t="s">
        <v>3332</v>
      </c>
      <c r="G806" s="734" t="s">
        <v>18</v>
      </c>
      <c r="H806" s="745" t="s">
        <v>145</v>
      </c>
      <c r="I806" s="745" t="s">
        <v>146</v>
      </c>
      <c r="J806" s="778">
        <v>44585.0</v>
      </c>
      <c r="K806" s="816" t="s">
        <v>3657</v>
      </c>
      <c r="L806" s="754"/>
      <c r="M806" s="754"/>
      <c r="N806" s="754"/>
      <c r="O806" s="754"/>
      <c r="P806" s="754"/>
      <c r="Q806" s="754"/>
      <c r="R806" s="754"/>
      <c r="S806" s="754"/>
      <c r="T806" s="754"/>
      <c r="U806" s="754"/>
      <c r="V806" s="754"/>
      <c r="W806" s="754"/>
      <c r="X806" s="754"/>
      <c r="Y806" s="754"/>
      <c r="Z806" s="754"/>
      <c r="AA806" s="754"/>
      <c r="AB806" s="754"/>
      <c r="AC806" s="754"/>
      <c r="AD806" s="754"/>
      <c r="AE806" s="754"/>
      <c r="AF806" s="754"/>
      <c r="AG806" s="754"/>
      <c r="AH806" s="754"/>
      <c r="AI806" s="754"/>
      <c r="AJ806" s="754"/>
      <c r="AK806" s="754"/>
      <c r="AL806" s="754"/>
      <c r="AM806" s="754"/>
      <c r="AN806" s="754"/>
      <c r="AO806" s="754"/>
      <c r="AP806" s="754"/>
      <c r="AQ806" s="754"/>
      <c r="AR806" s="754"/>
      <c r="AS806" s="754"/>
      <c r="AT806" s="754"/>
      <c r="AU806" s="754"/>
    </row>
    <row r="807" ht="15.75" customHeight="1">
      <c r="A807" s="755">
        <v>44622.0</v>
      </c>
      <c r="B807" s="710">
        <v>328970.0</v>
      </c>
      <c r="C807" s="710" t="s">
        <v>2376</v>
      </c>
      <c r="D807" s="745" t="s">
        <v>5903</v>
      </c>
      <c r="E807" s="772">
        <v>106000.0</v>
      </c>
      <c r="F807" s="783" t="s">
        <v>2910</v>
      </c>
      <c r="G807" s="734" t="s">
        <v>18</v>
      </c>
      <c r="H807" s="745" t="s">
        <v>145</v>
      </c>
      <c r="I807" s="745" t="s">
        <v>171</v>
      </c>
      <c r="J807" s="778">
        <v>44277.0</v>
      </c>
      <c r="K807" s="816" t="s">
        <v>3647</v>
      </c>
      <c r="L807" s="754"/>
      <c r="M807" s="754"/>
      <c r="N807" s="754"/>
      <c r="O807" s="754"/>
      <c r="P807" s="754"/>
      <c r="Q807" s="754"/>
      <c r="R807" s="754"/>
      <c r="S807" s="754"/>
      <c r="T807" s="754"/>
      <c r="U807" s="754"/>
      <c r="V807" s="754"/>
      <c r="W807" s="754"/>
      <c r="X807" s="754"/>
      <c r="Y807" s="754"/>
      <c r="Z807" s="754"/>
      <c r="AA807" s="754"/>
      <c r="AB807" s="754"/>
      <c r="AC807" s="754"/>
      <c r="AD807" s="754"/>
      <c r="AE807" s="754"/>
      <c r="AF807" s="754"/>
      <c r="AG807" s="754"/>
      <c r="AH807" s="754"/>
      <c r="AI807" s="754"/>
      <c r="AJ807" s="754"/>
      <c r="AK807" s="754"/>
      <c r="AL807" s="754"/>
      <c r="AM807" s="754"/>
      <c r="AN807" s="754"/>
      <c r="AO807" s="754"/>
      <c r="AP807" s="754"/>
      <c r="AQ807" s="754"/>
      <c r="AR807" s="754"/>
      <c r="AS807" s="754"/>
      <c r="AT807" s="754"/>
      <c r="AU807" s="754"/>
    </row>
    <row r="808" ht="15.75" customHeight="1">
      <c r="A808" s="755">
        <v>44622.0</v>
      </c>
      <c r="B808" s="756" t="s">
        <v>3093</v>
      </c>
      <c r="C808" s="710" t="s">
        <v>2376</v>
      </c>
      <c r="D808" s="745" t="s">
        <v>5903</v>
      </c>
      <c r="E808" s="772">
        <v>100000.0</v>
      </c>
      <c r="F808" s="745" t="s">
        <v>6071</v>
      </c>
      <c r="G808" s="734" t="s">
        <v>18</v>
      </c>
      <c r="H808" s="745" t="s">
        <v>145</v>
      </c>
      <c r="I808" s="745" t="s">
        <v>171</v>
      </c>
      <c r="J808" s="755">
        <v>44448.0</v>
      </c>
      <c r="K808" s="745" t="s">
        <v>3647</v>
      </c>
      <c r="L808" s="754"/>
      <c r="M808" s="754"/>
      <c r="N808" s="754"/>
      <c r="O808" s="754"/>
      <c r="P808" s="754"/>
      <c r="Q808" s="754"/>
      <c r="R808" s="754"/>
      <c r="S808" s="754"/>
      <c r="T808" s="754"/>
      <c r="U808" s="754"/>
      <c r="V808" s="754"/>
      <c r="W808" s="754"/>
      <c r="X808" s="754"/>
      <c r="Y808" s="754"/>
      <c r="Z808" s="754"/>
      <c r="AA808" s="754"/>
      <c r="AB808" s="754"/>
      <c r="AC808" s="754"/>
      <c r="AD808" s="754"/>
      <c r="AE808" s="754"/>
      <c r="AF808" s="754"/>
      <c r="AG808" s="754"/>
      <c r="AH808" s="754"/>
      <c r="AI808" s="754"/>
      <c r="AJ808" s="754"/>
      <c r="AK808" s="754"/>
      <c r="AL808" s="754"/>
      <c r="AM808" s="754"/>
      <c r="AN808" s="754"/>
      <c r="AO808" s="754"/>
      <c r="AP808" s="754"/>
      <c r="AQ808" s="754"/>
      <c r="AR808" s="754"/>
      <c r="AS808" s="754"/>
      <c r="AT808" s="754"/>
      <c r="AU808" s="754"/>
    </row>
    <row r="809" ht="15.75" customHeight="1">
      <c r="A809" s="755">
        <v>44622.0</v>
      </c>
      <c r="B809" s="710">
        <v>330028.0</v>
      </c>
      <c r="C809" s="710" t="s">
        <v>2376</v>
      </c>
      <c r="D809" s="745" t="s">
        <v>5903</v>
      </c>
      <c r="E809" s="757">
        <v>500.0</v>
      </c>
      <c r="F809" s="745" t="s">
        <v>319</v>
      </c>
      <c r="G809" s="734" t="s">
        <v>18</v>
      </c>
      <c r="H809" s="745" t="s">
        <v>145</v>
      </c>
      <c r="I809" s="745" t="s">
        <v>146</v>
      </c>
      <c r="J809" s="755">
        <v>44263.0</v>
      </c>
      <c r="K809" s="745" t="s">
        <v>3651</v>
      </c>
      <c r="L809" s="754"/>
      <c r="M809" s="754"/>
      <c r="N809" s="754"/>
      <c r="O809" s="754"/>
      <c r="P809" s="754"/>
      <c r="Q809" s="754"/>
      <c r="R809" s="754"/>
      <c r="S809" s="754"/>
      <c r="T809" s="754"/>
      <c r="U809" s="754"/>
      <c r="V809" s="754"/>
      <c r="W809" s="754"/>
      <c r="X809" s="754"/>
      <c r="Y809" s="754"/>
      <c r="Z809" s="754"/>
      <c r="AA809" s="754"/>
      <c r="AB809" s="754"/>
      <c r="AC809" s="754"/>
      <c r="AD809" s="754"/>
      <c r="AE809" s="754"/>
      <c r="AF809" s="754"/>
      <c r="AG809" s="754"/>
      <c r="AH809" s="754"/>
      <c r="AI809" s="754"/>
      <c r="AJ809" s="754"/>
      <c r="AK809" s="754"/>
      <c r="AL809" s="754"/>
      <c r="AM809" s="754"/>
      <c r="AN809" s="754"/>
      <c r="AO809" s="754"/>
      <c r="AP809" s="754"/>
      <c r="AQ809" s="754"/>
      <c r="AR809" s="754"/>
      <c r="AS809" s="754"/>
      <c r="AT809" s="754"/>
      <c r="AU809" s="754"/>
    </row>
    <row r="810" ht="15.75" customHeight="1">
      <c r="A810" s="755">
        <v>44627.0</v>
      </c>
      <c r="B810" s="807" t="s">
        <v>5929</v>
      </c>
      <c r="C810" s="745" t="s">
        <v>3642</v>
      </c>
      <c r="D810" s="745" t="s">
        <v>5903</v>
      </c>
      <c r="E810" s="772">
        <v>8000.0</v>
      </c>
      <c r="F810" s="745" t="s">
        <v>3706</v>
      </c>
      <c r="G810" s="745" t="s">
        <v>2379</v>
      </c>
      <c r="H810" s="745" t="s">
        <v>2430</v>
      </c>
      <c r="I810" s="745" t="s">
        <v>2379</v>
      </c>
      <c r="J810" s="755">
        <v>44180.0</v>
      </c>
      <c r="K810" s="745" t="s">
        <v>3651</v>
      </c>
      <c r="L810" s="754"/>
      <c r="M810" s="754"/>
      <c r="N810" s="754"/>
      <c r="O810" s="754"/>
      <c r="P810" s="754"/>
      <c r="Q810" s="754"/>
      <c r="R810" s="754"/>
      <c r="S810" s="754"/>
      <c r="T810" s="754"/>
      <c r="U810" s="754"/>
      <c r="V810" s="754"/>
      <c r="W810" s="754"/>
      <c r="X810" s="754"/>
      <c r="Y810" s="754"/>
      <c r="Z810" s="754"/>
      <c r="AA810" s="754"/>
      <c r="AB810" s="754"/>
      <c r="AC810" s="754"/>
      <c r="AD810" s="754"/>
      <c r="AE810" s="754"/>
      <c r="AF810" s="754"/>
      <c r="AG810" s="754"/>
      <c r="AH810" s="754"/>
      <c r="AI810" s="754"/>
      <c r="AJ810" s="754"/>
      <c r="AK810" s="754"/>
      <c r="AL810" s="754"/>
      <c r="AM810" s="754"/>
      <c r="AN810" s="754"/>
      <c r="AO810" s="754"/>
      <c r="AP810" s="754"/>
      <c r="AQ810" s="754"/>
      <c r="AR810" s="754"/>
      <c r="AS810" s="754"/>
      <c r="AT810" s="754"/>
      <c r="AU810" s="754"/>
    </row>
    <row r="811" ht="15.75" customHeight="1">
      <c r="A811" s="755">
        <v>44627.0</v>
      </c>
      <c r="B811" s="710">
        <v>4345500.0</v>
      </c>
      <c r="C811" s="710" t="s">
        <v>2376</v>
      </c>
      <c r="D811" s="745" t="s">
        <v>5903</v>
      </c>
      <c r="E811" s="772">
        <v>7500.0</v>
      </c>
      <c r="F811" s="745" t="s">
        <v>2810</v>
      </c>
      <c r="G811" s="745" t="s">
        <v>2379</v>
      </c>
      <c r="H811" s="755"/>
      <c r="I811" s="745" t="s">
        <v>2379</v>
      </c>
      <c r="J811" s="755">
        <v>43703.0</v>
      </c>
      <c r="K811" s="745" t="s">
        <v>4033</v>
      </c>
      <c r="L811" s="754"/>
      <c r="M811" s="754"/>
      <c r="N811" s="754"/>
      <c r="O811" s="754"/>
      <c r="P811" s="754"/>
      <c r="Q811" s="754"/>
      <c r="R811" s="754"/>
      <c r="S811" s="754"/>
      <c r="T811" s="754"/>
      <c r="U811" s="754"/>
      <c r="V811" s="754"/>
      <c r="W811" s="754"/>
      <c r="X811" s="754"/>
      <c r="Y811" s="754"/>
      <c r="Z811" s="754"/>
      <c r="AA811" s="754"/>
      <c r="AB811" s="754"/>
      <c r="AC811" s="754"/>
      <c r="AD811" s="754"/>
      <c r="AE811" s="754"/>
      <c r="AF811" s="754"/>
      <c r="AG811" s="754"/>
      <c r="AH811" s="754"/>
      <c r="AI811" s="754"/>
      <c r="AJ811" s="754"/>
      <c r="AK811" s="754"/>
      <c r="AL811" s="754"/>
      <c r="AM811" s="754"/>
      <c r="AN811" s="754"/>
      <c r="AO811" s="754"/>
      <c r="AP811" s="754"/>
      <c r="AQ811" s="754"/>
      <c r="AR811" s="754"/>
      <c r="AS811" s="754"/>
      <c r="AT811" s="754"/>
      <c r="AU811" s="754"/>
    </row>
    <row r="812" ht="15.75" customHeight="1">
      <c r="A812" s="784">
        <v>44628.0</v>
      </c>
      <c r="B812" s="785" t="s">
        <v>5925</v>
      </c>
      <c r="C812" s="786" t="s">
        <v>3642</v>
      </c>
      <c r="D812" s="787" t="s">
        <v>5903</v>
      </c>
      <c r="E812" s="788">
        <v>5000.0</v>
      </c>
      <c r="F812" s="787" t="s">
        <v>4215</v>
      </c>
      <c r="G812" s="787" t="s">
        <v>86</v>
      </c>
      <c r="H812" s="787" t="s">
        <v>29</v>
      </c>
      <c r="I812" s="787" t="s">
        <v>3711</v>
      </c>
      <c r="J812" s="789">
        <v>44263.0</v>
      </c>
      <c r="K812" s="786" t="s">
        <v>3651</v>
      </c>
      <c r="L812" s="754"/>
      <c r="M812" s="754"/>
      <c r="N812" s="754"/>
      <c r="O812" s="754"/>
      <c r="P812" s="754"/>
      <c r="Q812" s="754"/>
      <c r="R812" s="754"/>
      <c r="S812" s="754"/>
      <c r="T812" s="754"/>
      <c r="U812" s="754"/>
      <c r="V812" s="754"/>
      <c r="W812" s="754"/>
      <c r="X812" s="754"/>
      <c r="Y812" s="754"/>
      <c r="Z812" s="754"/>
      <c r="AA812" s="754"/>
      <c r="AB812" s="754"/>
      <c r="AC812" s="754"/>
      <c r="AD812" s="754"/>
      <c r="AE812" s="754"/>
      <c r="AF812" s="754"/>
      <c r="AG812" s="754"/>
      <c r="AH812" s="754"/>
      <c r="AI812" s="754"/>
      <c r="AJ812" s="754"/>
      <c r="AK812" s="754"/>
      <c r="AL812" s="754"/>
      <c r="AM812" s="754"/>
      <c r="AN812" s="754"/>
      <c r="AO812" s="754"/>
      <c r="AP812" s="754"/>
      <c r="AQ812" s="754"/>
      <c r="AR812" s="754"/>
      <c r="AS812" s="754"/>
      <c r="AT812" s="754"/>
      <c r="AU812" s="754"/>
    </row>
    <row r="813" ht="15.75" customHeight="1">
      <c r="A813" s="755">
        <v>44630.0</v>
      </c>
      <c r="B813" s="756" t="s">
        <v>2841</v>
      </c>
      <c r="C813" s="710" t="s">
        <v>2376</v>
      </c>
      <c r="D813" s="745" t="s">
        <v>5903</v>
      </c>
      <c r="E813" s="772">
        <v>40000.0</v>
      </c>
      <c r="F813" s="745" t="s">
        <v>1064</v>
      </c>
      <c r="G813" s="745" t="s">
        <v>18</v>
      </c>
      <c r="H813" s="745" t="s">
        <v>145</v>
      </c>
      <c r="I813" s="745" t="s">
        <v>146</v>
      </c>
      <c r="J813" s="755">
        <v>44319.0</v>
      </c>
      <c r="K813" s="745" t="s">
        <v>3651</v>
      </c>
      <c r="L813" s="754"/>
      <c r="M813" s="754"/>
      <c r="N813" s="754"/>
      <c r="O813" s="754"/>
      <c r="P813" s="754"/>
      <c r="Q813" s="754"/>
      <c r="R813" s="754"/>
      <c r="S813" s="754"/>
      <c r="T813" s="754"/>
      <c r="U813" s="754"/>
      <c r="V813" s="754"/>
      <c r="W813" s="754"/>
      <c r="X813" s="754"/>
      <c r="Y813" s="754"/>
      <c r="Z813" s="754"/>
      <c r="AA813" s="754"/>
      <c r="AB813" s="754"/>
      <c r="AC813" s="754"/>
      <c r="AD813" s="754"/>
      <c r="AE813" s="754"/>
      <c r="AF813" s="754"/>
      <c r="AG813" s="754"/>
      <c r="AH813" s="754"/>
      <c r="AI813" s="754"/>
      <c r="AJ813" s="754"/>
      <c r="AK813" s="754"/>
      <c r="AL813" s="754"/>
      <c r="AM813" s="754"/>
      <c r="AN813" s="754"/>
      <c r="AO813" s="754"/>
      <c r="AP813" s="754"/>
      <c r="AQ813" s="754"/>
      <c r="AR813" s="754"/>
      <c r="AS813" s="754"/>
      <c r="AT813" s="754"/>
      <c r="AU813" s="754"/>
    </row>
    <row r="814" ht="15.75" customHeight="1">
      <c r="A814" s="755">
        <v>44630.0</v>
      </c>
      <c r="B814" s="756" t="s">
        <v>6072</v>
      </c>
      <c r="C814" s="710" t="s">
        <v>2376</v>
      </c>
      <c r="D814" s="745" t="s">
        <v>5903</v>
      </c>
      <c r="E814" s="772">
        <v>25000.0</v>
      </c>
      <c r="F814" s="745" t="s">
        <v>3332</v>
      </c>
      <c r="G814" s="745" t="s">
        <v>18</v>
      </c>
      <c r="H814" s="745" t="s">
        <v>145</v>
      </c>
      <c r="I814" s="745" t="s">
        <v>146</v>
      </c>
      <c r="J814" s="755">
        <v>44585.0</v>
      </c>
      <c r="K814" s="745" t="s">
        <v>3657</v>
      </c>
      <c r="L814" s="754"/>
      <c r="M814" s="754"/>
      <c r="N814" s="754"/>
      <c r="O814" s="754"/>
      <c r="P814" s="754"/>
      <c r="Q814" s="754"/>
      <c r="R814" s="754"/>
      <c r="S814" s="754"/>
      <c r="T814" s="754"/>
      <c r="U814" s="754"/>
      <c r="V814" s="754"/>
      <c r="W814" s="754"/>
      <c r="X814" s="754"/>
      <c r="Y814" s="754"/>
      <c r="Z814" s="754"/>
      <c r="AA814" s="754"/>
      <c r="AB814" s="754"/>
      <c r="AC814" s="754"/>
      <c r="AD814" s="754"/>
      <c r="AE814" s="754"/>
      <c r="AF814" s="754"/>
      <c r="AG814" s="754"/>
      <c r="AH814" s="754"/>
      <c r="AI814" s="754"/>
      <c r="AJ814" s="754"/>
      <c r="AK814" s="754"/>
      <c r="AL814" s="754"/>
      <c r="AM814" s="754"/>
      <c r="AN814" s="754"/>
      <c r="AO814" s="754"/>
      <c r="AP814" s="754"/>
      <c r="AQ814" s="754"/>
      <c r="AR814" s="754"/>
      <c r="AS814" s="754"/>
      <c r="AT814" s="754"/>
      <c r="AU814" s="754"/>
    </row>
    <row r="815" ht="15.75" customHeight="1">
      <c r="A815" s="755">
        <v>44630.0</v>
      </c>
      <c r="B815" s="756" t="s">
        <v>6073</v>
      </c>
      <c r="C815" s="710" t="s">
        <v>2376</v>
      </c>
      <c r="D815" s="745" t="s">
        <v>5903</v>
      </c>
      <c r="E815" s="757">
        <v>16000.0</v>
      </c>
      <c r="F815" s="745" t="s">
        <v>1961</v>
      </c>
      <c r="G815" s="745" t="s">
        <v>18</v>
      </c>
      <c r="H815" s="745" t="s">
        <v>145</v>
      </c>
      <c r="I815" s="825" t="s">
        <v>171</v>
      </c>
      <c r="J815" s="755">
        <v>44462.0</v>
      </c>
      <c r="K815" s="745" t="s">
        <v>3664</v>
      </c>
      <c r="L815" s="754"/>
      <c r="M815" s="754"/>
      <c r="N815" s="754"/>
      <c r="O815" s="754"/>
      <c r="P815" s="754"/>
      <c r="Q815" s="754"/>
      <c r="R815" s="754"/>
      <c r="S815" s="754"/>
      <c r="T815" s="754"/>
      <c r="U815" s="754"/>
      <c r="V815" s="754"/>
      <c r="W815" s="754"/>
      <c r="X815" s="754"/>
      <c r="Y815" s="754"/>
      <c r="Z815" s="754"/>
      <c r="AA815" s="754"/>
      <c r="AB815" s="754"/>
      <c r="AC815" s="754"/>
      <c r="AD815" s="754"/>
      <c r="AE815" s="754"/>
      <c r="AF815" s="754"/>
      <c r="AG815" s="754"/>
      <c r="AH815" s="754"/>
      <c r="AI815" s="754"/>
      <c r="AJ815" s="754"/>
      <c r="AK815" s="754"/>
      <c r="AL815" s="754"/>
      <c r="AM815" s="754"/>
      <c r="AN815" s="754"/>
      <c r="AO815" s="754"/>
      <c r="AP815" s="754"/>
      <c r="AQ815" s="754"/>
      <c r="AR815" s="754"/>
      <c r="AS815" s="754"/>
      <c r="AT815" s="754"/>
      <c r="AU815" s="754"/>
    </row>
    <row r="816" ht="15.75" customHeight="1">
      <c r="A816" s="755">
        <v>44630.0</v>
      </c>
      <c r="B816" s="710">
        <v>391760.0</v>
      </c>
      <c r="C816" s="710" t="s">
        <v>2376</v>
      </c>
      <c r="D816" s="745" t="s">
        <v>5902</v>
      </c>
      <c r="E816" s="757">
        <v>31234.0</v>
      </c>
      <c r="F816" s="710" t="s">
        <v>3247</v>
      </c>
      <c r="G816" s="734" t="s">
        <v>2379</v>
      </c>
      <c r="H816" s="734" t="s">
        <v>29</v>
      </c>
      <c r="I816" s="745" t="s">
        <v>2392</v>
      </c>
      <c r="J816" s="755">
        <v>43865.0</v>
      </c>
      <c r="K816" s="745" t="s">
        <v>3651</v>
      </c>
      <c r="L816" s="754"/>
      <c r="M816" s="754"/>
      <c r="N816" s="754"/>
      <c r="O816" s="754"/>
      <c r="P816" s="754"/>
      <c r="Q816" s="754"/>
      <c r="R816" s="754"/>
      <c r="S816" s="754"/>
      <c r="T816" s="754"/>
      <c r="U816" s="754"/>
      <c r="V816" s="754"/>
      <c r="W816" s="754"/>
      <c r="X816" s="754"/>
      <c r="Y816" s="754"/>
      <c r="Z816" s="754"/>
      <c r="AA816" s="754"/>
      <c r="AB816" s="754"/>
      <c r="AC816" s="754"/>
      <c r="AD816" s="754"/>
      <c r="AE816" s="754"/>
      <c r="AF816" s="754"/>
      <c r="AG816" s="754"/>
      <c r="AH816" s="754"/>
      <c r="AI816" s="754"/>
      <c r="AJ816" s="754"/>
      <c r="AK816" s="754"/>
      <c r="AL816" s="754"/>
      <c r="AM816" s="754"/>
      <c r="AN816" s="754"/>
      <c r="AO816" s="754"/>
      <c r="AP816" s="754"/>
      <c r="AQ816" s="754"/>
      <c r="AR816" s="754"/>
      <c r="AS816" s="754"/>
      <c r="AT816" s="754"/>
      <c r="AU816" s="754"/>
    </row>
    <row r="817" ht="15.75" customHeight="1">
      <c r="A817" s="755">
        <v>44630.0</v>
      </c>
      <c r="B817" s="756" t="s">
        <v>2630</v>
      </c>
      <c r="C817" s="710" t="s">
        <v>2376</v>
      </c>
      <c r="D817" s="745" t="s">
        <v>5903</v>
      </c>
      <c r="E817" s="757">
        <v>10000.0</v>
      </c>
      <c r="F817" s="745" t="s">
        <v>582</v>
      </c>
      <c r="G817" s="745" t="s">
        <v>18</v>
      </c>
      <c r="H817" s="745" t="s">
        <v>145</v>
      </c>
      <c r="I817" s="745" t="s">
        <v>146</v>
      </c>
      <c r="J817" s="755">
        <v>44607.0</v>
      </c>
      <c r="K817" s="745" t="s">
        <v>3657</v>
      </c>
      <c r="L817" s="754"/>
      <c r="M817" s="754"/>
      <c r="N817" s="754"/>
      <c r="O817" s="754"/>
      <c r="P817" s="754"/>
      <c r="Q817" s="754"/>
      <c r="R817" s="754"/>
      <c r="S817" s="754"/>
      <c r="T817" s="754"/>
      <c r="U817" s="754"/>
      <c r="V817" s="754"/>
      <c r="W817" s="754"/>
      <c r="X817" s="754"/>
      <c r="Y817" s="754"/>
      <c r="Z817" s="754"/>
      <c r="AA817" s="754"/>
      <c r="AB817" s="754"/>
      <c r="AC817" s="754"/>
      <c r="AD817" s="754"/>
      <c r="AE817" s="754"/>
      <c r="AF817" s="754"/>
      <c r="AG817" s="754"/>
      <c r="AH817" s="754"/>
      <c r="AI817" s="754"/>
      <c r="AJ817" s="754"/>
      <c r="AK817" s="754"/>
      <c r="AL817" s="754"/>
      <c r="AM817" s="754"/>
      <c r="AN817" s="754"/>
      <c r="AO817" s="754"/>
      <c r="AP817" s="754"/>
      <c r="AQ817" s="754"/>
      <c r="AR817" s="754"/>
      <c r="AS817" s="754"/>
      <c r="AT817" s="754"/>
      <c r="AU817" s="754"/>
    </row>
    <row r="818" ht="15.75" customHeight="1">
      <c r="A818" s="755">
        <v>44630.0</v>
      </c>
      <c r="B818" s="756" t="s">
        <v>3075</v>
      </c>
      <c r="C818" s="710" t="s">
        <v>2376</v>
      </c>
      <c r="D818" s="745" t="s">
        <v>5903</v>
      </c>
      <c r="E818" s="757">
        <v>20000.0</v>
      </c>
      <c r="F818" s="745" t="s">
        <v>6074</v>
      </c>
      <c r="G818" s="745" t="s">
        <v>2379</v>
      </c>
      <c r="H818" s="745" t="s">
        <v>29</v>
      </c>
      <c r="I818" s="745" t="s">
        <v>2380</v>
      </c>
      <c r="J818" s="755">
        <v>43811.0</v>
      </c>
      <c r="K818" s="745" t="s">
        <v>3660</v>
      </c>
      <c r="L818" s="754"/>
      <c r="M818" s="754"/>
      <c r="N818" s="754"/>
      <c r="O818" s="754"/>
      <c r="P818" s="754"/>
      <c r="Q818" s="754"/>
      <c r="R818" s="754"/>
      <c r="S818" s="754"/>
      <c r="T818" s="754"/>
      <c r="U818" s="754"/>
      <c r="V818" s="754"/>
      <c r="W818" s="754"/>
      <c r="X818" s="754"/>
      <c r="Y818" s="754"/>
      <c r="Z818" s="754"/>
      <c r="AA818" s="754"/>
      <c r="AB818" s="754"/>
      <c r="AC818" s="754"/>
      <c r="AD818" s="754"/>
      <c r="AE818" s="754"/>
      <c r="AF818" s="754"/>
      <c r="AG818" s="754"/>
      <c r="AH818" s="754"/>
      <c r="AI818" s="754"/>
      <c r="AJ818" s="754"/>
      <c r="AK818" s="754"/>
      <c r="AL818" s="754"/>
      <c r="AM818" s="754"/>
      <c r="AN818" s="754"/>
      <c r="AO818" s="754"/>
      <c r="AP818" s="754"/>
      <c r="AQ818" s="754"/>
      <c r="AR818" s="754"/>
      <c r="AS818" s="754"/>
      <c r="AT818" s="754"/>
      <c r="AU818" s="754"/>
    </row>
    <row r="819" ht="15.75" customHeight="1">
      <c r="A819" s="755">
        <v>44634.0</v>
      </c>
      <c r="B819" s="773" t="s">
        <v>6075</v>
      </c>
      <c r="C819" s="745" t="s">
        <v>3642</v>
      </c>
      <c r="D819" s="745" t="s">
        <v>5903</v>
      </c>
      <c r="E819" s="757">
        <v>73500.0</v>
      </c>
      <c r="F819" s="745" t="s">
        <v>3691</v>
      </c>
      <c r="G819" s="734" t="s">
        <v>18</v>
      </c>
      <c r="H819" s="745" t="s">
        <v>19</v>
      </c>
      <c r="I819" s="745" t="s">
        <v>20</v>
      </c>
      <c r="J819" s="755">
        <v>44609.0</v>
      </c>
      <c r="K819" s="816" t="s">
        <v>3660</v>
      </c>
      <c r="L819" s="754"/>
      <c r="M819" s="754"/>
      <c r="N819" s="754"/>
      <c r="O819" s="754"/>
      <c r="P819" s="754"/>
      <c r="Q819" s="754"/>
      <c r="R819" s="754"/>
      <c r="S819" s="754"/>
      <c r="T819" s="754"/>
      <c r="U819" s="754"/>
      <c r="V819" s="754"/>
      <c r="W819" s="754"/>
      <c r="X819" s="754"/>
      <c r="Y819" s="754"/>
      <c r="Z819" s="754"/>
      <c r="AA819" s="754"/>
      <c r="AB819" s="754"/>
      <c r="AC819" s="754"/>
      <c r="AD819" s="754"/>
      <c r="AE819" s="754"/>
      <c r="AF819" s="754"/>
      <c r="AG819" s="754"/>
      <c r="AH819" s="754"/>
      <c r="AI819" s="754"/>
      <c r="AJ819" s="754"/>
      <c r="AK819" s="754"/>
      <c r="AL819" s="754"/>
      <c r="AM819" s="754"/>
      <c r="AN819" s="754"/>
      <c r="AO819" s="754"/>
      <c r="AP819" s="754"/>
      <c r="AQ819" s="754"/>
      <c r="AR819" s="754"/>
      <c r="AS819" s="754"/>
      <c r="AT819" s="754"/>
      <c r="AU819" s="754"/>
    </row>
    <row r="820" ht="15.75" customHeight="1">
      <c r="A820" s="755">
        <v>44634.0</v>
      </c>
      <c r="B820" s="756" t="s">
        <v>2441</v>
      </c>
      <c r="C820" s="710" t="s">
        <v>2376</v>
      </c>
      <c r="D820" s="745" t="s">
        <v>5902</v>
      </c>
      <c r="E820" s="757">
        <v>229216.0</v>
      </c>
      <c r="F820" s="745" t="s">
        <v>2440</v>
      </c>
      <c r="G820" s="745" t="s">
        <v>2379</v>
      </c>
      <c r="H820" s="745" t="s">
        <v>29</v>
      </c>
      <c r="I820" s="745" t="s">
        <v>2392</v>
      </c>
      <c r="J820" s="755">
        <v>44186.0</v>
      </c>
      <c r="K820" s="745" t="s">
        <v>3651</v>
      </c>
      <c r="L820" s="754"/>
      <c r="M820" s="754"/>
      <c r="N820" s="754"/>
      <c r="O820" s="754"/>
      <c r="P820" s="754"/>
      <c r="Q820" s="754"/>
      <c r="R820" s="754"/>
      <c r="S820" s="754"/>
      <c r="T820" s="754"/>
      <c r="U820" s="754"/>
      <c r="V820" s="754"/>
      <c r="W820" s="754"/>
      <c r="X820" s="754"/>
      <c r="Y820" s="754"/>
      <c r="Z820" s="754"/>
      <c r="AA820" s="754"/>
      <c r="AB820" s="754"/>
      <c r="AC820" s="754"/>
      <c r="AD820" s="754"/>
      <c r="AE820" s="754"/>
      <c r="AF820" s="754"/>
      <c r="AG820" s="754"/>
      <c r="AH820" s="754"/>
      <c r="AI820" s="754"/>
      <c r="AJ820" s="754"/>
      <c r="AK820" s="754"/>
      <c r="AL820" s="754"/>
      <c r="AM820" s="754"/>
      <c r="AN820" s="754"/>
      <c r="AO820" s="754"/>
      <c r="AP820" s="754"/>
      <c r="AQ820" s="754"/>
      <c r="AR820" s="754"/>
      <c r="AS820" s="754"/>
      <c r="AT820" s="754"/>
      <c r="AU820" s="754"/>
    </row>
    <row r="821" ht="15.75" customHeight="1">
      <c r="A821" s="755">
        <v>44634.0</v>
      </c>
      <c r="B821" s="756" t="s">
        <v>3173</v>
      </c>
      <c r="C821" s="710" t="s">
        <v>2376</v>
      </c>
      <c r="D821" s="745" t="s">
        <v>2387</v>
      </c>
      <c r="E821" s="757">
        <v>184170.0</v>
      </c>
      <c r="F821" s="745" t="s">
        <v>3172</v>
      </c>
      <c r="G821" s="745" t="s">
        <v>18</v>
      </c>
      <c r="H821" s="745" t="s">
        <v>145</v>
      </c>
      <c r="I821" s="745" t="s">
        <v>146</v>
      </c>
      <c r="J821" s="755">
        <v>44280.0</v>
      </c>
      <c r="K821" s="745" t="s">
        <v>3647</v>
      </c>
      <c r="L821" s="754"/>
      <c r="M821" s="754"/>
      <c r="N821" s="754"/>
      <c r="O821" s="754"/>
      <c r="P821" s="754"/>
      <c r="Q821" s="754"/>
      <c r="R821" s="754"/>
      <c r="S821" s="754"/>
      <c r="T821" s="754"/>
      <c r="U821" s="754"/>
      <c r="V821" s="754"/>
      <c r="W821" s="754"/>
      <c r="X821" s="754"/>
      <c r="Y821" s="754"/>
      <c r="Z821" s="754"/>
      <c r="AA821" s="754"/>
      <c r="AB821" s="754"/>
      <c r="AC821" s="754"/>
      <c r="AD821" s="754"/>
      <c r="AE821" s="754"/>
      <c r="AF821" s="754"/>
      <c r="AG821" s="754"/>
      <c r="AH821" s="754"/>
      <c r="AI821" s="754"/>
      <c r="AJ821" s="754"/>
      <c r="AK821" s="754"/>
      <c r="AL821" s="754"/>
      <c r="AM821" s="754"/>
      <c r="AN821" s="754"/>
      <c r="AO821" s="754"/>
      <c r="AP821" s="754"/>
      <c r="AQ821" s="754"/>
      <c r="AR821" s="754"/>
      <c r="AS821" s="754"/>
      <c r="AT821" s="754"/>
      <c r="AU821" s="754"/>
    </row>
    <row r="822" ht="15.75" customHeight="1">
      <c r="A822" s="755">
        <v>44634.0</v>
      </c>
      <c r="B822" s="826">
        <v>4663340.0</v>
      </c>
      <c r="C822" s="710" t="s">
        <v>2376</v>
      </c>
      <c r="D822" s="745" t="s">
        <v>2387</v>
      </c>
      <c r="E822" s="757">
        <v>237755.0</v>
      </c>
      <c r="F822" s="827" t="s">
        <v>3169</v>
      </c>
      <c r="G822" s="745" t="s">
        <v>18</v>
      </c>
      <c r="H822" s="745" t="s">
        <v>145</v>
      </c>
      <c r="I822" s="745" t="s">
        <v>146</v>
      </c>
      <c r="J822" s="755">
        <v>44280.0</v>
      </c>
      <c r="K822" s="745" t="s">
        <v>3664</v>
      </c>
      <c r="L822" s="754"/>
      <c r="M822" s="754"/>
      <c r="N822" s="754"/>
      <c r="O822" s="754"/>
      <c r="P822" s="754"/>
      <c r="Q822" s="754"/>
      <c r="R822" s="754"/>
      <c r="S822" s="754"/>
      <c r="T822" s="754"/>
      <c r="U822" s="754"/>
      <c r="V822" s="754"/>
      <c r="W822" s="754"/>
      <c r="X822" s="754"/>
      <c r="Y822" s="754"/>
      <c r="Z822" s="754"/>
      <c r="AA822" s="754"/>
      <c r="AB822" s="754"/>
      <c r="AC822" s="754"/>
      <c r="AD822" s="754"/>
      <c r="AE822" s="754"/>
      <c r="AF822" s="754"/>
      <c r="AG822" s="754"/>
      <c r="AH822" s="754"/>
      <c r="AI822" s="754"/>
      <c r="AJ822" s="754"/>
      <c r="AK822" s="754"/>
      <c r="AL822" s="754"/>
      <c r="AM822" s="754"/>
      <c r="AN822" s="754"/>
      <c r="AO822" s="754"/>
      <c r="AP822" s="754"/>
      <c r="AQ822" s="754"/>
      <c r="AR822" s="754"/>
      <c r="AS822" s="754"/>
      <c r="AT822" s="754"/>
      <c r="AU822" s="754"/>
    </row>
    <row r="823" ht="15.75" customHeight="1">
      <c r="A823" s="755">
        <v>44634.0</v>
      </c>
      <c r="B823" s="756" t="s">
        <v>2922</v>
      </c>
      <c r="C823" s="710" t="s">
        <v>2376</v>
      </c>
      <c r="D823" s="745" t="s">
        <v>5903</v>
      </c>
      <c r="E823" s="757">
        <v>63000.0</v>
      </c>
      <c r="F823" s="827" t="s">
        <v>2921</v>
      </c>
      <c r="G823" s="745" t="s">
        <v>18</v>
      </c>
      <c r="H823" s="745" t="s">
        <v>145</v>
      </c>
      <c r="I823" s="745" t="s">
        <v>146</v>
      </c>
      <c r="J823" s="755">
        <v>44263.0</v>
      </c>
      <c r="K823" s="745" t="s">
        <v>3651</v>
      </c>
      <c r="L823" s="754"/>
      <c r="M823" s="754"/>
      <c r="N823" s="754"/>
      <c r="O823" s="754"/>
      <c r="P823" s="754"/>
      <c r="Q823" s="754"/>
      <c r="R823" s="754"/>
      <c r="S823" s="754"/>
      <c r="T823" s="754"/>
      <c r="U823" s="754"/>
      <c r="V823" s="754"/>
      <c r="W823" s="754"/>
      <c r="X823" s="754"/>
      <c r="Y823" s="754"/>
      <c r="Z823" s="754"/>
      <c r="AA823" s="754"/>
      <c r="AB823" s="754"/>
      <c r="AC823" s="754"/>
      <c r="AD823" s="754"/>
      <c r="AE823" s="754"/>
      <c r="AF823" s="754"/>
      <c r="AG823" s="754"/>
      <c r="AH823" s="754"/>
      <c r="AI823" s="754"/>
      <c r="AJ823" s="754"/>
      <c r="AK823" s="754"/>
      <c r="AL823" s="754"/>
      <c r="AM823" s="754"/>
      <c r="AN823" s="754"/>
      <c r="AO823" s="754"/>
      <c r="AP823" s="754"/>
      <c r="AQ823" s="754"/>
      <c r="AR823" s="754"/>
      <c r="AS823" s="754"/>
      <c r="AT823" s="754"/>
      <c r="AU823" s="754"/>
    </row>
    <row r="824" ht="15.75" customHeight="1">
      <c r="A824" s="755">
        <v>44634.0</v>
      </c>
      <c r="B824" s="756" t="s">
        <v>3043</v>
      </c>
      <c r="C824" s="710" t="s">
        <v>2376</v>
      </c>
      <c r="D824" s="745" t="s">
        <v>5903</v>
      </c>
      <c r="E824" s="757">
        <v>3000.0</v>
      </c>
      <c r="F824" s="745" t="s">
        <v>3042</v>
      </c>
      <c r="G824" s="745" t="s">
        <v>18</v>
      </c>
      <c r="H824" s="745" t="s">
        <v>145</v>
      </c>
      <c r="I824" s="745" t="s">
        <v>146</v>
      </c>
      <c r="J824" s="755">
        <v>44322.0</v>
      </c>
      <c r="K824" s="745" t="s">
        <v>3651</v>
      </c>
      <c r="L824" s="754"/>
      <c r="M824" s="754"/>
      <c r="N824" s="754"/>
      <c r="O824" s="754"/>
      <c r="P824" s="754"/>
      <c r="Q824" s="754"/>
      <c r="R824" s="754"/>
      <c r="S824" s="754"/>
      <c r="T824" s="754"/>
      <c r="U824" s="754"/>
      <c r="V824" s="754"/>
      <c r="W824" s="754"/>
      <c r="X824" s="754"/>
      <c r="Y824" s="754"/>
      <c r="Z824" s="754"/>
      <c r="AA824" s="754"/>
      <c r="AB824" s="754"/>
      <c r="AC824" s="754"/>
      <c r="AD824" s="754"/>
      <c r="AE824" s="754"/>
      <c r="AF824" s="754"/>
      <c r="AG824" s="754"/>
      <c r="AH824" s="754"/>
      <c r="AI824" s="754"/>
      <c r="AJ824" s="754"/>
      <c r="AK824" s="754"/>
      <c r="AL824" s="754"/>
      <c r="AM824" s="754"/>
      <c r="AN824" s="754"/>
      <c r="AO824" s="754"/>
      <c r="AP824" s="754"/>
      <c r="AQ824" s="754"/>
      <c r="AR824" s="754"/>
      <c r="AS824" s="754"/>
      <c r="AT824" s="754"/>
      <c r="AU824" s="754"/>
    </row>
    <row r="825" ht="15.75" customHeight="1">
      <c r="A825" s="755">
        <v>44634.0</v>
      </c>
      <c r="B825" s="756" t="s">
        <v>3093</v>
      </c>
      <c r="C825" s="710" t="s">
        <v>2376</v>
      </c>
      <c r="D825" s="745" t="s">
        <v>2387</v>
      </c>
      <c r="E825" s="757">
        <v>285598.0</v>
      </c>
      <c r="F825" s="710" t="s">
        <v>3092</v>
      </c>
      <c r="G825" s="745" t="s">
        <v>18</v>
      </c>
      <c r="H825" s="745" t="s">
        <v>145</v>
      </c>
      <c r="I825" s="745" t="s">
        <v>146</v>
      </c>
      <c r="J825" s="755">
        <v>44448.0</v>
      </c>
      <c r="K825" s="745" t="s">
        <v>3647</v>
      </c>
      <c r="L825" s="754"/>
      <c r="M825" s="754"/>
      <c r="N825" s="754"/>
      <c r="O825" s="754"/>
      <c r="P825" s="754"/>
      <c r="Q825" s="754"/>
      <c r="R825" s="754"/>
      <c r="S825" s="754"/>
      <c r="T825" s="754"/>
      <c r="U825" s="754"/>
      <c r="V825" s="754"/>
      <c r="W825" s="754"/>
      <c r="X825" s="754"/>
      <c r="Y825" s="754"/>
      <c r="Z825" s="754"/>
      <c r="AA825" s="754"/>
      <c r="AB825" s="754"/>
      <c r="AC825" s="754"/>
      <c r="AD825" s="754"/>
      <c r="AE825" s="754"/>
      <c r="AF825" s="754"/>
      <c r="AG825" s="754"/>
      <c r="AH825" s="754"/>
      <c r="AI825" s="754"/>
      <c r="AJ825" s="754"/>
      <c r="AK825" s="754"/>
      <c r="AL825" s="754"/>
      <c r="AM825" s="754"/>
      <c r="AN825" s="754"/>
      <c r="AO825" s="754"/>
      <c r="AP825" s="754"/>
      <c r="AQ825" s="754"/>
      <c r="AR825" s="754"/>
      <c r="AS825" s="754"/>
      <c r="AT825" s="754"/>
      <c r="AU825" s="754"/>
    </row>
    <row r="826" ht="15.75" customHeight="1">
      <c r="A826" s="755">
        <v>44634.0</v>
      </c>
      <c r="B826" s="756" t="s">
        <v>3075</v>
      </c>
      <c r="C826" s="710" t="s">
        <v>2376</v>
      </c>
      <c r="D826" s="745" t="s">
        <v>5903</v>
      </c>
      <c r="E826" s="757">
        <v>15000.0</v>
      </c>
      <c r="F826" s="745" t="s">
        <v>6074</v>
      </c>
      <c r="G826" s="745" t="s">
        <v>2379</v>
      </c>
      <c r="H826" s="745" t="s">
        <v>29</v>
      </c>
      <c r="I826" s="745" t="s">
        <v>2380</v>
      </c>
      <c r="J826" s="755">
        <v>43811.0</v>
      </c>
      <c r="K826" s="745" t="s">
        <v>3660</v>
      </c>
      <c r="L826" s="754"/>
      <c r="M826" s="754"/>
      <c r="N826" s="754"/>
      <c r="O826" s="754"/>
      <c r="P826" s="754"/>
      <c r="Q826" s="754"/>
      <c r="R826" s="754"/>
      <c r="S826" s="754"/>
      <c r="T826" s="754"/>
      <c r="U826" s="754"/>
      <c r="V826" s="754"/>
      <c r="W826" s="754"/>
      <c r="X826" s="754"/>
      <c r="Y826" s="754"/>
      <c r="Z826" s="754"/>
      <c r="AA826" s="754"/>
      <c r="AB826" s="754"/>
      <c r="AC826" s="754"/>
      <c r="AD826" s="754"/>
      <c r="AE826" s="754"/>
      <c r="AF826" s="754"/>
      <c r="AG826" s="754"/>
      <c r="AH826" s="754"/>
      <c r="AI826" s="754"/>
      <c r="AJ826" s="754"/>
      <c r="AK826" s="754"/>
      <c r="AL826" s="754"/>
      <c r="AM826" s="754"/>
      <c r="AN826" s="754"/>
      <c r="AO826" s="754"/>
      <c r="AP826" s="754"/>
      <c r="AQ826" s="754"/>
      <c r="AR826" s="754"/>
      <c r="AS826" s="754"/>
      <c r="AT826" s="754"/>
      <c r="AU826" s="754"/>
    </row>
    <row r="827" ht="15.75" customHeight="1">
      <c r="A827" s="768">
        <v>44634.0</v>
      </c>
      <c r="B827" s="800" t="s">
        <v>3301</v>
      </c>
      <c r="C827" s="770" t="s">
        <v>2376</v>
      </c>
      <c r="D827" s="745" t="s">
        <v>5902</v>
      </c>
      <c r="E827" s="771"/>
      <c r="F827" s="745" t="s">
        <v>3300</v>
      </c>
      <c r="G827" s="755" t="s">
        <v>18</v>
      </c>
      <c r="H827" s="755" t="s">
        <v>145</v>
      </c>
      <c r="I827" s="755" t="s">
        <v>2464</v>
      </c>
      <c r="J827" s="755">
        <v>44199.0</v>
      </c>
      <c r="K827" s="755" t="s">
        <v>3660</v>
      </c>
      <c r="L827" s="754"/>
      <c r="M827" s="754"/>
      <c r="N827" s="754"/>
      <c r="O827" s="754"/>
      <c r="P827" s="754"/>
      <c r="Q827" s="754"/>
      <c r="R827" s="754"/>
      <c r="S827" s="754"/>
      <c r="T827" s="754"/>
      <c r="U827" s="754"/>
      <c r="V827" s="754"/>
      <c r="W827" s="754"/>
      <c r="X827" s="754"/>
      <c r="Y827" s="754"/>
      <c r="Z827" s="754"/>
      <c r="AA827" s="754"/>
      <c r="AB827" s="754"/>
      <c r="AC827" s="754"/>
      <c r="AD827" s="754"/>
      <c r="AE827" s="754"/>
      <c r="AF827" s="754"/>
      <c r="AG827" s="754"/>
      <c r="AH827" s="754"/>
      <c r="AI827" s="754"/>
      <c r="AJ827" s="754"/>
      <c r="AK827" s="754"/>
      <c r="AL827" s="754"/>
      <c r="AM827" s="754"/>
      <c r="AN827" s="754"/>
      <c r="AO827" s="754"/>
      <c r="AP827" s="754"/>
      <c r="AQ827" s="754"/>
      <c r="AR827" s="754"/>
      <c r="AS827" s="754"/>
      <c r="AT827" s="754"/>
      <c r="AU827" s="754"/>
    </row>
    <row r="828" ht="15.75" customHeight="1">
      <c r="A828" s="755">
        <v>44636.0</v>
      </c>
      <c r="B828" s="756" t="s">
        <v>3267</v>
      </c>
      <c r="C828" s="710" t="s">
        <v>2376</v>
      </c>
      <c r="D828" s="745" t="s">
        <v>5903</v>
      </c>
      <c r="E828" s="757">
        <v>10000.0</v>
      </c>
      <c r="F828" s="710" t="s">
        <v>3266</v>
      </c>
      <c r="G828" s="745" t="s">
        <v>18</v>
      </c>
      <c r="H828" s="745" t="s">
        <v>145</v>
      </c>
      <c r="I828" s="745" t="s">
        <v>146</v>
      </c>
      <c r="J828" s="755">
        <v>44319.0</v>
      </c>
      <c r="K828" s="745" t="s">
        <v>3651</v>
      </c>
      <c r="L828" s="754"/>
      <c r="M828" s="754"/>
      <c r="N828" s="754"/>
      <c r="O828" s="754"/>
      <c r="P828" s="754"/>
      <c r="Q828" s="754"/>
      <c r="R828" s="754"/>
      <c r="S828" s="754"/>
      <c r="T828" s="754"/>
      <c r="U828" s="754"/>
      <c r="V828" s="754"/>
      <c r="W828" s="754"/>
      <c r="X828" s="754"/>
      <c r="Y828" s="754"/>
      <c r="Z828" s="754"/>
      <c r="AA828" s="754"/>
      <c r="AB828" s="754"/>
      <c r="AC828" s="754"/>
      <c r="AD828" s="754"/>
      <c r="AE828" s="754"/>
      <c r="AF828" s="754"/>
      <c r="AG828" s="754"/>
      <c r="AH828" s="754"/>
      <c r="AI828" s="754"/>
      <c r="AJ828" s="754"/>
      <c r="AK828" s="754"/>
      <c r="AL828" s="754"/>
      <c r="AM828" s="754"/>
      <c r="AN828" s="754"/>
      <c r="AO828" s="754"/>
      <c r="AP828" s="754"/>
      <c r="AQ828" s="754"/>
      <c r="AR828" s="754"/>
      <c r="AS828" s="754"/>
      <c r="AT828" s="754"/>
      <c r="AU828" s="754"/>
    </row>
    <row r="829" ht="15.75" customHeight="1">
      <c r="A829" s="755">
        <v>44636.0</v>
      </c>
      <c r="B829" s="756" t="s">
        <v>3075</v>
      </c>
      <c r="C829" s="710" t="s">
        <v>2376</v>
      </c>
      <c r="D829" s="745" t="s">
        <v>5903</v>
      </c>
      <c r="E829" s="757">
        <v>20000.0</v>
      </c>
      <c r="F829" s="745" t="s">
        <v>6074</v>
      </c>
      <c r="G829" s="745" t="s">
        <v>2379</v>
      </c>
      <c r="H829" s="745" t="s">
        <v>29</v>
      </c>
      <c r="I829" s="745" t="s">
        <v>2380</v>
      </c>
      <c r="J829" s="755">
        <v>43811.0</v>
      </c>
      <c r="K829" s="745" t="s">
        <v>3660</v>
      </c>
      <c r="L829" s="754"/>
      <c r="M829" s="754"/>
      <c r="N829" s="754"/>
      <c r="O829" s="754"/>
      <c r="P829" s="754"/>
      <c r="Q829" s="754"/>
      <c r="R829" s="754"/>
      <c r="S829" s="754"/>
      <c r="T829" s="754"/>
      <c r="U829" s="754"/>
      <c r="V829" s="754"/>
      <c r="W829" s="754"/>
      <c r="X829" s="754"/>
      <c r="Y829" s="754"/>
      <c r="Z829" s="754"/>
      <c r="AA829" s="754"/>
      <c r="AB829" s="754"/>
      <c r="AC829" s="754"/>
      <c r="AD829" s="754"/>
      <c r="AE829" s="754"/>
      <c r="AF829" s="754"/>
      <c r="AG829" s="754"/>
      <c r="AH829" s="754"/>
      <c r="AI829" s="754"/>
      <c r="AJ829" s="754"/>
      <c r="AK829" s="754"/>
      <c r="AL829" s="754"/>
      <c r="AM829" s="754"/>
      <c r="AN829" s="754"/>
      <c r="AO829" s="754"/>
      <c r="AP829" s="754"/>
      <c r="AQ829" s="754"/>
      <c r="AR829" s="754"/>
      <c r="AS829" s="754"/>
      <c r="AT829" s="754"/>
      <c r="AU829" s="754"/>
    </row>
    <row r="830" ht="15.75" customHeight="1">
      <c r="A830" s="755">
        <v>44636.0</v>
      </c>
      <c r="B830" s="756" t="s">
        <v>3090</v>
      </c>
      <c r="C830" s="710" t="s">
        <v>2376</v>
      </c>
      <c r="D830" s="745" t="s">
        <v>5903</v>
      </c>
      <c r="E830" s="757">
        <v>1000000.0</v>
      </c>
      <c r="F830" s="745" t="s">
        <v>3089</v>
      </c>
      <c r="G830" s="745" t="s">
        <v>18</v>
      </c>
      <c r="H830" s="745" t="s">
        <v>145</v>
      </c>
      <c r="I830" s="745" t="s">
        <v>146</v>
      </c>
      <c r="J830" s="755">
        <v>44321.0</v>
      </c>
      <c r="K830" s="745" t="s">
        <v>3657</v>
      </c>
      <c r="L830" s="754"/>
      <c r="M830" s="754"/>
      <c r="N830" s="754"/>
      <c r="O830" s="754"/>
      <c r="P830" s="754"/>
      <c r="Q830" s="754"/>
      <c r="R830" s="754"/>
      <c r="S830" s="754"/>
      <c r="T830" s="754"/>
      <c r="U830" s="754"/>
      <c r="V830" s="754"/>
      <c r="W830" s="754"/>
      <c r="X830" s="754"/>
      <c r="Y830" s="754"/>
      <c r="Z830" s="754"/>
      <c r="AA830" s="754"/>
      <c r="AB830" s="754"/>
      <c r="AC830" s="754"/>
      <c r="AD830" s="754"/>
      <c r="AE830" s="754"/>
      <c r="AF830" s="754"/>
      <c r="AG830" s="754"/>
      <c r="AH830" s="754"/>
      <c r="AI830" s="754"/>
      <c r="AJ830" s="754"/>
      <c r="AK830" s="754"/>
      <c r="AL830" s="754"/>
      <c r="AM830" s="754"/>
      <c r="AN830" s="754"/>
      <c r="AO830" s="754"/>
      <c r="AP830" s="754"/>
      <c r="AQ830" s="754"/>
      <c r="AR830" s="754"/>
      <c r="AS830" s="754"/>
      <c r="AT830" s="754"/>
      <c r="AU830" s="754"/>
    </row>
    <row r="831" ht="15.75" customHeight="1">
      <c r="A831" s="755">
        <v>44637.0</v>
      </c>
      <c r="B831" s="773" t="s">
        <v>6076</v>
      </c>
      <c r="C831" s="745" t="s">
        <v>3642</v>
      </c>
      <c r="D831" s="745" t="s">
        <v>5903</v>
      </c>
      <c r="E831" s="757">
        <v>7000.0</v>
      </c>
      <c r="F831" s="745" t="s">
        <v>4333</v>
      </c>
      <c r="G831" s="734" t="s">
        <v>18</v>
      </c>
      <c r="H831" s="745" t="s">
        <v>19</v>
      </c>
      <c r="I831" s="745" t="s">
        <v>20</v>
      </c>
      <c r="J831" s="755">
        <v>44615.0</v>
      </c>
      <c r="K831" s="816" t="s">
        <v>3651</v>
      </c>
      <c r="L831" s="754"/>
      <c r="M831" s="754"/>
      <c r="N831" s="754"/>
      <c r="O831" s="754"/>
      <c r="P831" s="754"/>
      <c r="Q831" s="754"/>
      <c r="R831" s="754"/>
      <c r="S831" s="754"/>
      <c r="T831" s="754"/>
      <c r="U831" s="754"/>
      <c r="V831" s="754"/>
      <c r="W831" s="754"/>
      <c r="X831" s="754"/>
      <c r="Y831" s="754"/>
      <c r="Z831" s="754"/>
      <c r="AA831" s="754"/>
      <c r="AB831" s="754"/>
      <c r="AC831" s="754"/>
      <c r="AD831" s="754"/>
      <c r="AE831" s="754"/>
      <c r="AF831" s="754"/>
      <c r="AG831" s="754"/>
      <c r="AH831" s="754"/>
      <c r="AI831" s="754"/>
      <c r="AJ831" s="754"/>
      <c r="AK831" s="754"/>
      <c r="AL831" s="754"/>
      <c r="AM831" s="754"/>
      <c r="AN831" s="754"/>
      <c r="AO831" s="754"/>
      <c r="AP831" s="754"/>
      <c r="AQ831" s="754"/>
      <c r="AR831" s="754"/>
      <c r="AS831" s="754"/>
      <c r="AT831" s="754"/>
      <c r="AU831" s="754"/>
    </row>
    <row r="832" ht="15.75" customHeight="1">
      <c r="A832" s="755">
        <v>44641.0</v>
      </c>
      <c r="B832" s="769" t="s">
        <v>6077</v>
      </c>
      <c r="C832" s="745" t="s">
        <v>3642</v>
      </c>
      <c r="D832" s="745" t="s">
        <v>2387</v>
      </c>
      <c r="E832" s="757">
        <v>100351.65</v>
      </c>
      <c r="F832" s="745" t="s">
        <v>4014</v>
      </c>
      <c r="G832" s="734" t="s">
        <v>18</v>
      </c>
      <c r="H832" s="825" t="s">
        <v>29</v>
      </c>
      <c r="I832" s="745" t="s">
        <v>6078</v>
      </c>
      <c r="J832" s="781">
        <v>44365.0</v>
      </c>
      <c r="K832" s="710" t="s">
        <v>3693</v>
      </c>
      <c r="L832" s="754"/>
      <c r="M832" s="754"/>
      <c r="N832" s="754"/>
      <c r="O832" s="754"/>
      <c r="P832" s="754"/>
      <c r="Q832" s="754"/>
      <c r="R832" s="754"/>
      <c r="S832" s="754"/>
      <c r="T832" s="754"/>
      <c r="U832" s="754"/>
      <c r="V832" s="754"/>
      <c r="W832" s="754"/>
      <c r="X832" s="754"/>
      <c r="Y832" s="754"/>
      <c r="Z832" s="754"/>
      <c r="AA832" s="754"/>
      <c r="AB832" s="754"/>
      <c r="AC832" s="754"/>
      <c r="AD832" s="754"/>
      <c r="AE832" s="754"/>
      <c r="AF832" s="754"/>
      <c r="AG832" s="754"/>
      <c r="AH832" s="754"/>
      <c r="AI832" s="754"/>
      <c r="AJ832" s="754"/>
      <c r="AK832" s="754"/>
      <c r="AL832" s="754"/>
      <c r="AM832" s="754"/>
      <c r="AN832" s="754"/>
      <c r="AO832" s="754"/>
      <c r="AP832" s="754"/>
      <c r="AQ832" s="754"/>
      <c r="AR832" s="754"/>
      <c r="AS832" s="754"/>
      <c r="AT832" s="754"/>
      <c r="AU832" s="754"/>
    </row>
    <row r="833" ht="15.75" customHeight="1">
      <c r="A833" s="755">
        <v>44641.0</v>
      </c>
      <c r="B833" s="769" t="s">
        <v>6079</v>
      </c>
      <c r="C833" s="745" t="s">
        <v>3642</v>
      </c>
      <c r="D833" s="745" t="s">
        <v>2387</v>
      </c>
      <c r="E833" s="757">
        <v>169950.33</v>
      </c>
      <c r="F833" s="710" t="s">
        <v>4989</v>
      </c>
      <c r="G833" s="734" t="s">
        <v>18</v>
      </c>
      <c r="H833" s="825" t="s">
        <v>465</v>
      </c>
      <c r="I833" s="825" t="s">
        <v>5823</v>
      </c>
      <c r="J833" s="781">
        <v>44298.0</v>
      </c>
      <c r="K833" s="783" t="s">
        <v>3651</v>
      </c>
      <c r="L833" s="754"/>
      <c r="M833" s="754"/>
      <c r="N833" s="754"/>
      <c r="O833" s="754"/>
      <c r="P833" s="754"/>
      <c r="Q833" s="754"/>
      <c r="R833" s="754"/>
      <c r="S833" s="754"/>
      <c r="T833" s="754"/>
      <c r="U833" s="754"/>
      <c r="V833" s="754"/>
      <c r="W833" s="754"/>
      <c r="X833" s="754"/>
      <c r="Y833" s="754"/>
      <c r="Z833" s="754"/>
      <c r="AA833" s="754"/>
      <c r="AB833" s="754"/>
      <c r="AC833" s="754"/>
      <c r="AD833" s="754"/>
      <c r="AE833" s="754"/>
      <c r="AF833" s="754"/>
      <c r="AG833" s="754"/>
      <c r="AH833" s="754"/>
      <c r="AI833" s="754"/>
      <c r="AJ833" s="754"/>
      <c r="AK833" s="754"/>
      <c r="AL833" s="754"/>
      <c r="AM833" s="754"/>
      <c r="AN833" s="754"/>
      <c r="AO833" s="754"/>
      <c r="AP833" s="754"/>
      <c r="AQ833" s="754"/>
      <c r="AR833" s="754"/>
      <c r="AS833" s="754"/>
      <c r="AT833" s="754"/>
      <c r="AU833" s="754"/>
    </row>
    <row r="834" ht="15.75" customHeight="1">
      <c r="A834" s="755">
        <v>44641.0</v>
      </c>
      <c r="B834" s="825">
        <v>226343.0</v>
      </c>
      <c r="C834" s="745" t="s">
        <v>3642</v>
      </c>
      <c r="D834" s="745" t="s">
        <v>2387</v>
      </c>
      <c r="E834" s="757">
        <v>103307.43</v>
      </c>
      <c r="F834" s="745" t="s">
        <v>5228</v>
      </c>
      <c r="G834" s="734" t="s">
        <v>18</v>
      </c>
      <c r="H834" s="745" t="s">
        <v>19</v>
      </c>
      <c r="I834" s="734" t="s">
        <v>3978</v>
      </c>
      <c r="J834" s="755">
        <v>44469.0</v>
      </c>
      <c r="K834" s="710" t="s">
        <v>3647</v>
      </c>
      <c r="L834" s="754"/>
      <c r="M834" s="754"/>
      <c r="N834" s="754"/>
      <c r="O834" s="754"/>
      <c r="P834" s="754"/>
      <c r="Q834" s="754"/>
      <c r="R834" s="754"/>
      <c r="S834" s="754"/>
      <c r="T834" s="754"/>
      <c r="U834" s="754"/>
      <c r="V834" s="754"/>
      <c r="W834" s="754"/>
      <c r="X834" s="754"/>
      <c r="Y834" s="754"/>
      <c r="Z834" s="754"/>
      <c r="AA834" s="754"/>
      <c r="AB834" s="754"/>
      <c r="AC834" s="754"/>
      <c r="AD834" s="754"/>
      <c r="AE834" s="754"/>
      <c r="AF834" s="754"/>
      <c r="AG834" s="754"/>
      <c r="AH834" s="754"/>
      <c r="AI834" s="754"/>
      <c r="AJ834" s="754"/>
      <c r="AK834" s="754"/>
      <c r="AL834" s="754"/>
      <c r="AM834" s="754"/>
      <c r="AN834" s="754"/>
      <c r="AO834" s="754"/>
      <c r="AP834" s="754"/>
      <c r="AQ834" s="754"/>
      <c r="AR834" s="754"/>
      <c r="AS834" s="754"/>
      <c r="AT834" s="754"/>
      <c r="AU834" s="754"/>
    </row>
    <row r="835" ht="15.75" customHeight="1">
      <c r="A835" s="755">
        <v>44641.0</v>
      </c>
      <c r="B835" s="816">
        <v>6986262.0</v>
      </c>
      <c r="C835" s="745" t="s">
        <v>3642</v>
      </c>
      <c r="D835" s="745" t="s">
        <v>5903</v>
      </c>
      <c r="E835" s="757">
        <v>25000.0</v>
      </c>
      <c r="F835" s="745" t="s">
        <v>4139</v>
      </c>
      <c r="G835" s="734" t="s">
        <v>18</v>
      </c>
      <c r="H835" s="745" t="s">
        <v>19</v>
      </c>
      <c r="I835" s="745" t="s">
        <v>3978</v>
      </c>
      <c r="J835" s="755">
        <v>44503.0</v>
      </c>
      <c r="K835" s="710" t="s">
        <v>3693</v>
      </c>
      <c r="L835" s="754"/>
      <c r="M835" s="754"/>
      <c r="N835" s="754"/>
      <c r="O835" s="754"/>
      <c r="P835" s="754"/>
      <c r="Q835" s="754"/>
      <c r="R835" s="754"/>
      <c r="S835" s="754"/>
      <c r="T835" s="754"/>
      <c r="U835" s="754"/>
      <c r="V835" s="754"/>
      <c r="W835" s="754"/>
      <c r="X835" s="754"/>
      <c r="Y835" s="754"/>
      <c r="Z835" s="754"/>
      <c r="AA835" s="754"/>
      <c r="AB835" s="754"/>
      <c r="AC835" s="754"/>
      <c r="AD835" s="754"/>
      <c r="AE835" s="754"/>
      <c r="AF835" s="754"/>
      <c r="AG835" s="754"/>
      <c r="AH835" s="754"/>
      <c r="AI835" s="754"/>
      <c r="AJ835" s="754"/>
      <c r="AK835" s="754"/>
      <c r="AL835" s="754"/>
      <c r="AM835" s="754"/>
      <c r="AN835" s="754"/>
      <c r="AO835" s="754"/>
      <c r="AP835" s="754"/>
      <c r="AQ835" s="754"/>
      <c r="AR835" s="754"/>
      <c r="AS835" s="754"/>
      <c r="AT835" s="754"/>
      <c r="AU835" s="754"/>
    </row>
    <row r="836" ht="15.75" customHeight="1">
      <c r="A836" s="755">
        <v>44641.0</v>
      </c>
      <c r="B836" s="773" t="s">
        <v>6080</v>
      </c>
      <c r="C836" s="745" t="s">
        <v>3642</v>
      </c>
      <c r="D836" s="745" t="s">
        <v>2387</v>
      </c>
      <c r="E836" s="757">
        <v>175092.43</v>
      </c>
      <c r="F836" s="745" t="s">
        <v>4178</v>
      </c>
      <c r="G836" s="734" t="s">
        <v>86</v>
      </c>
      <c r="H836" s="734" t="s">
        <v>29</v>
      </c>
      <c r="I836" s="734" t="s">
        <v>3486</v>
      </c>
      <c r="J836" s="755">
        <v>44075.0</v>
      </c>
      <c r="K836" s="816" t="s">
        <v>3651</v>
      </c>
      <c r="L836" s="754"/>
      <c r="M836" s="754"/>
      <c r="N836" s="754"/>
      <c r="O836" s="754"/>
      <c r="P836" s="754"/>
      <c r="Q836" s="754"/>
      <c r="R836" s="754"/>
      <c r="S836" s="754"/>
      <c r="T836" s="754"/>
      <c r="U836" s="754"/>
      <c r="V836" s="754"/>
      <c r="W836" s="754"/>
      <c r="X836" s="754"/>
      <c r="Y836" s="754"/>
      <c r="Z836" s="754"/>
      <c r="AA836" s="754"/>
      <c r="AB836" s="754"/>
      <c r="AC836" s="754"/>
      <c r="AD836" s="754"/>
      <c r="AE836" s="754"/>
      <c r="AF836" s="754"/>
      <c r="AG836" s="754"/>
      <c r="AH836" s="754"/>
      <c r="AI836" s="754"/>
      <c r="AJ836" s="754"/>
      <c r="AK836" s="754"/>
      <c r="AL836" s="754"/>
      <c r="AM836" s="754"/>
      <c r="AN836" s="754"/>
      <c r="AO836" s="754"/>
      <c r="AP836" s="754"/>
      <c r="AQ836" s="754"/>
      <c r="AR836" s="754"/>
      <c r="AS836" s="754"/>
      <c r="AT836" s="754"/>
      <c r="AU836" s="754"/>
    </row>
    <row r="837" ht="15.75" customHeight="1">
      <c r="A837" s="755">
        <v>44643.0</v>
      </c>
      <c r="B837" s="773" t="s">
        <v>6081</v>
      </c>
      <c r="C837" s="745" t="s">
        <v>3642</v>
      </c>
      <c r="D837" s="745" t="s">
        <v>2387</v>
      </c>
      <c r="E837" s="757">
        <v>101496.62</v>
      </c>
      <c r="F837" s="745" t="s">
        <v>5198</v>
      </c>
      <c r="G837" s="734" t="s">
        <v>86</v>
      </c>
      <c r="H837" s="745" t="s">
        <v>465</v>
      </c>
      <c r="I837" s="745" t="s">
        <v>5823</v>
      </c>
      <c r="J837" s="755">
        <v>44256.0</v>
      </c>
      <c r="K837" s="816" t="s">
        <v>3647</v>
      </c>
      <c r="L837" s="754"/>
      <c r="M837" s="754"/>
      <c r="N837" s="754"/>
      <c r="O837" s="754"/>
      <c r="P837" s="754"/>
      <c r="Q837" s="754"/>
      <c r="R837" s="754"/>
      <c r="S837" s="754"/>
      <c r="T837" s="754"/>
      <c r="U837" s="754"/>
      <c r="V837" s="754"/>
      <c r="W837" s="754"/>
      <c r="X837" s="754"/>
      <c r="Y837" s="754"/>
      <c r="Z837" s="754"/>
      <c r="AA837" s="754"/>
      <c r="AB837" s="754"/>
      <c r="AC837" s="754"/>
      <c r="AD837" s="754"/>
      <c r="AE837" s="754"/>
      <c r="AF837" s="754"/>
      <c r="AG837" s="754"/>
      <c r="AH837" s="754"/>
      <c r="AI837" s="754"/>
      <c r="AJ837" s="754"/>
      <c r="AK837" s="754"/>
      <c r="AL837" s="754"/>
      <c r="AM837" s="754"/>
      <c r="AN837" s="754"/>
      <c r="AO837" s="754"/>
      <c r="AP837" s="754"/>
      <c r="AQ837" s="754"/>
      <c r="AR837" s="754"/>
      <c r="AS837" s="754"/>
      <c r="AT837" s="754"/>
      <c r="AU837" s="754"/>
    </row>
    <row r="838" ht="15.75" customHeight="1">
      <c r="A838" s="755">
        <v>44644.0</v>
      </c>
      <c r="B838" s="756" t="s">
        <v>2741</v>
      </c>
      <c r="C838" s="710" t="s">
        <v>2376</v>
      </c>
      <c r="D838" s="745" t="s">
        <v>5903</v>
      </c>
      <c r="E838" s="757">
        <v>10000.0</v>
      </c>
      <c r="F838" s="745" t="s">
        <v>2740</v>
      </c>
      <c r="G838" s="745" t="s">
        <v>18</v>
      </c>
      <c r="H838" s="745" t="s">
        <v>145</v>
      </c>
      <c r="I838" s="745" t="s">
        <v>146</v>
      </c>
      <c r="J838" s="755">
        <v>44280.0</v>
      </c>
      <c r="K838" s="745" t="s">
        <v>3647</v>
      </c>
      <c r="L838" s="754"/>
      <c r="M838" s="754"/>
      <c r="N838" s="754"/>
      <c r="O838" s="754"/>
      <c r="P838" s="754"/>
      <c r="Q838" s="754"/>
      <c r="R838" s="754"/>
      <c r="S838" s="754"/>
      <c r="T838" s="754"/>
      <c r="U838" s="754"/>
      <c r="V838" s="754"/>
      <c r="W838" s="754"/>
      <c r="X838" s="754"/>
      <c r="Y838" s="754"/>
      <c r="Z838" s="754"/>
      <c r="AA838" s="754"/>
      <c r="AB838" s="754"/>
      <c r="AC838" s="754"/>
      <c r="AD838" s="754"/>
      <c r="AE838" s="754"/>
      <c r="AF838" s="754"/>
      <c r="AG838" s="754"/>
      <c r="AH838" s="754"/>
      <c r="AI838" s="754"/>
      <c r="AJ838" s="754"/>
      <c r="AK838" s="754"/>
      <c r="AL838" s="754"/>
      <c r="AM838" s="754"/>
      <c r="AN838" s="754"/>
      <c r="AO838" s="754"/>
      <c r="AP838" s="754"/>
      <c r="AQ838" s="754"/>
      <c r="AR838" s="754"/>
      <c r="AS838" s="754"/>
      <c r="AT838" s="754"/>
      <c r="AU838" s="754"/>
    </row>
    <row r="839" ht="15.75" customHeight="1">
      <c r="A839" s="755">
        <v>44644.0</v>
      </c>
      <c r="B839" s="756" t="s">
        <v>3301</v>
      </c>
      <c r="C839" s="710" t="s">
        <v>2376</v>
      </c>
      <c r="D839" s="745" t="s">
        <v>2387</v>
      </c>
      <c r="E839" s="757">
        <v>117357.0</v>
      </c>
      <c r="F839" s="745" t="s">
        <v>3300</v>
      </c>
      <c r="G839" s="745" t="s">
        <v>18</v>
      </c>
      <c r="H839" s="745" t="s">
        <v>145</v>
      </c>
      <c r="I839" s="745" t="s">
        <v>2464</v>
      </c>
      <c r="J839" s="755">
        <v>44330.0</v>
      </c>
      <c r="K839" s="745" t="s">
        <v>3660</v>
      </c>
      <c r="L839" s="754"/>
      <c r="M839" s="754"/>
      <c r="N839" s="754"/>
      <c r="O839" s="754"/>
      <c r="P839" s="754"/>
      <c r="Q839" s="754"/>
      <c r="R839" s="754"/>
      <c r="S839" s="754"/>
      <c r="T839" s="754"/>
      <c r="U839" s="754"/>
      <c r="V839" s="754"/>
      <c r="W839" s="754"/>
      <c r="X839" s="754"/>
      <c r="Y839" s="754"/>
      <c r="Z839" s="754"/>
      <c r="AA839" s="754"/>
      <c r="AB839" s="754"/>
      <c r="AC839" s="754"/>
      <c r="AD839" s="754"/>
      <c r="AE839" s="754"/>
      <c r="AF839" s="754"/>
      <c r="AG839" s="754"/>
      <c r="AH839" s="754"/>
      <c r="AI839" s="754"/>
      <c r="AJ839" s="754"/>
      <c r="AK839" s="754"/>
      <c r="AL839" s="754"/>
      <c r="AM839" s="754"/>
      <c r="AN839" s="754"/>
      <c r="AO839" s="754"/>
      <c r="AP839" s="754"/>
      <c r="AQ839" s="754"/>
      <c r="AR839" s="754"/>
      <c r="AS839" s="754"/>
      <c r="AT839" s="754"/>
      <c r="AU839" s="754"/>
    </row>
    <row r="840" ht="15.75" customHeight="1">
      <c r="A840" s="755">
        <v>44644.0</v>
      </c>
      <c r="B840" s="756" t="s">
        <v>2896</v>
      </c>
      <c r="C840" s="710" t="s">
        <v>2376</v>
      </c>
      <c r="D840" s="745" t="s">
        <v>5903</v>
      </c>
      <c r="E840" s="757">
        <v>19000.0</v>
      </c>
      <c r="F840" s="745" t="s">
        <v>2895</v>
      </c>
      <c r="G840" s="745" t="s">
        <v>18</v>
      </c>
      <c r="H840" s="745" t="s">
        <v>145</v>
      </c>
      <c r="I840" s="745" t="s">
        <v>2464</v>
      </c>
      <c r="J840" s="755">
        <v>44263.0</v>
      </c>
      <c r="K840" s="745" t="s">
        <v>3651</v>
      </c>
      <c r="L840" s="754"/>
      <c r="M840" s="754"/>
      <c r="N840" s="754"/>
      <c r="O840" s="754"/>
      <c r="P840" s="754"/>
      <c r="Q840" s="754"/>
      <c r="R840" s="754"/>
      <c r="S840" s="754"/>
      <c r="T840" s="754"/>
      <c r="U840" s="754"/>
      <c r="V840" s="754"/>
      <c r="W840" s="754"/>
      <c r="X840" s="754"/>
      <c r="Y840" s="754"/>
      <c r="Z840" s="754"/>
      <c r="AA840" s="754"/>
      <c r="AB840" s="754"/>
      <c r="AC840" s="754"/>
      <c r="AD840" s="754"/>
      <c r="AE840" s="754"/>
      <c r="AF840" s="754"/>
      <c r="AG840" s="754"/>
      <c r="AH840" s="754"/>
      <c r="AI840" s="754"/>
      <c r="AJ840" s="754"/>
      <c r="AK840" s="754"/>
      <c r="AL840" s="754"/>
      <c r="AM840" s="754"/>
      <c r="AN840" s="754"/>
      <c r="AO840" s="754"/>
      <c r="AP840" s="754"/>
      <c r="AQ840" s="754"/>
      <c r="AR840" s="754"/>
      <c r="AS840" s="754"/>
      <c r="AT840" s="754"/>
      <c r="AU840" s="754"/>
    </row>
    <row r="841" ht="15.75" customHeight="1">
      <c r="A841" s="755">
        <v>44644.0</v>
      </c>
      <c r="B841" s="756" t="s">
        <v>2873</v>
      </c>
      <c r="C841" s="710" t="s">
        <v>2376</v>
      </c>
      <c r="D841" s="745" t="s">
        <v>5903</v>
      </c>
      <c r="E841" s="757">
        <v>14000.0</v>
      </c>
      <c r="F841" s="745" t="s">
        <v>6082</v>
      </c>
      <c r="G841" s="745" t="s">
        <v>2379</v>
      </c>
      <c r="H841" s="745" t="s">
        <v>29</v>
      </c>
      <c r="I841" s="745" t="s">
        <v>2380</v>
      </c>
      <c r="J841" s="755">
        <v>43605.0</v>
      </c>
      <c r="K841" s="745" t="s">
        <v>3664</v>
      </c>
      <c r="L841" s="754"/>
      <c r="M841" s="754"/>
      <c r="N841" s="754"/>
      <c r="O841" s="754"/>
      <c r="P841" s="754"/>
      <c r="Q841" s="754"/>
      <c r="R841" s="754"/>
      <c r="S841" s="754"/>
      <c r="T841" s="754"/>
      <c r="U841" s="754"/>
      <c r="V841" s="754"/>
      <c r="W841" s="754"/>
      <c r="X841" s="754"/>
      <c r="Y841" s="754"/>
      <c r="Z841" s="754"/>
      <c r="AA841" s="754"/>
      <c r="AB841" s="754"/>
      <c r="AC841" s="754"/>
      <c r="AD841" s="754"/>
      <c r="AE841" s="754"/>
      <c r="AF841" s="754"/>
      <c r="AG841" s="754"/>
      <c r="AH841" s="754"/>
      <c r="AI841" s="754"/>
      <c r="AJ841" s="754"/>
      <c r="AK841" s="754"/>
      <c r="AL841" s="754"/>
      <c r="AM841" s="754"/>
      <c r="AN841" s="754"/>
      <c r="AO841" s="754"/>
      <c r="AP841" s="754"/>
      <c r="AQ841" s="754"/>
      <c r="AR841" s="754"/>
      <c r="AS841" s="754"/>
      <c r="AT841" s="754"/>
      <c r="AU841" s="754"/>
    </row>
    <row r="842" ht="15.75" customHeight="1">
      <c r="A842" s="755">
        <v>44644.0</v>
      </c>
      <c r="B842" s="756" t="s">
        <v>2529</v>
      </c>
      <c r="C842" s="710" t="s">
        <v>2376</v>
      </c>
      <c r="D842" s="745" t="s">
        <v>5903</v>
      </c>
      <c r="E842" s="757">
        <v>5000.0</v>
      </c>
      <c r="F842" s="745" t="s">
        <v>362</v>
      </c>
      <c r="G842" s="745" t="s">
        <v>18</v>
      </c>
      <c r="H842" s="745" t="s">
        <v>145</v>
      </c>
      <c r="I842" s="745" t="s">
        <v>146</v>
      </c>
      <c r="J842" s="755">
        <v>44421.0</v>
      </c>
      <c r="K842" s="745" t="s">
        <v>3651</v>
      </c>
      <c r="L842" s="754"/>
      <c r="M842" s="754"/>
      <c r="N842" s="754"/>
      <c r="O842" s="754"/>
      <c r="P842" s="754"/>
      <c r="Q842" s="754"/>
      <c r="R842" s="754"/>
      <c r="S842" s="754"/>
      <c r="T842" s="754"/>
      <c r="U842" s="754"/>
      <c r="V842" s="754"/>
      <c r="W842" s="754"/>
      <c r="X842" s="754"/>
      <c r="Y842" s="754"/>
      <c r="Z842" s="754"/>
      <c r="AA842" s="754"/>
      <c r="AB842" s="754"/>
      <c r="AC842" s="754"/>
      <c r="AD842" s="754"/>
      <c r="AE842" s="754"/>
      <c r="AF842" s="754"/>
      <c r="AG842" s="754"/>
      <c r="AH842" s="754"/>
      <c r="AI842" s="754"/>
      <c r="AJ842" s="754"/>
      <c r="AK842" s="754"/>
      <c r="AL842" s="754"/>
      <c r="AM842" s="754"/>
      <c r="AN842" s="754"/>
      <c r="AO842" s="754"/>
      <c r="AP842" s="754"/>
      <c r="AQ842" s="754"/>
      <c r="AR842" s="754"/>
      <c r="AS842" s="754"/>
      <c r="AT842" s="754"/>
      <c r="AU842" s="754"/>
    </row>
    <row r="843" ht="15.75" customHeight="1">
      <c r="A843" s="755">
        <v>44644.0</v>
      </c>
      <c r="B843" s="756" t="s">
        <v>6072</v>
      </c>
      <c r="C843" s="710" t="s">
        <v>2376</v>
      </c>
      <c r="D843" s="745" t="s">
        <v>5903</v>
      </c>
      <c r="E843" s="757">
        <v>25000.0</v>
      </c>
      <c r="F843" s="745" t="s">
        <v>3332</v>
      </c>
      <c r="G843" s="745" t="s">
        <v>18</v>
      </c>
      <c r="H843" s="745" t="s">
        <v>145</v>
      </c>
      <c r="I843" s="745" t="s">
        <v>146</v>
      </c>
      <c r="J843" s="755">
        <v>44585.0</v>
      </c>
      <c r="K843" s="745" t="s">
        <v>3657</v>
      </c>
      <c r="L843" s="754"/>
      <c r="M843" s="754"/>
      <c r="N843" s="754"/>
      <c r="O843" s="754"/>
      <c r="P843" s="754"/>
      <c r="Q843" s="754"/>
      <c r="R843" s="754"/>
      <c r="S843" s="754"/>
      <c r="T843" s="754"/>
      <c r="U843" s="754"/>
      <c r="V843" s="754"/>
      <c r="W843" s="754"/>
      <c r="X843" s="754"/>
      <c r="Y843" s="754"/>
      <c r="Z843" s="754"/>
      <c r="AA843" s="754"/>
      <c r="AB843" s="754"/>
      <c r="AC843" s="754"/>
      <c r="AD843" s="754"/>
      <c r="AE843" s="754"/>
      <c r="AF843" s="754"/>
      <c r="AG843" s="754"/>
      <c r="AH843" s="754"/>
      <c r="AI843" s="754"/>
      <c r="AJ843" s="754"/>
      <c r="AK843" s="754"/>
      <c r="AL843" s="754"/>
      <c r="AM843" s="754"/>
      <c r="AN843" s="754"/>
      <c r="AO843" s="754"/>
      <c r="AP843" s="754"/>
      <c r="AQ843" s="754"/>
      <c r="AR843" s="754"/>
      <c r="AS843" s="754"/>
      <c r="AT843" s="754"/>
      <c r="AU843" s="754"/>
    </row>
    <row r="844" ht="15.75" customHeight="1">
      <c r="A844" s="755">
        <v>44644.0</v>
      </c>
      <c r="B844" s="756" t="s">
        <v>2964</v>
      </c>
      <c r="C844" s="710" t="s">
        <v>2376</v>
      </c>
      <c r="D844" s="745" t="s">
        <v>5903</v>
      </c>
      <c r="E844" s="757">
        <v>300000.0</v>
      </c>
      <c r="F844" s="745" t="s">
        <v>1245</v>
      </c>
      <c r="G844" s="745" t="s">
        <v>18</v>
      </c>
      <c r="H844" s="745" t="s">
        <v>145</v>
      </c>
      <c r="I844" s="745" t="s">
        <v>146</v>
      </c>
      <c r="J844" s="792"/>
      <c r="K844" s="745"/>
      <c r="L844" s="754"/>
      <c r="M844" s="754"/>
      <c r="N844" s="754"/>
      <c r="O844" s="754"/>
      <c r="P844" s="754"/>
      <c r="Q844" s="754"/>
      <c r="R844" s="754"/>
      <c r="S844" s="754"/>
      <c r="T844" s="754"/>
      <c r="U844" s="754"/>
      <c r="V844" s="754"/>
      <c r="W844" s="754"/>
      <c r="X844" s="754"/>
      <c r="Y844" s="754"/>
      <c r="Z844" s="754"/>
      <c r="AA844" s="754"/>
      <c r="AB844" s="754"/>
      <c r="AC844" s="754"/>
      <c r="AD844" s="754"/>
      <c r="AE844" s="754"/>
      <c r="AF844" s="754"/>
      <c r="AG844" s="754"/>
      <c r="AH844" s="754"/>
      <c r="AI844" s="754"/>
      <c r="AJ844" s="754"/>
      <c r="AK844" s="754"/>
      <c r="AL844" s="754"/>
      <c r="AM844" s="754"/>
      <c r="AN844" s="754"/>
      <c r="AO844" s="754"/>
      <c r="AP844" s="754"/>
      <c r="AQ844" s="754"/>
      <c r="AR844" s="754"/>
      <c r="AS844" s="754"/>
      <c r="AT844" s="754"/>
      <c r="AU844" s="754"/>
    </row>
    <row r="845" ht="15.75" customHeight="1">
      <c r="A845" s="755">
        <v>44648.0</v>
      </c>
      <c r="B845" s="773" t="s">
        <v>6068</v>
      </c>
      <c r="C845" s="745" t="s">
        <v>3642</v>
      </c>
      <c r="D845" s="745" t="s">
        <v>5903</v>
      </c>
      <c r="E845" s="757">
        <v>15000.0</v>
      </c>
      <c r="F845" s="745" t="s">
        <v>1426</v>
      </c>
      <c r="G845" s="734" t="s">
        <v>18</v>
      </c>
      <c r="H845" s="734" t="s">
        <v>29</v>
      </c>
      <c r="I845" s="734" t="s">
        <v>6069</v>
      </c>
      <c r="J845" s="755">
        <v>44594.0</v>
      </c>
      <c r="K845" s="816" t="s">
        <v>3657</v>
      </c>
      <c r="L845" s="754"/>
      <c r="M845" s="754"/>
      <c r="N845" s="754"/>
      <c r="O845" s="754"/>
      <c r="P845" s="754"/>
      <c r="Q845" s="754"/>
      <c r="R845" s="754"/>
      <c r="S845" s="754"/>
      <c r="T845" s="754"/>
      <c r="U845" s="754"/>
      <c r="V845" s="754"/>
      <c r="W845" s="754"/>
      <c r="X845" s="754"/>
      <c r="Y845" s="754"/>
      <c r="Z845" s="754"/>
      <c r="AA845" s="754"/>
      <c r="AB845" s="754"/>
      <c r="AC845" s="754"/>
      <c r="AD845" s="754"/>
      <c r="AE845" s="754"/>
      <c r="AF845" s="754"/>
      <c r="AG845" s="754"/>
      <c r="AH845" s="754"/>
      <c r="AI845" s="754"/>
      <c r="AJ845" s="754"/>
      <c r="AK845" s="754"/>
      <c r="AL845" s="754"/>
      <c r="AM845" s="754"/>
      <c r="AN845" s="754"/>
      <c r="AO845" s="754"/>
      <c r="AP845" s="754"/>
      <c r="AQ845" s="754"/>
      <c r="AR845" s="754"/>
      <c r="AS845" s="754"/>
      <c r="AT845" s="754"/>
      <c r="AU845" s="754"/>
    </row>
    <row r="846" ht="15.75" customHeight="1">
      <c r="A846" s="755">
        <v>44648.0</v>
      </c>
      <c r="B846" s="803" t="s">
        <v>5957</v>
      </c>
      <c r="C846" s="745" t="s">
        <v>3642</v>
      </c>
      <c r="D846" s="745" t="s">
        <v>2387</v>
      </c>
      <c r="E846" s="757">
        <v>2232.0</v>
      </c>
      <c r="F846" s="783" t="s">
        <v>951</v>
      </c>
      <c r="G846" s="734" t="s">
        <v>86</v>
      </c>
      <c r="H846" s="734" t="s">
        <v>29</v>
      </c>
      <c r="I846" s="734" t="s">
        <v>3948</v>
      </c>
      <c r="J846" s="778">
        <v>44145.0</v>
      </c>
      <c r="K846" s="816" t="s">
        <v>3647</v>
      </c>
      <c r="L846" s="754"/>
      <c r="M846" s="754"/>
      <c r="N846" s="754"/>
      <c r="O846" s="754"/>
      <c r="P846" s="754"/>
      <c r="Q846" s="754"/>
      <c r="R846" s="754"/>
      <c r="S846" s="754"/>
      <c r="T846" s="754"/>
      <c r="U846" s="754"/>
      <c r="V846" s="754"/>
      <c r="W846" s="754"/>
      <c r="X846" s="754"/>
      <c r="Y846" s="754"/>
      <c r="Z846" s="754"/>
      <c r="AA846" s="754"/>
      <c r="AB846" s="754"/>
      <c r="AC846" s="754"/>
      <c r="AD846" s="754"/>
      <c r="AE846" s="754"/>
      <c r="AF846" s="754"/>
      <c r="AG846" s="754"/>
      <c r="AH846" s="754"/>
      <c r="AI846" s="754"/>
      <c r="AJ846" s="754"/>
      <c r="AK846" s="754"/>
      <c r="AL846" s="754"/>
      <c r="AM846" s="754"/>
      <c r="AN846" s="754"/>
      <c r="AO846" s="754"/>
      <c r="AP846" s="754"/>
      <c r="AQ846" s="754"/>
      <c r="AR846" s="754"/>
      <c r="AS846" s="754"/>
      <c r="AT846" s="754"/>
      <c r="AU846" s="754"/>
    </row>
    <row r="847" ht="15.75" customHeight="1">
      <c r="A847" s="755">
        <v>44650.0</v>
      </c>
      <c r="B847" s="803" t="s">
        <v>6083</v>
      </c>
      <c r="C847" s="745" t="s">
        <v>3642</v>
      </c>
      <c r="D847" s="745" t="s">
        <v>5902</v>
      </c>
      <c r="E847" s="757">
        <v>129000.0</v>
      </c>
      <c r="F847" s="783" t="s">
        <v>4773</v>
      </c>
      <c r="G847" s="734" t="s">
        <v>86</v>
      </c>
      <c r="H847" s="745" t="s">
        <v>465</v>
      </c>
      <c r="I847" s="734" t="s">
        <v>5817</v>
      </c>
      <c r="J847" s="778">
        <v>44216.0</v>
      </c>
      <c r="K847" s="816" t="s">
        <v>3647</v>
      </c>
      <c r="L847" s="754"/>
      <c r="M847" s="754"/>
      <c r="N847" s="754"/>
      <c r="O847" s="754"/>
      <c r="P847" s="754"/>
      <c r="Q847" s="754"/>
      <c r="R847" s="754"/>
      <c r="S847" s="754"/>
      <c r="T847" s="754"/>
      <c r="U847" s="754"/>
      <c r="V847" s="754"/>
      <c r="W847" s="754"/>
      <c r="X847" s="754"/>
      <c r="Y847" s="754"/>
      <c r="Z847" s="754"/>
      <c r="AA847" s="754"/>
      <c r="AB847" s="754"/>
      <c r="AC847" s="754"/>
      <c r="AD847" s="754"/>
      <c r="AE847" s="754"/>
      <c r="AF847" s="754"/>
      <c r="AG847" s="754"/>
      <c r="AH847" s="754"/>
      <c r="AI847" s="754"/>
      <c r="AJ847" s="754"/>
      <c r="AK847" s="754"/>
      <c r="AL847" s="754"/>
      <c r="AM847" s="754"/>
      <c r="AN847" s="754"/>
      <c r="AO847" s="754"/>
      <c r="AP847" s="754"/>
      <c r="AQ847" s="754"/>
      <c r="AR847" s="754"/>
      <c r="AS847" s="754"/>
      <c r="AT847" s="754"/>
      <c r="AU847" s="754"/>
    </row>
    <row r="848" ht="15.75" customHeight="1">
      <c r="A848" s="755">
        <v>44650.0</v>
      </c>
      <c r="B848" s="803" t="s">
        <v>6084</v>
      </c>
      <c r="C848" s="745" t="s">
        <v>3642</v>
      </c>
      <c r="D848" s="745" t="s">
        <v>5902</v>
      </c>
      <c r="E848" s="757">
        <v>630477.0</v>
      </c>
      <c r="F848" s="783" t="s">
        <v>4773</v>
      </c>
      <c r="G848" s="734" t="s">
        <v>86</v>
      </c>
      <c r="H848" s="745" t="s">
        <v>465</v>
      </c>
      <c r="I848" s="734" t="s">
        <v>5817</v>
      </c>
      <c r="J848" s="778">
        <v>44207.0</v>
      </c>
      <c r="K848" s="816" t="s">
        <v>3693</v>
      </c>
      <c r="L848" s="754"/>
      <c r="M848" s="754"/>
      <c r="N848" s="754"/>
      <c r="O848" s="754"/>
      <c r="P848" s="754"/>
      <c r="Q848" s="754"/>
      <c r="R848" s="754"/>
      <c r="S848" s="754"/>
      <c r="T848" s="754"/>
      <c r="U848" s="754"/>
      <c r="V848" s="754"/>
      <c r="W848" s="754"/>
      <c r="X848" s="754"/>
      <c r="Y848" s="754"/>
      <c r="Z848" s="754"/>
      <c r="AA848" s="754"/>
      <c r="AB848" s="754"/>
      <c r="AC848" s="754"/>
      <c r="AD848" s="754"/>
      <c r="AE848" s="754"/>
      <c r="AF848" s="754"/>
      <c r="AG848" s="754"/>
      <c r="AH848" s="754"/>
      <c r="AI848" s="754"/>
      <c r="AJ848" s="754"/>
      <c r="AK848" s="754"/>
      <c r="AL848" s="754"/>
      <c r="AM848" s="754"/>
      <c r="AN848" s="754"/>
      <c r="AO848" s="754"/>
      <c r="AP848" s="754"/>
      <c r="AQ848" s="754"/>
      <c r="AR848" s="754"/>
      <c r="AS848" s="754"/>
      <c r="AT848" s="754"/>
      <c r="AU848" s="754"/>
    </row>
    <row r="849" ht="15.75" customHeight="1">
      <c r="A849" s="755">
        <v>44650.0</v>
      </c>
      <c r="B849" s="803" t="s">
        <v>6085</v>
      </c>
      <c r="C849" s="745" t="s">
        <v>3642</v>
      </c>
      <c r="D849" s="745" t="s">
        <v>5902</v>
      </c>
      <c r="E849" s="757">
        <v>152856.49</v>
      </c>
      <c r="F849" s="710" t="s">
        <v>3936</v>
      </c>
      <c r="G849" s="734" t="s">
        <v>86</v>
      </c>
      <c r="H849" s="745" t="s">
        <v>465</v>
      </c>
      <c r="I849" s="734" t="s">
        <v>5817</v>
      </c>
      <c r="J849" s="778">
        <v>44385.0</v>
      </c>
      <c r="K849" s="816" t="s">
        <v>3647</v>
      </c>
      <c r="L849" s="754"/>
      <c r="M849" s="754"/>
      <c r="N849" s="754"/>
      <c r="O849" s="754"/>
      <c r="P849" s="754"/>
      <c r="Q849" s="754"/>
      <c r="R849" s="754"/>
      <c r="S849" s="754"/>
      <c r="T849" s="754"/>
      <c r="U849" s="754"/>
      <c r="V849" s="754"/>
      <c r="W849" s="754"/>
      <c r="X849" s="754"/>
      <c r="Y849" s="754"/>
      <c r="Z849" s="754"/>
      <c r="AA849" s="754"/>
      <c r="AB849" s="754"/>
      <c r="AC849" s="754"/>
      <c r="AD849" s="754"/>
      <c r="AE849" s="754"/>
      <c r="AF849" s="754"/>
      <c r="AG849" s="754"/>
      <c r="AH849" s="754"/>
      <c r="AI849" s="754"/>
      <c r="AJ849" s="754"/>
      <c r="AK849" s="754"/>
      <c r="AL849" s="754"/>
      <c r="AM849" s="754"/>
      <c r="AN849" s="754"/>
      <c r="AO849" s="754"/>
      <c r="AP849" s="754"/>
      <c r="AQ849" s="754"/>
      <c r="AR849" s="754"/>
      <c r="AS849" s="754"/>
      <c r="AT849" s="754"/>
      <c r="AU849" s="754"/>
    </row>
    <row r="850" ht="15.75" customHeight="1">
      <c r="A850" s="755">
        <v>44650.0</v>
      </c>
      <c r="B850" s="756" t="s">
        <v>6086</v>
      </c>
      <c r="C850" s="710" t="s">
        <v>3642</v>
      </c>
      <c r="D850" s="745" t="s">
        <v>5903</v>
      </c>
      <c r="E850" s="757">
        <v>22140.93</v>
      </c>
      <c r="F850" s="745" t="s">
        <v>6087</v>
      </c>
      <c r="G850" s="745" t="s">
        <v>18</v>
      </c>
      <c r="H850" s="745" t="s">
        <v>19</v>
      </c>
      <c r="I850" s="745" t="s">
        <v>20</v>
      </c>
      <c r="J850" s="755">
        <v>44656.0</v>
      </c>
      <c r="K850" s="745" t="s">
        <v>3651</v>
      </c>
      <c r="L850" s="754"/>
      <c r="M850" s="754"/>
      <c r="N850" s="754"/>
      <c r="O850" s="754"/>
      <c r="P850" s="754"/>
      <c r="Q850" s="754"/>
      <c r="R850" s="754"/>
      <c r="S850" s="754"/>
      <c r="T850" s="754"/>
      <c r="U850" s="754"/>
      <c r="V850" s="754"/>
      <c r="W850" s="754"/>
      <c r="X850" s="754"/>
      <c r="Y850" s="754"/>
      <c r="Z850" s="754"/>
      <c r="AA850" s="754"/>
      <c r="AB850" s="754"/>
      <c r="AC850" s="754"/>
      <c r="AD850" s="754"/>
      <c r="AE850" s="754"/>
      <c r="AF850" s="754"/>
      <c r="AG850" s="754"/>
      <c r="AH850" s="754"/>
      <c r="AI850" s="754"/>
      <c r="AJ850" s="754"/>
      <c r="AK850" s="754"/>
      <c r="AL850" s="754"/>
      <c r="AM850" s="754"/>
      <c r="AN850" s="754"/>
      <c r="AO850" s="754"/>
      <c r="AP850" s="754"/>
      <c r="AQ850" s="754"/>
      <c r="AR850" s="754"/>
      <c r="AS850" s="754"/>
      <c r="AT850" s="754"/>
      <c r="AU850" s="754"/>
    </row>
    <row r="851" ht="15.75" customHeight="1">
      <c r="A851" s="755">
        <v>44651.0</v>
      </c>
      <c r="B851" s="803" t="s">
        <v>6088</v>
      </c>
      <c r="C851" s="745" t="s">
        <v>3642</v>
      </c>
      <c r="D851" s="745" t="s">
        <v>5902</v>
      </c>
      <c r="E851" s="757">
        <v>230428.79</v>
      </c>
      <c r="F851" s="828" t="s">
        <v>5236</v>
      </c>
      <c r="G851" s="734" t="s">
        <v>86</v>
      </c>
      <c r="H851" s="745" t="s">
        <v>465</v>
      </c>
      <c r="I851" s="734" t="s">
        <v>5817</v>
      </c>
      <c r="J851" s="778">
        <v>44294.0</v>
      </c>
      <c r="K851" s="816" t="s">
        <v>3647</v>
      </c>
      <c r="L851" s="754"/>
      <c r="M851" s="754"/>
      <c r="N851" s="754"/>
      <c r="O851" s="754"/>
      <c r="P851" s="754"/>
      <c r="Q851" s="754"/>
      <c r="R851" s="754"/>
      <c r="S851" s="754"/>
      <c r="T851" s="754"/>
      <c r="U851" s="754"/>
      <c r="V851" s="754"/>
      <c r="W851" s="754"/>
      <c r="X851" s="754"/>
      <c r="Y851" s="754"/>
      <c r="Z851" s="754"/>
      <c r="AA851" s="754"/>
      <c r="AB851" s="754"/>
      <c r="AC851" s="754"/>
      <c r="AD851" s="754"/>
      <c r="AE851" s="754"/>
      <c r="AF851" s="754"/>
      <c r="AG851" s="754"/>
      <c r="AH851" s="754"/>
      <c r="AI851" s="754"/>
      <c r="AJ851" s="754"/>
      <c r="AK851" s="754"/>
      <c r="AL851" s="754"/>
      <c r="AM851" s="754"/>
      <c r="AN851" s="754"/>
      <c r="AO851" s="754"/>
      <c r="AP851" s="754"/>
      <c r="AQ851" s="754"/>
      <c r="AR851" s="754"/>
      <c r="AS851" s="754"/>
      <c r="AT851" s="754"/>
      <c r="AU851" s="754"/>
    </row>
    <row r="852" ht="15.75" customHeight="1">
      <c r="A852" s="755">
        <v>44651.0</v>
      </c>
      <c r="B852" s="773" t="s">
        <v>6089</v>
      </c>
      <c r="C852" s="745" t="s">
        <v>3642</v>
      </c>
      <c r="D852" s="745" t="s">
        <v>5902</v>
      </c>
      <c r="E852" s="757">
        <v>281890.89</v>
      </c>
      <c r="F852" s="745" t="s">
        <v>4117</v>
      </c>
      <c r="G852" s="734" t="s">
        <v>18</v>
      </c>
      <c r="H852" s="734" t="s">
        <v>19</v>
      </c>
      <c r="I852" s="734" t="s">
        <v>230</v>
      </c>
      <c r="J852" s="755">
        <v>44300.0</v>
      </c>
      <c r="K852" s="816" t="s">
        <v>3651</v>
      </c>
      <c r="L852" s="754"/>
      <c r="M852" s="754"/>
      <c r="N852" s="754"/>
      <c r="O852" s="754"/>
      <c r="P852" s="754"/>
      <c r="Q852" s="754"/>
      <c r="R852" s="754"/>
      <c r="S852" s="754"/>
      <c r="T852" s="754"/>
      <c r="U852" s="754"/>
      <c r="V852" s="754"/>
      <c r="W852" s="754"/>
      <c r="X852" s="754"/>
      <c r="Y852" s="754"/>
      <c r="Z852" s="754"/>
      <c r="AA852" s="754"/>
      <c r="AB852" s="754"/>
      <c r="AC852" s="754"/>
      <c r="AD852" s="754"/>
      <c r="AE852" s="754"/>
      <c r="AF852" s="754"/>
      <c r="AG852" s="754"/>
      <c r="AH852" s="754"/>
      <c r="AI852" s="754"/>
      <c r="AJ852" s="754"/>
      <c r="AK852" s="754"/>
      <c r="AL852" s="754"/>
      <c r="AM852" s="754"/>
      <c r="AN852" s="754"/>
      <c r="AO852" s="754"/>
      <c r="AP852" s="754"/>
      <c r="AQ852" s="754"/>
      <c r="AR852" s="754"/>
      <c r="AS852" s="754"/>
      <c r="AT852" s="754"/>
      <c r="AU852" s="754"/>
    </row>
    <row r="853" ht="15.75" customHeight="1">
      <c r="A853" s="755">
        <v>44651.0</v>
      </c>
      <c r="B853" s="756">
        <v>804771.0</v>
      </c>
      <c r="C853" s="710" t="s">
        <v>2376</v>
      </c>
      <c r="D853" s="745" t="s">
        <v>2387</v>
      </c>
      <c r="E853" s="757">
        <v>84500.0</v>
      </c>
      <c r="F853" s="745" t="s">
        <v>3143</v>
      </c>
      <c r="G853" s="745" t="s">
        <v>2489</v>
      </c>
      <c r="H853" s="745" t="s">
        <v>29</v>
      </c>
      <c r="I853" s="745" t="s">
        <v>2489</v>
      </c>
      <c r="J853" s="792">
        <v>43441.0</v>
      </c>
      <c r="K853" s="745" t="s">
        <v>3664</v>
      </c>
      <c r="L853" s="754"/>
      <c r="M853" s="754"/>
      <c r="N853" s="754"/>
      <c r="O853" s="754"/>
      <c r="P853" s="754"/>
      <c r="Q853" s="754"/>
      <c r="R853" s="754"/>
      <c r="S853" s="754"/>
      <c r="T853" s="754"/>
      <c r="U853" s="754"/>
      <c r="V853" s="754"/>
      <c r="W853" s="754"/>
      <c r="X853" s="754"/>
      <c r="Y853" s="754"/>
      <c r="Z853" s="754"/>
      <c r="AA853" s="754"/>
      <c r="AB853" s="754"/>
      <c r="AC853" s="754"/>
      <c r="AD853" s="754"/>
      <c r="AE853" s="754"/>
      <c r="AF853" s="754"/>
      <c r="AG853" s="754"/>
      <c r="AH853" s="754"/>
      <c r="AI853" s="754"/>
      <c r="AJ853" s="754"/>
      <c r="AK853" s="754"/>
      <c r="AL853" s="754"/>
      <c r="AM853" s="754"/>
      <c r="AN853" s="754"/>
      <c r="AO853" s="754"/>
      <c r="AP853" s="754"/>
      <c r="AQ853" s="754"/>
      <c r="AR853" s="754"/>
      <c r="AS853" s="754"/>
      <c r="AT853" s="754"/>
      <c r="AU853" s="754"/>
    </row>
    <row r="854" ht="15.75" customHeight="1">
      <c r="A854" s="755">
        <v>44651.0</v>
      </c>
      <c r="B854" s="756" t="s">
        <v>2414</v>
      </c>
      <c r="C854" s="710" t="s">
        <v>2376</v>
      </c>
      <c r="D854" s="745" t="s">
        <v>2387</v>
      </c>
      <c r="E854" s="757">
        <v>32277.0</v>
      </c>
      <c r="F854" s="745" t="s">
        <v>2413</v>
      </c>
      <c r="G854" s="745" t="s">
        <v>2379</v>
      </c>
      <c r="H854" s="745" t="s">
        <v>29</v>
      </c>
      <c r="I854" s="745" t="s">
        <v>2380</v>
      </c>
      <c r="J854" s="755">
        <v>43753.0</v>
      </c>
      <c r="K854" s="745" t="s">
        <v>3651</v>
      </c>
      <c r="L854" s="754"/>
      <c r="M854" s="754"/>
      <c r="N854" s="754"/>
      <c r="O854" s="754"/>
      <c r="P854" s="754"/>
      <c r="Q854" s="754"/>
      <c r="R854" s="754"/>
      <c r="S854" s="754"/>
      <c r="T854" s="754"/>
      <c r="U854" s="754"/>
      <c r="V854" s="754"/>
      <c r="W854" s="754"/>
      <c r="X854" s="754"/>
      <c r="Y854" s="754"/>
      <c r="Z854" s="754"/>
      <c r="AA854" s="754"/>
      <c r="AB854" s="754"/>
      <c r="AC854" s="754"/>
      <c r="AD854" s="754"/>
      <c r="AE854" s="754"/>
      <c r="AF854" s="754"/>
      <c r="AG854" s="754"/>
      <c r="AH854" s="754"/>
      <c r="AI854" s="754"/>
      <c r="AJ854" s="754"/>
      <c r="AK854" s="754"/>
      <c r="AL854" s="754"/>
      <c r="AM854" s="754"/>
      <c r="AN854" s="754"/>
      <c r="AO854" s="754"/>
      <c r="AP854" s="754"/>
      <c r="AQ854" s="754"/>
      <c r="AR854" s="754"/>
      <c r="AS854" s="754"/>
      <c r="AT854" s="754"/>
      <c r="AU854" s="754"/>
    </row>
    <row r="855" ht="15.75" customHeight="1">
      <c r="A855" s="755">
        <v>44652.0</v>
      </c>
      <c r="B855" s="756" t="s">
        <v>3043</v>
      </c>
      <c r="C855" s="710" t="s">
        <v>2376</v>
      </c>
      <c r="D855" s="745" t="s">
        <v>5902</v>
      </c>
      <c r="E855" s="757">
        <v>15091.06</v>
      </c>
      <c r="F855" s="745" t="s">
        <v>3042</v>
      </c>
      <c r="G855" s="745" t="s">
        <v>18</v>
      </c>
      <c r="H855" s="745" t="s">
        <v>145</v>
      </c>
      <c r="I855" s="745" t="s">
        <v>171</v>
      </c>
      <c r="J855" s="755">
        <v>44322.0</v>
      </c>
      <c r="K855" s="755" t="s">
        <v>3651</v>
      </c>
      <c r="L855" s="754"/>
      <c r="M855" s="754"/>
      <c r="N855" s="754"/>
      <c r="O855" s="754"/>
      <c r="P855" s="754"/>
      <c r="Q855" s="754"/>
      <c r="R855" s="754"/>
      <c r="S855" s="754"/>
      <c r="T855" s="754"/>
      <c r="U855" s="754"/>
      <c r="V855" s="754"/>
      <c r="W855" s="754"/>
      <c r="X855" s="754"/>
      <c r="Y855" s="754"/>
      <c r="Z855" s="754"/>
      <c r="AA855" s="754"/>
      <c r="AB855" s="754"/>
      <c r="AC855" s="754"/>
      <c r="AD855" s="754"/>
      <c r="AE855" s="754"/>
      <c r="AF855" s="754"/>
      <c r="AG855" s="754"/>
      <c r="AH855" s="754"/>
      <c r="AI855" s="754"/>
      <c r="AJ855" s="754"/>
      <c r="AK855" s="754"/>
      <c r="AL855" s="754"/>
      <c r="AM855" s="754"/>
      <c r="AN855" s="754"/>
      <c r="AO855" s="754"/>
      <c r="AP855" s="754"/>
      <c r="AQ855" s="754"/>
      <c r="AR855" s="754"/>
      <c r="AS855" s="754"/>
      <c r="AT855" s="754"/>
      <c r="AU855" s="754"/>
    </row>
    <row r="856" ht="15.75" customHeight="1">
      <c r="A856" s="755">
        <v>44652.0</v>
      </c>
      <c r="B856" s="756" t="s">
        <v>6075</v>
      </c>
      <c r="C856" s="710" t="s">
        <v>3642</v>
      </c>
      <c r="D856" s="745" t="s">
        <v>5903</v>
      </c>
      <c r="E856" s="757">
        <v>31400.0</v>
      </c>
      <c r="F856" s="745" t="s">
        <v>3691</v>
      </c>
      <c r="G856" s="745" t="s">
        <v>18</v>
      </c>
      <c r="H856" s="745" t="s">
        <v>19</v>
      </c>
      <c r="I856" s="755" t="s">
        <v>20</v>
      </c>
      <c r="J856" s="755">
        <v>44609.0</v>
      </c>
      <c r="K856" s="745" t="s">
        <v>3660</v>
      </c>
      <c r="L856" s="754"/>
      <c r="M856" s="754"/>
      <c r="N856" s="754"/>
      <c r="O856" s="754"/>
      <c r="P856" s="754"/>
      <c r="Q856" s="754"/>
      <c r="R856" s="754"/>
      <c r="S856" s="754"/>
      <c r="T856" s="754"/>
      <c r="U856" s="754"/>
      <c r="V856" s="754"/>
      <c r="W856" s="754"/>
      <c r="X856" s="754"/>
      <c r="Y856" s="754"/>
      <c r="Z856" s="754"/>
      <c r="AA856" s="754"/>
      <c r="AB856" s="754"/>
      <c r="AC856" s="754"/>
      <c r="AD856" s="754"/>
      <c r="AE856" s="754"/>
      <c r="AF856" s="754"/>
      <c r="AG856" s="754"/>
      <c r="AH856" s="754"/>
      <c r="AI856" s="754"/>
      <c r="AJ856" s="754"/>
      <c r="AK856" s="754"/>
      <c r="AL856" s="754"/>
      <c r="AM856" s="754"/>
      <c r="AN856" s="754"/>
      <c r="AO856" s="754"/>
      <c r="AP856" s="754"/>
      <c r="AQ856" s="754"/>
      <c r="AR856" s="754"/>
      <c r="AS856" s="754"/>
      <c r="AT856" s="754"/>
      <c r="AU856" s="754"/>
    </row>
    <row r="857" ht="15.75" customHeight="1">
      <c r="A857" s="755">
        <v>44655.0</v>
      </c>
      <c r="B857" s="756" t="s">
        <v>2676</v>
      </c>
      <c r="C857" s="710" t="s">
        <v>2376</v>
      </c>
      <c r="D857" s="745" t="s">
        <v>5903</v>
      </c>
      <c r="E857" s="757">
        <v>40000.0</v>
      </c>
      <c r="F857" s="710" t="s">
        <v>6090</v>
      </c>
      <c r="G857" s="745" t="s">
        <v>18</v>
      </c>
      <c r="H857" s="745" t="s">
        <v>145</v>
      </c>
      <c r="I857" s="745" t="s">
        <v>146</v>
      </c>
      <c r="J857" s="755">
        <v>44321.0</v>
      </c>
      <c r="K857" s="745" t="s">
        <v>3651</v>
      </c>
      <c r="L857" s="754"/>
      <c r="M857" s="754"/>
      <c r="N857" s="754"/>
      <c r="O857" s="754"/>
      <c r="P857" s="754"/>
      <c r="Q857" s="754"/>
      <c r="R857" s="754"/>
      <c r="S857" s="754"/>
      <c r="T857" s="754"/>
      <c r="U857" s="754"/>
      <c r="V857" s="754"/>
      <c r="W857" s="754"/>
      <c r="X857" s="754"/>
      <c r="Y857" s="754"/>
      <c r="Z857" s="754"/>
      <c r="AA857" s="754"/>
      <c r="AB857" s="754"/>
      <c r="AC857" s="754"/>
      <c r="AD857" s="754"/>
      <c r="AE857" s="754"/>
      <c r="AF857" s="754"/>
      <c r="AG857" s="754"/>
      <c r="AH857" s="754"/>
      <c r="AI857" s="754"/>
      <c r="AJ857" s="754"/>
      <c r="AK857" s="754"/>
      <c r="AL857" s="754"/>
      <c r="AM857" s="754"/>
      <c r="AN857" s="754"/>
      <c r="AO857" s="754"/>
      <c r="AP857" s="754"/>
      <c r="AQ857" s="754"/>
      <c r="AR857" s="754"/>
      <c r="AS857" s="754"/>
      <c r="AT857" s="754"/>
      <c r="AU857" s="754"/>
    </row>
    <row r="858" ht="15.75" customHeight="1">
      <c r="A858" s="755">
        <v>44656.0</v>
      </c>
      <c r="B858" s="756" t="s">
        <v>6091</v>
      </c>
      <c r="C858" s="710" t="s">
        <v>3642</v>
      </c>
      <c r="D858" s="745" t="s">
        <v>5902</v>
      </c>
      <c r="E858" s="757">
        <v>171724.96</v>
      </c>
      <c r="F858" s="745" t="s">
        <v>4613</v>
      </c>
      <c r="G858" s="745" t="s">
        <v>18</v>
      </c>
      <c r="H858" s="745" t="s">
        <v>19</v>
      </c>
      <c r="I858" s="755" t="s">
        <v>230</v>
      </c>
      <c r="J858" s="755">
        <v>44274.0</v>
      </c>
      <c r="K858" s="745" t="s">
        <v>3651</v>
      </c>
      <c r="L858" s="754"/>
      <c r="M858" s="754"/>
      <c r="N858" s="754"/>
      <c r="O858" s="754"/>
      <c r="P858" s="754"/>
      <c r="Q858" s="754"/>
      <c r="R858" s="754"/>
      <c r="S858" s="754"/>
      <c r="T858" s="754"/>
      <c r="U858" s="754"/>
      <c r="V858" s="754"/>
      <c r="W858" s="754"/>
      <c r="X858" s="754"/>
      <c r="Y858" s="754"/>
      <c r="Z858" s="754"/>
      <c r="AA858" s="754"/>
      <c r="AB858" s="754"/>
      <c r="AC858" s="754"/>
      <c r="AD858" s="754"/>
      <c r="AE858" s="754"/>
      <c r="AF858" s="754"/>
      <c r="AG858" s="754"/>
      <c r="AH858" s="754"/>
      <c r="AI858" s="754"/>
      <c r="AJ858" s="754"/>
      <c r="AK858" s="754"/>
      <c r="AL858" s="754"/>
      <c r="AM858" s="754"/>
      <c r="AN858" s="754"/>
      <c r="AO858" s="754"/>
      <c r="AP858" s="754"/>
      <c r="AQ858" s="754"/>
      <c r="AR858" s="754"/>
      <c r="AS858" s="754"/>
      <c r="AT858" s="754"/>
      <c r="AU858" s="754"/>
    </row>
    <row r="859" ht="15.75" customHeight="1">
      <c r="A859" s="755">
        <v>44656.0</v>
      </c>
      <c r="B859" s="756" t="s">
        <v>6072</v>
      </c>
      <c r="C859" s="710" t="s">
        <v>2376</v>
      </c>
      <c r="D859" s="745" t="s">
        <v>5903</v>
      </c>
      <c r="E859" s="757">
        <v>25000.0</v>
      </c>
      <c r="F859" s="710" t="s">
        <v>6092</v>
      </c>
      <c r="G859" s="745" t="s">
        <v>18</v>
      </c>
      <c r="H859" s="745" t="s">
        <v>145</v>
      </c>
      <c r="I859" s="745" t="s">
        <v>146</v>
      </c>
      <c r="J859" s="755">
        <v>44263.0</v>
      </c>
      <c r="K859" s="745" t="s">
        <v>3660</v>
      </c>
      <c r="L859" s="754"/>
      <c r="M859" s="754"/>
      <c r="N859" s="754"/>
      <c r="O859" s="754"/>
      <c r="P859" s="754"/>
      <c r="Q859" s="754"/>
      <c r="R859" s="754"/>
      <c r="S859" s="754"/>
      <c r="T859" s="754"/>
      <c r="U859" s="754"/>
      <c r="V859" s="754"/>
      <c r="W859" s="754"/>
      <c r="X859" s="754"/>
      <c r="Y859" s="754"/>
      <c r="Z859" s="754"/>
      <c r="AA859" s="754"/>
      <c r="AB859" s="754"/>
      <c r="AC859" s="754"/>
      <c r="AD859" s="754"/>
      <c r="AE859" s="754"/>
      <c r="AF859" s="754"/>
      <c r="AG859" s="754"/>
      <c r="AH859" s="754"/>
      <c r="AI859" s="754"/>
      <c r="AJ859" s="754"/>
      <c r="AK859" s="754"/>
      <c r="AL859" s="754"/>
      <c r="AM859" s="754"/>
      <c r="AN859" s="754"/>
      <c r="AO859" s="754"/>
      <c r="AP859" s="754"/>
      <c r="AQ859" s="754"/>
      <c r="AR859" s="754"/>
      <c r="AS859" s="754"/>
      <c r="AT859" s="754"/>
      <c r="AU859" s="754"/>
    </row>
    <row r="860" ht="15.75" customHeight="1">
      <c r="A860" s="755">
        <v>44657.0</v>
      </c>
      <c r="B860" s="756" t="s">
        <v>6093</v>
      </c>
      <c r="C860" s="710" t="s">
        <v>3642</v>
      </c>
      <c r="D860" s="745" t="s">
        <v>5902</v>
      </c>
      <c r="E860" s="757">
        <v>221711.79</v>
      </c>
      <c r="F860" s="745" t="s">
        <v>3831</v>
      </c>
      <c r="G860" s="745" t="s">
        <v>18</v>
      </c>
      <c r="H860" s="745" t="s">
        <v>465</v>
      </c>
      <c r="I860" s="755" t="s">
        <v>5817</v>
      </c>
      <c r="J860" s="755">
        <v>44252.0</v>
      </c>
      <c r="K860" s="745" t="s">
        <v>3647</v>
      </c>
      <c r="L860" s="754"/>
      <c r="M860" s="754"/>
      <c r="N860" s="754"/>
      <c r="O860" s="754"/>
      <c r="P860" s="754"/>
      <c r="Q860" s="754"/>
      <c r="R860" s="754"/>
      <c r="S860" s="754"/>
      <c r="T860" s="754"/>
      <c r="U860" s="754"/>
      <c r="V860" s="754"/>
      <c r="W860" s="754"/>
      <c r="X860" s="754"/>
      <c r="Y860" s="754"/>
      <c r="Z860" s="754"/>
      <c r="AA860" s="754"/>
      <c r="AB860" s="754"/>
      <c r="AC860" s="754"/>
      <c r="AD860" s="754"/>
      <c r="AE860" s="754"/>
      <c r="AF860" s="754"/>
      <c r="AG860" s="754"/>
      <c r="AH860" s="754"/>
      <c r="AI860" s="754"/>
      <c r="AJ860" s="754"/>
      <c r="AK860" s="754"/>
      <c r="AL860" s="754"/>
      <c r="AM860" s="754"/>
      <c r="AN860" s="754"/>
      <c r="AO860" s="754"/>
      <c r="AP860" s="754"/>
      <c r="AQ860" s="754"/>
      <c r="AR860" s="754"/>
      <c r="AS860" s="754"/>
      <c r="AT860" s="754"/>
      <c r="AU860" s="754"/>
    </row>
    <row r="861" ht="15.75" customHeight="1">
      <c r="A861" s="755">
        <v>44657.0</v>
      </c>
      <c r="B861" s="756" t="s">
        <v>3060</v>
      </c>
      <c r="C861" s="710" t="s">
        <v>2376</v>
      </c>
      <c r="D861" s="745" t="s">
        <v>5903</v>
      </c>
      <c r="E861" s="757">
        <v>31000.0</v>
      </c>
      <c r="F861" s="710" t="s">
        <v>6094</v>
      </c>
      <c r="G861" s="745" t="s">
        <v>18</v>
      </c>
      <c r="H861" s="745" t="s">
        <v>145</v>
      </c>
      <c r="I861" s="745" t="s">
        <v>171</v>
      </c>
      <c r="J861" s="755">
        <v>44382.0</v>
      </c>
      <c r="K861" s="745" t="s">
        <v>3647</v>
      </c>
      <c r="L861" s="754"/>
      <c r="M861" s="754"/>
      <c r="N861" s="754"/>
      <c r="O861" s="754"/>
      <c r="P861" s="754"/>
      <c r="Q861" s="754"/>
      <c r="R861" s="754"/>
      <c r="S861" s="754"/>
      <c r="T861" s="754"/>
      <c r="U861" s="754"/>
      <c r="V861" s="754"/>
      <c r="W861" s="754"/>
      <c r="X861" s="754"/>
      <c r="Y861" s="754"/>
      <c r="Z861" s="754"/>
      <c r="AA861" s="754"/>
      <c r="AB861" s="754"/>
      <c r="AC861" s="754"/>
      <c r="AD861" s="754"/>
      <c r="AE861" s="754"/>
      <c r="AF861" s="754"/>
      <c r="AG861" s="754"/>
      <c r="AH861" s="754"/>
      <c r="AI861" s="754"/>
      <c r="AJ861" s="754"/>
      <c r="AK861" s="754"/>
      <c r="AL861" s="754"/>
      <c r="AM861" s="754"/>
      <c r="AN861" s="754"/>
      <c r="AO861" s="754"/>
      <c r="AP861" s="754"/>
      <c r="AQ861" s="754"/>
      <c r="AR861" s="754"/>
      <c r="AS861" s="754"/>
      <c r="AT861" s="754"/>
      <c r="AU861" s="754"/>
    </row>
    <row r="862" ht="15.75" customHeight="1">
      <c r="A862" s="755">
        <v>44658.0</v>
      </c>
      <c r="B862" s="756" t="s">
        <v>2762</v>
      </c>
      <c r="C862" s="710" t="s">
        <v>2376</v>
      </c>
      <c r="D862" s="745" t="s">
        <v>5903</v>
      </c>
      <c r="E862" s="757">
        <v>105000.0</v>
      </c>
      <c r="F862" s="745" t="s">
        <v>928</v>
      </c>
      <c r="G862" s="745" t="s">
        <v>18</v>
      </c>
      <c r="H862" s="745" t="s">
        <v>145</v>
      </c>
      <c r="I862" s="755" t="s">
        <v>478</v>
      </c>
      <c r="J862" s="755">
        <v>44677.0</v>
      </c>
      <c r="K862" s="745" t="s">
        <v>3657</v>
      </c>
      <c r="L862" s="754"/>
      <c r="M862" s="754"/>
      <c r="N862" s="754"/>
      <c r="O862" s="754"/>
      <c r="P862" s="754"/>
      <c r="Q862" s="754"/>
      <c r="R862" s="754"/>
      <c r="S862" s="754"/>
      <c r="T862" s="754"/>
      <c r="U862" s="754"/>
      <c r="V862" s="754"/>
      <c r="W862" s="754"/>
      <c r="X862" s="754"/>
      <c r="Y862" s="754"/>
      <c r="Z862" s="754"/>
      <c r="AA862" s="754"/>
      <c r="AB862" s="754"/>
      <c r="AC862" s="754"/>
      <c r="AD862" s="754"/>
      <c r="AE862" s="754"/>
      <c r="AF862" s="754"/>
      <c r="AG862" s="754"/>
      <c r="AH862" s="754"/>
      <c r="AI862" s="754"/>
      <c r="AJ862" s="754"/>
      <c r="AK862" s="754"/>
      <c r="AL862" s="754"/>
      <c r="AM862" s="754"/>
      <c r="AN862" s="754"/>
      <c r="AO862" s="754"/>
      <c r="AP862" s="754"/>
      <c r="AQ862" s="754"/>
      <c r="AR862" s="754"/>
      <c r="AS862" s="754"/>
      <c r="AT862" s="754"/>
      <c r="AU862" s="754"/>
    </row>
    <row r="863" ht="15.75" customHeight="1">
      <c r="A863" s="755">
        <v>44658.0</v>
      </c>
      <c r="B863" s="756" t="s">
        <v>6068</v>
      </c>
      <c r="C863" s="710" t="s">
        <v>3642</v>
      </c>
      <c r="D863" s="745" t="s">
        <v>5903</v>
      </c>
      <c r="E863" s="757">
        <v>25000.0</v>
      </c>
      <c r="F863" s="745" t="s">
        <v>1426</v>
      </c>
      <c r="G863" s="745" t="s">
        <v>18</v>
      </c>
      <c r="H863" s="745" t="s">
        <v>29</v>
      </c>
      <c r="I863" s="755" t="s">
        <v>4877</v>
      </c>
      <c r="J863" s="755">
        <v>44594.0</v>
      </c>
      <c r="K863" s="745" t="s">
        <v>3657</v>
      </c>
      <c r="L863" s="754"/>
      <c r="M863" s="754"/>
      <c r="N863" s="754"/>
      <c r="O863" s="754"/>
      <c r="P863" s="754"/>
      <c r="Q863" s="754"/>
      <c r="R863" s="754"/>
      <c r="S863" s="754"/>
      <c r="T863" s="754"/>
      <c r="U863" s="754"/>
      <c r="V863" s="754"/>
      <c r="W863" s="754"/>
      <c r="X863" s="754"/>
      <c r="Y863" s="754"/>
      <c r="Z863" s="754"/>
      <c r="AA863" s="754"/>
      <c r="AB863" s="754"/>
      <c r="AC863" s="754"/>
      <c r="AD863" s="754"/>
      <c r="AE863" s="754"/>
      <c r="AF863" s="754"/>
      <c r="AG863" s="754"/>
      <c r="AH863" s="754"/>
      <c r="AI863" s="754"/>
      <c r="AJ863" s="754"/>
      <c r="AK863" s="754"/>
      <c r="AL863" s="754"/>
      <c r="AM863" s="754"/>
      <c r="AN863" s="754"/>
      <c r="AO863" s="754"/>
      <c r="AP863" s="754"/>
      <c r="AQ863" s="754"/>
      <c r="AR863" s="754"/>
      <c r="AS863" s="754"/>
      <c r="AT863" s="754"/>
      <c r="AU863" s="754"/>
    </row>
    <row r="864" ht="15.75" customHeight="1">
      <c r="A864" s="755">
        <v>44658.0</v>
      </c>
      <c r="B864" s="756" t="s">
        <v>6095</v>
      </c>
      <c r="C864" s="710" t="s">
        <v>2376</v>
      </c>
      <c r="D864" s="745" t="s">
        <v>5903</v>
      </c>
      <c r="E864" s="757">
        <v>15000.0</v>
      </c>
      <c r="F864" s="710" t="s">
        <v>2727</v>
      </c>
      <c r="G864" s="745" t="s">
        <v>18</v>
      </c>
      <c r="H864" s="745" t="s">
        <v>145</v>
      </c>
      <c r="I864" s="745" t="s">
        <v>171</v>
      </c>
      <c r="J864" s="755">
        <v>44602.0</v>
      </c>
      <c r="K864" s="745" t="s">
        <v>3651</v>
      </c>
      <c r="L864" s="754"/>
      <c r="M864" s="754"/>
      <c r="N864" s="754"/>
      <c r="O864" s="754"/>
      <c r="P864" s="754"/>
      <c r="Q864" s="754"/>
      <c r="R864" s="754"/>
      <c r="S864" s="754"/>
      <c r="T864" s="754"/>
      <c r="U864" s="754"/>
      <c r="V864" s="754"/>
      <c r="W864" s="754"/>
      <c r="X864" s="754"/>
      <c r="Y864" s="754"/>
      <c r="Z864" s="754"/>
      <c r="AA864" s="754"/>
      <c r="AB864" s="754"/>
      <c r="AC864" s="754"/>
      <c r="AD864" s="754"/>
      <c r="AE864" s="754"/>
      <c r="AF864" s="754"/>
      <c r="AG864" s="754"/>
      <c r="AH864" s="754"/>
      <c r="AI864" s="754"/>
      <c r="AJ864" s="754"/>
      <c r="AK864" s="754"/>
      <c r="AL864" s="754"/>
      <c r="AM864" s="754"/>
      <c r="AN864" s="754"/>
      <c r="AO864" s="754"/>
      <c r="AP864" s="754"/>
      <c r="AQ864" s="754"/>
      <c r="AR864" s="754"/>
      <c r="AS864" s="754"/>
      <c r="AT864" s="754"/>
      <c r="AU864" s="754"/>
    </row>
    <row r="865" ht="15.75" customHeight="1">
      <c r="A865" s="755">
        <v>44658.0</v>
      </c>
      <c r="B865" s="756" t="s">
        <v>2944</v>
      </c>
      <c r="C865" s="710" t="s">
        <v>2376</v>
      </c>
      <c r="D865" s="745" t="s">
        <v>5903</v>
      </c>
      <c r="E865" s="757">
        <v>24500.0</v>
      </c>
      <c r="F865" s="710" t="s">
        <v>6096</v>
      </c>
      <c r="G865" s="745" t="s">
        <v>18</v>
      </c>
      <c r="H865" s="745" t="s">
        <v>145</v>
      </c>
      <c r="I865" s="745" t="s">
        <v>171</v>
      </c>
      <c r="J865" s="755">
        <v>44439.0</v>
      </c>
      <c r="K865" s="745" t="s">
        <v>3660</v>
      </c>
      <c r="L865" s="754"/>
      <c r="M865" s="754"/>
      <c r="N865" s="754"/>
      <c r="O865" s="754"/>
      <c r="P865" s="754"/>
      <c r="Q865" s="754"/>
      <c r="R865" s="754"/>
      <c r="S865" s="754"/>
      <c r="T865" s="754"/>
      <c r="U865" s="754"/>
      <c r="V865" s="754"/>
      <c r="W865" s="754"/>
      <c r="X865" s="754"/>
      <c r="Y865" s="754"/>
      <c r="Z865" s="754"/>
      <c r="AA865" s="754"/>
      <c r="AB865" s="754"/>
      <c r="AC865" s="754"/>
      <c r="AD865" s="754"/>
      <c r="AE865" s="754"/>
      <c r="AF865" s="754"/>
      <c r="AG865" s="754"/>
      <c r="AH865" s="754"/>
      <c r="AI865" s="754"/>
      <c r="AJ865" s="754"/>
      <c r="AK865" s="754"/>
      <c r="AL865" s="754"/>
      <c r="AM865" s="754"/>
      <c r="AN865" s="754"/>
      <c r="AO865" s="754"/>
      <c r="AP865" s="754"/>
      <c r="AQ865" s="754"/>
      <c r="AR865" s="754"/>
      <c r="AS865" s="754"/>
      <c r="AT865" s="754"/>
      <c r="AU865" s="754"/>
    </row>
    <row r="866" ht="15.75" customHeight="1">
      <c r="A866" s="768">
        <v>44658.0</v>
      </c>
      <c r="B866" s="800" t="s">
        <v>2977</v>
      </c>
      <c r="C866" s="770" t="s">
        <v>2376</v>
      </c>
      <c r="D866" s="745" t="s">
        <v>5902</v>
      </c>
      <c r="E866" s="771" t="s">
        <v>6097</v>
      </c>
      <c r="F866" s="745" t="s">
        <v>2976</v>
      </c>
      <c r="G866" s="755" t="s">
        <v>18</v>
      </c>
      <c r="H866" s="755" t="s">
        <v>145</v>
      </c>
      <c r="I866" s="755" t="s">
        <v>171</v>
      </c>
      <c r="J866" s="755">
        <v>44440.0</v>
      </c>
      <c r="K866" s="755" t="s">
        <v>3651</v>
      </c>
      <c r="L866" s="754"/>
      <c r="M866" s="754"/>
      <c r="N866" s="754"/>
      <c r="O866" s="754"/>
      <c r="P866" s="754"/>
      <c r="Q866" s="754"/>
      <c r="R866" s="754"/>
      <c r="S866" s="754"/>
      <c r="T866" s="754"/>
      <c r="U866" s="754"/>
      <c r="V866" s="754"/>
      <c r="W866" s="754"/>
      <c r="X866" s="754"/>
      <c r="Y866" s="754"/>
      <c r="Z866" s="754"/>
      <c r="AA866" s="754"/>
      <c r="AB866" s="754"/>
      <c r="AC866" s="754"/>
      <c r="AD866" s="754"/>
      <c r="AE866" s="754"/>
      <c r="AF866" s="754"/>
      <c r="AG866" s="754"/>
      <c r="AH866" s="754"/>
      <c r="AI866" s="754"/>
      <c r="AJ866" s="754"/>
      <c r="AK866" s="754"/>
      <c r="AL866" s="754"/>
      <c r="AM866" s="754"/>
      <c r="AN866" s="754"/>
      <c r="AO866" s="754"/>
      <c r="AP866" s="754"/>
      <c r="AQ866" s="754"/>
      <c r="AR866" s="754"/>
      <c r="AS866" s="754"/>
      <c r="AT866" s="754"/>
      <c r="AU866" s="754"/>
    </row>
    <row r="867" ht="15.75" customHeight="1">
      <c r="A867" s="755">
        <v>44659.0</v>
      </c>
      <c r="B867" s="756" t="s">
        <v>6098</v>
      </c>
      <c r="C867" s="710" t="s">
        <v>3642</v>
      </c>
      <c r="D867" s="745" t="s">
        <v>5902</v>
      </c>
      <c r="E867" s="757">
        <v>2966054.05</v>
      </c>
      <c r="F867" s="745" t="s">
        <v>3854</v>
      </c>
      <c r="G867" s="745" t="s">
        <v>18</v>
      </c>
      <c r="H867" s="745" t="s">
        <v>465</v>
      </c>
      <c r="I867" s="755" t="s">
        <v>5817</v>
      </c>
      <c r="J867" s="755">
        <v>44426.0</v>
      </c>
      <c r="K867" s="745" t="s">
        <v>3856</v>
      </c>
      <c r="L867" s="754"/>
      <c r="M867" s="754"/>
      <c r="N867" s="754"/>
      <c r="O867" s="754"/>
      <c r="P867" s="754"/>
      <c r="Q867" s="754"/>
      <c r="R867" s="754"/>
      <c r="S867" s="754"/>
      <c r="T867" s="754"/>
      <c r="U867" s="754"/>
      <c r="V867" s="754"/>
      <c r="W867" s="754"/>
      <c r="X867" s="754"/>
      <c r="Y867" s="754"/>
      <c r="Z867" s="754"/>
      <c r="AA867" s="754"/>
      <c r="AB867" s="754"/>
      <c r="AC867" s="754"/>
      <c r="AD867" s="754"/>
      <c r="AE867" s="754"/>
      <c r="AF867" s="754"/>
      <c r="AG867" s="754"/>
      <c r="AH867" s="754"/>
      <c r="AI867" s="754"/>
      <c r="AJ867" s="754"/>
      <c r="AK867" s="754"/>
      <c r="AL867" s="754"/>
      <c r="AM867" s="754"/>
      <c r="AN867" s="754"/>
      <c r="AO867" s="754"/>
      <c r="AP867" s="754"/>
      <c r="AQ867" s="754"/>
      <c r="AR867" s="754"/>
      <c r="AS867" s="754"/>
      <c r="AT867" s="754"/>
      <c r="AU867" s="754"/>
    </row>
    <row r="868" ht="15.75" customHeight="1">
      <c r="A868" s="755">
        <v>44659.0</v>
      </c>
      <c r="B868" s="756" t="s">
        <v>6003</v>
      </c>
      <c r="C868" s="710" t="s">
        <v>3642</v>
      </c>
      <c r="D868" s="745" t="s">
        <v>5902</v>
      </c>
      <c r="E868" s="757">
        <v>2132.55</v>
      </c>
      <c r="F868" s="745" t="s">
        <v>3854</v>
      </c>
      <c r="G868" s="745" t="s">
        <v>18</v>
      </c>
      <c r="H868" s="745" t="s">
        <v>465</v>
      </c>
      <c r="I868" s="755" t="s">
        <v>5817</v>
      </c>
      <c r="J868" s="755">
        <v>44204.0</v>
      </c>
      <c r="K868" s="745" t="s">
        <v>3855</v>
      </c>
      <c r="L868" s="754"/>
      <c r="M868" s="754"/>
      <c r="N868" s="754"/>
      <c r="O868" s="754"/>
      <c r="P868" s="754"/>
      <c r="Q868" s="754"/>
      <c r="R868" s="754"/>
      <c r="S868" s="754"/>
      <c r="T868" s="754"/>
      <c r="U868" s="754"/>
      <c r="V868" s="754"/>
      <c r="W868" s="754"/>
      <c r="X868" s="754"/>
      <c r="Y868" s="754"/>
      <c r="Z868" s="754"/>
      <c r="AA868" s="754"/>
      <c r="AB868" s="754"/>
      <c r="AC868" s="754"/>
      <c r="AD868" s="754"/>
      <c r="AE868" s="754"/>
      <c r="AF868" s="754"/>
      <c r="AG868" s="754"/>
      <c r="AH868" s="754"/>
      <c r="AI868" s="754"/>
      <c r="AJ868" s="754"/>
      <c r="AK868" s="754"/>
      <c r="AL868" s="754"/>
      <c r="AM868" s="754"/>
      <c r="AN868" s="754"/>
      <c r="AO868" s="754"/>
      <c r="AP868" s="754"/>
      <c r="AQ868" s="754"/>
      <c r="AR868" s="754"/>
      <c r="AS868" s="754"/>
      <c r="AT868" s="754"/>
      <c r="AU868" s="754"/>
    </row>
    <row r="869" ht="15.75" customHeight="1">
      <c r="A869" s="755">
        <v>44659.0</v>
      </c>
      <c r="B869" s="756" t="s">
        <v>5953</v>
      </c>
      <c r="C869" s="710" t="s">
        <v>3642</v>
      </c>
      <c r="D869" s="745" t="s">
        <v>5902</v>
      </c>
      <c r="E869" s="757">
        <v>2832.67</v>
      </c>
      <c r="F869" s="745" t="s">
        <v>3781</v>
      </c>
      <c r="G869" s="745" t="s">
        <v>18</v>
      </c>
      <c r="H869" s="745" t="s">
        <v>465</v>
      </c>
      <c r="I869" s="755" t="s">
        <v>5817</v>
      </c>
      <c r="J869" s="755">
        <v>44298.0</v>
      </c>
      <c r="K869" s="745" t="s">
        <v>3660</v>
      </c>
      <c r="L869" s="754"/>
      <c r="M869" s="754"/>
      <c r="N869" s="754"/>
      <c r="O869" s="754"/>
      <c r="P869" s="754"/>
      <c r="Q869" s="754"/>
      <c r="R869" s="754"/>
      <c r="S869" s="754"/>
      <c r="T869" s="754"/>
      <c r="U869" s="754"/>
      <c r="V869" s="754"/>
      <c r="W869" s="754"/>
      <c r="X869" s="754"/>
      <c r="Y869" s="754"/>
      <c r="Z869" s="754"/>
      <c r="AA869" s="754"/>
      <c r="AB869" s="754"/>
      <c r="AC869" s="754"/>
      <c r="AD869" s="754"/>
      <c r="AE869" s="754"/>
      <c r="AF869" s="754"/>
      <c r="AG869" s="754"/>
      <c r="AH869" s="754"/>
      <c r="AI869" s="754"/>
      <c r="AJ869" s="754"/>
      <c r="AK869" s="754"/>
      <c r="AL869" s="754"/>
      <c r="AM869" s="754"/>
      <c r="AN869" s="754"/>
      <c r="AO869" s="754"/>
      <c r="AP869" s="754"/>
      <c r="AQ869" s="754"/>
      <c r="AR869" s="754"/>
      <c r="AS869" s="754"/>
      <c r="AT869" s="754"/>
      <c r="AU869" s="754"/>
    </row>
    <row r="870" ht="15.75" customHeight="1">
      <c r="A870" s="755">
        <v>44659.0</v>
      </c>
      <c r="B870" s="756" t="s">
        <v>6099</v>
      </c>
      <c r="C870" s="710" t="s">
        <v>3642</v>
      </c>
      <c r="D870" s="745" t="s">
        <v>5902</v>
      </c>
      <c r="E870" s="757">
        <v>815208.64</v>
      </c>
      <c r="F870" s="745" t="s">
        <v>3897</v>
      </c>
      <c r="G870" s="745" t="s">
        <v>18</v>
      </c>
      <c r="H870" s="745" t="s">
        <v>19</v>
      </c>
      <c r="I870" s="755" t="s">
        <v>5817</v>
      </c>
      <c r="J870" s="755">
        <v>44445.0</v>
      </c>
      <c r="K870" s="745" t="s">
        <v>3856</v>
      </c>
      <c r="L870" s="754"/>
      <c r="M870" s="754"/>
      <c r="N870" s="754"/>
      <c r="O870" s="754"/>
      <c r="P870" s="754"/>
      <c r="Q870" s="754"/>
      <c r="R870" s="754"/>
      <c r="S870" s="754"/>
      <c r="T870" s="754"/>
      <c r="U870" s="754"/>
      <c r="V870" s="754"/>
      <c r="W870" s="754"/>
      <c r="X870" s="754"/>
      <c r="Y870" s="754"/>
      <c r="Z870" s="754"/>
      <c r="AA870" s="754"/>
      <c r="AB870" s="754"/>
      <c r="AC870" s="754"/>
      <c r="AD870" s="754"/>
      <c r="AE870" s="754"/>
      <c r="AF870" s="754"/>
      <c r="AG870" s="754"/>
      <c r="AH870" s="754"/>
      <c r="AI870" s="754"/>
      <c r="AJ870" s="754"/>
      <c r="AK870" s="754"/>
      <c r="AL870" s="754"/>
      <c r="AM870" s="754"/>
      <c r="AN870" s="754"/>
      <c r="AO870" s="754"/>
      <c r="AP870" s="754"/>
      <c r="AQ870" s="754"/>
      <c r="AR870" s="754"/>
      <c r="AS870" s="754"/>
      <c r="AT870" s="754"/>
      <c r="AU870" s="754"/>
    </row>
    <row r="871" ht="15.75" customHeight="1">
      <c r="A871" s="755">
        <v>44662.0</v>
      </c>
      <c r="B871" s="756" t="s">
        <v>3482</v>
      </c>
      <c r="C871" s="710" t="s">
        <v>3458</v>
      </c>
      <c r="D871" s="745" t="s">
        <v>5903</v>
      </c>
      <c r="E871" s="757">
        <v>3000.0</v>
      </c>
      <c r="F871" s="745" t="s">
        <v>3481</v>
      </c>
      <c r="G871" s="745" t="s">
        <v>18</v>
      </c>
      <c r="H871" s="745" t="s">
        <v>18</v>
      </c>
      <c r="I871" s="755" t="s">
        <v>5810</v>
      </c>
      <c r="J871" s="755">
        <v>44062.0</v>
      </c>
      <c r="K871" s="745" t="s">
        <v>3651</v>
      </c>
      <c r="L871" s="754"/>
      <c r="M871" s="754"/>
      <c r="N871" s="754"/>
      <c r="O871" s="754"/>
      <c r="P871" s="754"/>
      <c r="Q871" s="754"/>
      <c r="R871" s="754"/>
      <c r="S871" s="754"/>
      <c r="T871" s="754"/>
      <c r="U871" s="754"/>
      <c r="V871" s="754"/>
      <c r="W871" s="754"/>
      <c r="X871" s="754"/>
      <c r="Y871" s="754"/>
      <c r="Z871" s="754"/>
      <c r="AA871" s="754"/>
      <c r="AB871" s="754"/>
      <c r="AC871" s="754"/>
      <c r="AD871" s="754"/>
      <c r="AE871" s="754"/>
      <c r="AF871" s="754"/>
      <c r="AG871" s="754"/>
      <c r="AH871" s="754"/>
      <c r="AI871" s="754"/>
      <c r="AJ871" s="754"/>
      <c r="AK871" s="754"/>
      <c r="AL871" s="754"/>
      <c r="AM871" s="754"/>
      <c r="AN871" s="754"/>
      <c r="AO871" s="754"/>
      <c r="AP871" s="754"/>
      <c r="AQ871" s="754"/>
      <c r="AR871" s="754"/>
      <c r="AS871" s="754"/>
      <c r="AT871" s="754"/>
      <c r="AU871" s="754"/>
    </row>
    <row r="872" ht="15.75" customHeight="1">
      <c r="A872" s="755">
        <v>44662.0</v>
      </c>
      <c r="B872" s="756" t="s">
        <v>3301</v>
      </c>
      <c r="C872" s="710" t="s">
        <v>2376</v>
      </c>
      <c r="D872" s="745" t="s">
        <v>2387</v>
      </c>
      <c r="E872" s="757">
        <v>119000.0</v>
      </c>
      <c r="F872" s="710" t="s">
        <v>3300</v>
      </c>
      <c r="G872" s="745" t="s">
        <v>18</v>
      </c>
      <c r="H872" s="745" t="s">
        <v>145</v>
      </c>
      <c r="I872" s="745" t="s">
        <v>2464</v>
      </c>
      <c r="J872" s="755">
        <v>44199.0</v>
      </c>
      <c r="K872" s="755" t="s">
        <v>3660</v>
      </c>
      <c r="L872" s="754"/>
      <c r="M872" s="754"/>
      <c r="N872" s="754"/>
      <c r="O872" s="754"/>
      <c r="P872" s="754"/>
      <c r="Q872" s="754"/>
      <c r="R872" s="754"/>
      <c r="S872" s="754"/>
      <c r="T872" s="754"/>
      <c r="U872" s="754"/>
      <c r="V872" s="754"/>
      <c r="W872" s="754"/>
      <c r="X872" s="754"/>
      <c r="Y872" s="754"/>
      <c r="Z872" s="754"/>
      <c r="AA872" s="754"/>
      <c r="AB872" s="754"/>
      <c r="AC872" s="754"/>
      <c r="AD872" s="754"/>
      <c r="AE872" s="754"/>
      <c r="AF872" s="754"/>
      <c r="AG872" s="754"/>
      <c r="AH872" s="754"/>
      <c r="AI872" s="754"/>
      <c r="AJ872" s="754"/>
      <c r="AK872" s="754"/>
      <c r="AL872" s="754"/>
      <c r="AM872" s="754"/>
      <c r="AN872" s="754"/>
      <c r="AO872" s="754"/>
      <c r="AP872" s="754"/>
      <c r="AQ872" s="754"/>
      <c r="AR872" s="754"/>
      <c r="AS872" s="754"/>
      <c r="AT872" s="754"/>
      <c r="AU872" s="754"/>
    </row>
    <row r="873" ht="15.75" customHeight="1">
      <c r="A873" s="755">
        <v>44663.0</v>
      </c>
      <c r="B873" s="756" t="s">
        <v>6100</v>
      </c>
      <c r="C873" s="710" t="s">
        <v>3642</v>
      </c>
      <c r="D873" s="745" t="s">
        <v>5903</v>
      </c>
      <c r="E873" s="757">
        <v>50000.0</v>
      </c>
      <c r="F873" s="710" t="s">
        <v>1682</v>
      </c>
      <c r="G873" s="745" t="s">
        <v>18</v>
      </c>
      <c r="H873" s="745" t="s">
        <v>19</v>
      </c>
      <c r="I873" s="745" t="s">
        <v>20</v>
      </c>
      <c r="J873" s="755">
        <v>44614.0</v>
      </c>
      <c r="K873" s="745" t="s">
        <v>3651</v>
      </c>
      <c r="L873" s="754"/>
      <c r="M873" s="754"/>
      <c r="N873" s="754"/>
      <c r="O873" s="754"/>
      <c r="P873" s="754"/>
      <c r="Q873" s="754"/>
      <c r="R873" s="754"/>
      <c r="S873" s="754"/>
      <c r="T873" s="754"/>
      <c r="U873" s="754"/>
      <c r="V873" s="754"/>
      <c r="W873" s="754"/>
      <c r="X873" s="754"/>
      <c r="Y873" s="754"/>
      <c r="Z873" s="754"/>
      <c r="AA873" s="754"/>
      <c r="AB873" s="754"/>
      <c r="AC873" s="754"/>
      <c r="AD873" s="754"/>
      <c r="AE873" s="754"/>
      <c r="AF873" s="754"/>
      <c r="AG873" s="754"/>
      <c r="AH873" s="754"/>
      <c r="AI873" s="754"/>
      <c r="AJ873" s="754"/>
      <c r="AK873" s="754"/>
      <c r="AL873" s="754"/>
      <c r="AM873" s="754"/>
      <c r="AN873" s="754"/>
      <c r="AO873" s="754"/>
      <c r="AP873" s="754"/>
      <c r="AQ873" s="754"/>
      <c r="AR873" s="754"/>
      <c r="AS873" s="754"/>
      <c r="AT873" s="754"/>
      <c r="AU873" s="754"/>
    </row>
    <row r="874" ht="15.75" customHeight="1">
      <c r="A874" s="755">
        <v>44663.0</v>
      </c>
      <c r="B874" s="756" t="s">
        <v>6101</v>
      </c>
      <c r="C874" s="710" t="s">
        <v>2376</v>
      </c>
      <c r="D874" s="745" t="s">
        <v>5903</v>
      </c>
      <c r="E874" s="757">
        <v>33000.0</v>
      </c>
      <c r="F874" s="710" t="s">
        <v>6102</v>
      </c>
      <c r="G874" s="745" t="s">
        <v>18</v>
      </c>
      <c r="H874" s="745" t="s">
        <v>145</v>
      </c>
      <c r="I874" s="745" t="s">
        <v>171</v>
      </c>
      <c r="J874" s="755">
        <v>44615.0</v>
      </c>
      <c r="K874" s="745" t="s">
        <v>3660</v>
      </c>
      <c r="L874" s="754"/>
      <c r="M874" s="754"/>
      <c r="N874" s="754"/>
      <c r="O874" s="754"/>
      <c r="P874" s="754"/>
      <c r="Q874" s="754"/>
      <c r="R874" s="754"/>
      <c r="S874" s="754"/>
      <c r="T874" s="754"/>
      <c r="U874" s="754"/>
      <c r="V874" s="754"/>
      <c r="W874" s="754"/>
      <c r="X874" s="754"/>
      <c r="Y874" s="754"/>
      <c r="Z874" s="754"/>
      <c r="AA874" s="754"/>
      <c r="AB874" s="754"/>
      <c r="AC874" s="754"/>
      <c r="AD874" s="754"/>
      <c r="AE874" s="754"/>
      <c r="AF874" s="754"/>
      <c r="AG874" s="754"/>
      <c r="AH874" s="754"/>
      <c r="AI874" s="754"/>
      <c r="AJ874" s="754"/>
      <c r="AK874" s="754"/>
      <c r="AL874" s="754"/>
      <c r="AM874" s="754"/>
      <c r="AN874" s="754"/>
      <c r="AO874" s="754"/>
      <c r="AP874" s="754"/>
      <c r="AQ874" s="754"/>
      <c r="AR874" s="754"/>
      <c r="AS874" s="754"/>
      <c r="AT874" s="754"/>
      <c r="AU874" s="754"/>
    </row>
    <row r="875" ht="15.75" customHeight="1">
      <c r="A875" s="755">
        <v>44663.0</v>
      </c>
      <c r="B875" s="756" t="s">
        <v>6103</v>
      </c>
      <c r="C875" s="710" t="s">
        <v>3642</v>
      </c>
      <c r="D875" s="745" t="s">
        <v>5903</v>
      </c>
      <c r="E875" s="757">
        <v>129700.0</v>
      </c>
      <c r="F875" s="710" t="s">
        <v>4944</v>
      </c>
      <c r="G875" s="745" t="s">
        <v>86</v>
      </c>
      <c r="H875" s="745" t="s">
        <v>29</v>
      </c>
      <c r="I875" s="745" t="s">
        <v>3972</v>
      </c>
      <c r="J875" s="755">
        <v>44320.0</v>
      </c>
      <c r="K875" s="745" t="s">
        <v>3647</v>
      </c>
      <c r="L875" s="754"/>
      <c r="M875" s="754"/>
      <c r="N875" s="754"/>
      <c r="O875" s="754"/>
      <c r="P875" s="754"/>
      <c r="Q875" s="754"/>
      <c r="R875" s="754"/>
      <c r="S875" s="754"/>
      <c r="T875" s="754"/>
      <c r="U875" s="754"/>
      <c r="V875" s="754"/>
      <c r="W875" s="754"/>
      <c r="X875" s="754"/>
      <c r="Y875" s="754"/>
      <c r="Z875" s="754"/>
      <c r="AA875" s="754"/>
      <c r="AB875" s="754"/>
      <c r="AC875" s="754"/>
      <c r="AD875" s="754"/>
      <c r="AE875" s="754"/>
      <c r="AF875" s="754"/>
      <c r="AG875" s="754"/>
      <c r="AH875" s="754"/>
      <c r="AI875" s="754"/>
      <c r="AJ875" s="754"/>
      <c r="AK875" s="754"/>
      <c r="AL875" s="754"/>
      <c r="AM875" s="754"/>
      <c r="AN875" s="754"/>
      <c r="AO875" s="754"/>
      <c r="AP875" s="754"/>
      <c r="AQ875" s="754"/>
      <c r="AR875" s="754"/>
      <c r="AS875" s="754"/>
      <c r="AT875" s="754"/>
      <c r="AU875" s="754"/>
    </row>
    <row r="876" ht="15.75" customHeight="1">
      <c r="A876" s="755">
        <v>44663.0</v>
      </c>
      <c r="B876" s="756" t="s">
        <v>2811</v>
      </c>
      <c r="C876" s="710" t="s">
        <v>2376</v>
      </c>
      <c r="D876" s="745" t="s">
        <v>5903</v>
      </c>
      <c r="E876" s="757">
        <v>6000.0</v>
      </c>
      <c r="F876" s="710" t="s">
        <v>2810</v>
      </c>
      <c r="G876" s="745" t="s">
        <v>2379</v>
      </c>
      <c r="H876" s="745" t="s">
        <v>29</v>
      </c>
      <c r="I876" s="745" t="s">
        <v>2380</v>
      </c>
      <c r="J876" s="755">
        <v>43703.0</v>
      </c>
      <c r="K876" s="755" t="s">
        <v>4033</v>
      </c>
      <c r="L876" s="754"/>
      <c r="M876" s="754"/>
      <c r="N876" s="754"/>
      <c r="O876" s="754"/>
      <c r="P876" s="754"/>
      <c r="Q876" s="754"/>
      <c r="R876" s="754"/>
      <c r="S876" s="754"/>
      <c r="T876" s="754"/>
      <c r="U876" s="754"/>
      <c r="V876" s="754"/>
      <c r="W876" s="754"/>
      <c r="X876" s="754"/>
      <c r="Y876" s="754"/>
      <c r="Z876" s="754"/>
      <c r="AA876" s="754"/>
      <c r="AB876" s="754"/>
      <c r="AC876" s="754"/>
      <c r="AD876" s="754"/>
      <c r="AE876" s="754"/>
      <c r="AF876" s="754"/>
      <c r="AG876" s="754"/>
      <c r="AH876" s="754"/>
      <c r="AI876" s="754"/>
      <c r="AJ876" s="754"/>
      <c r="AK876" s="754"/>
      <c r="AL876" s="754"/>
      <c r="AM876" s="754"/>
      <c r="AN876" s="754"/>
      <c r="AO876" s="754"/>
      <c r="AP876" s="754"/>
      <c r="AQ876" s="754"/>
      <c r="AR876" s="754"/>
      <c r="AS876" s="754"/>
      <c r="AT876" s="754"/>
      <c r="AU876" s="754"/>
    </row>
    <row r="877" ht="15.75" customHeight="1">
      <c r="A877" s="755">
        <v>44665.0</v>
      </c>
      <c r="B877" s="756" t="s">
        <v>6104</v>
      </c>
      <c r="C877" s="710" t="s">
        <v>3642</v>
      </c>
      <c r="D877" s="745" t="s">
        <v>5902</v>
      </c>
      <c r="E877" s="757">
        <v>66169.95</v>
      </c>
      <c r="F877" s="745" t="s">
        <v>3695</v>
      </c>
      <c r="G877" s="745" t="s">
        <v>18</v>
      </c>
      <c r="H877" s="745" t="s">
        <v>19</v>
      </c>
      <c r="I877" s="755" t="s">
        <v>230</v>
      </c>
      <c r="J877" s="755">
        <v>44547.0</v>
      </c>
      <c r="K877" s="745" t="s">
        <v>3664</v>
      </c>
      <c r="L877" s="754"/>
      <c r="M877" s="754"/>
      <c r="N877" s="754"/>
      <c r="O877" s="754"/>
      <c r="P877" s="754"/>
      <c r="Q877" s="754"/>
      <c r="R877" s="754"/>
      <c r="S877" s="754"/>
      <c r="T877" s="754"/>
      <c r="U877" s="754"/>
      <c r="V877" s="754"/>
      <c r="W877" s="754"/>
      <c r="X877" s="754"/>
      <c r="Y877" s="754"/>
      <c r="Z877" s="754"/>
      <c r="AA877" s="754"/>
      <c r="AB877" s="754"/>
      <c r="AC877" s="754"/>
      <c r="AD877" s="754"/>
      <c r="AE877" s="754"/>
      <c r="AF877" s="754"/>
      <c r="AG877" s="754"/>
      <c r="AH877" s="754"/>
      <c r="AI877" s="754"/>
      <c r="AJ877" s="754"/>
      <c r="AK877" s="754"/>
      <c r="AL877" s="754"/>
      <c r="AM877" s="754"/>
      <c r="AN877" s="754"/>
      <c r="AO877" s="754"/>
      <c r="AP877" s="754"/>
      <c r="AQ877" s="754"/>
      <c r="AR877" s="754"/>
      <c r="AS877" s="754"/>
      <c r="AT877" s="754"/>
      <c r="AU877" s="754"/>
    </row>
    <row r="878" ht="15.75" customHeight="1">
      <c r="A878" s="755">
        <v>44669.0</v>
      </c>
      <c r="B878" s="756" t="s">
        <v>6105</v>
      </c>
      <c r="C878" s="710" t="s">
        <v>3642</v>
      </c>
      <c r="D878" s="745" t="s">
        <v>5902</v>
      </c>
      <c r="E878" s="757">
        <v>154271.19</v>
      </c>
      <c r="F878" s="745" t="s">
        <v>4535</v>
      </c>
      <c r="G878" s="745" t="s">
        <v>18</v>
      </c>
      <c r="H878" s="745" t="s">
        <v>29</v>
      </c>
      <c r="I878" s="755" t="s">
        <v>3913</v>
      </c>
      <c r="J878" s="755">
        <v>44389.0</v>
      </c>
      <c r="K878" s="745" t="s">
        <v>3647</v>
      </c>
      <c r="L878" s="754"/>
      <c r="M878" s="754"/>
      <c r="N878" s="754"/>
      <c r="O878" s="754"/>
      <c r="P878" s="754"/>
      <c r="Q878" s="754"/>
      <c r="R878" s="754"/>
      <c r="S878" s="754"/>
      <c r="T878" s="754"/>
      <c r="U878" s="754"/>
      <c r="V878" s="754"/>
      <c r="W878" s="754"/>
      <c r="X878" s="754"/>
      <c r="Y878" s="754"/>
      <c r="Z878" s="754"/>
      <c r="AA878" s="754"/>
      <c r="AB878" s="754"/>
      <c r="AC878" s="754"/>
      <c r="AD878" s="754"/>
      <c r="AE878" s="754"/>
      <c r="AF878" s="754"/>
      <c r="AG878" s="754"/>
      <c r="AH878" s="754"/>
      <c r="AI878" s="754"/>
      <c r="AJ878" s="754"/>
      <c r="AK878" s="754"/>
      <c r="AL878" s="754"/>
      <c r="AM878" s="754"/>
      <c r="AN878" s="754"/>
      <c r="AO878" s="754"/>
      <c r="AP878" s="754"/>
      <c r="AQ878" s="754"/>
      <c r="AR878" s="754"/>
      <c r="AS878" s="754"/>
      <c r="AT878" s="754"/>
      <c r="AU878" s="754"/>
    </row>
    <row r="879" ht="15.75" customHeight="1">
      <c r="A879" s="755">
        <v>44669.0</v>
      </c>
      <c r="B879" s="756" t="s">
        <v>6106</v>
      </c>
      <c r="C879" s="710" t="s">
        <v>3642</v>
      </c>
      <c r="D879" s="745" t="s">
        <v>5903</v>
      </c>
      <c r="E879" s="757">
        <v>20000.0</v>
      </c>
      <c r="F879" s="745" t="s">
        <v>4803</v>
      </c>
      <c r="G879" s="745" t="s">
        <v>18</v>
      </c>
      <c r="H879" s="745" t="s">
        <v>29</v>
      </c>
      <c r="I879" s="755" t="s">
        <v>865</v>
      </c>
      <c r="J879" s="755">
        <v>44424.0</v>
      </c>
      <c r="K879" s="745" t="s">
        <v>3660</v>
      </c>
      <c r="L879" s="754"/>
      <c r="M879" s="754"/>
      <c r="N879" s="754"/>
      <c r="O879" s="754"/>
      <c r="P879" s="754"/>
      <c r="Q879" s="754"/>
      <c r="R879" s="754"/>
      <c r="S879" s="754"/>
      <c r="T879" s="754"/>
      <c r="U879" s="754"/>
      <c r="V879" s="754"/>
      <c r="W879" s="754"/>
      <c r="X879" s="754"/>
      <c r="Y879" s="754"/>
      <c r="Z879" s="754"/>
      <c r="AA879" s="754"/>
      <c r="AB879" s="754"/>
      <c r="AC879" s="754"/>
      <c r="AD879" s="754"/>
      <c r="AE879" s="754"/>
      <c r="AF879" s="754"/>
      <c r="AG879" s="754"/>
      <c r="AH879" s="754"/>
      <c r="AI879" s="754"/>
      <c r="AJ879" s="754"/>
      <c r="AK879" s="754"/>
      <c r="AL879" s="754"/>
      <c r="AM879" s="754"/>
      <c r="AN879" s="754"/>
      <c r="AO879" s="754"/>
      <c r="AP879" s="754"/>
      <c r="AQ879" s="754"/>
      <c r="AR879" s="754"/>
      <c r="AS879" s="754"/>
      <c r="AT879" s="754"/>
      <c r="AU879" s="754"/>
    </row>
    <row r="880" ht="15.75" customHeight="1">
      <c r="A880" s="755">
        <v>44669.0</v>
      </c>
      <c r="B880" s="756" t="s">
        <v>5925</v>
      </c>
      <c r="C880" s="710" t="s">
        <v>3642</v>
      </c>
      <c r="D880" s="745" t="s">
        <v>5903</v>
      </c>
      <c r="E880" s="757">
        <v>25000.0</v>
      </c>
      <c r="F880" s="745" t="s">
        <v>4215</v>
      </c>
      <c r="G880" s="745" t="s">
        <v>86</v>
      </c>
      <c r="H880" s="745" t="s">
        <v>29</v>
      </c>
      <c r="I880" s="755" t="s">
        <v>3711</v>
      </c>
      <c r="J880" s="755">
        <v>44263.0</v>
      </c>
      <c r="K880" s="745" t="s">
        <v>3651</v>
      </c>
      <c r="L880" s="754"/>
      <c r="M880" s="754"/>
      <c r="N880" s="754"/>
      <c r="O880" s="754"/>
      <c r="P880" s="754"/>
      <c r="Q880" s="754"/>
      <c r="R880" s="754"/>
      <c r="S880" s="754"/>
      <c r="T880" s="754"/>
      <c r="U880" s="754"/>
      <c r="V880" s="754"/>
      <c r="W880" s="754"/>
      <c r="X880" s="754"/>
      <c r="Y880" s="754"/>
      <c r="Z880" s="754"/>
      <c r="AA880" s="754"/>
      <c r="AB880" s="754"/>
      <c r="AC880" s="754"/>
      <c r="AD880" s="754"/>
      <c r="AE880" s="754"/>
      <c r="AF880" s="754"/>
      <c r="AG880" s="754"/>
      <c r="AH880" s="754"/>
      <c r="AI880" s="754"/>
      <c r="AJ880" s="754"/>
      <c r="AK880" s="754"/>
      <c r="AL880" s="754"/>
      <c r="AM880" s="754"/>
      <c r="AN880" s="754"/>
      <c r="AO880" s="754"/>
      <c r="AP880" s="754"/>
      <c r="AQ880" s="754"/>
      <c r="AR880" s="754"/>
      <c r="AS880" s="754"/>
      <c r="AT880" s="754"/>
      <c r="AU880" s="754"/>
    </row>
    <row r="881" ht="15.75" customHeight="1">
      <c r="A881" s="755">
        <v>44669.0</v>
      </c>
      <c r="B881" s="756" t="s">
        <v>6086</v>
      </c>
      <c r="C881" s="710" t="s">
        <v>3642</v>
      </c>
      <c r="D881" s="745" t="s">
        <v>5903</v>
      </c>
      <c r="E881" s="757">
        <v>10000.0</v>
      </c>
      <c r="F881" s="710" t="s">
        <v>6087</v>
      </c>
      <c r="G881" s="745" t="s">
        <v>18</v>
      </c>
      <c r="H881" s="745" t="s">
        <v>19</v>
      </c>
      <c r="I881" s="745" t="s">
        <v>20</v>
      </c>
      <c r="J881" s="755">
        <v>44656.0</v>
      </c>
      <c r="K881" s="745" t="s">
        <v>3651</v>
      </c>
      <c r="L881" s="754"/>
      <c r="M881" s="754"/>
      <c r="N881" s="754"/>
      <c r="O881" s="754"/>
      <c r="P881" s="754"/>
      <c r="Q881" s="754"/>
      <c r="R881" s="754"/>
      <c r="S881" s="754"/>
      <c r="T881" s="754"/>
      <c r="U881" s="754"/>
      <c r="V881" s="754"/>
      <c r="W881" s="754"/>
      <c r="X881" s="754"/>
      <c r="Y881" s="754"/>
      <c r="Z881" s="754"/>
      <c r="AA881" s="754"/>
      <c r="AB881" s="754"/>
      <c r="AC881" s="754"/>
      <c r="AD881" s="754"/>
      <c r="AE881" s="754"/>
      <c r="AF881" s="754"/>
      <c r="AG881" s="754"/>
      <c r="AH881" s="754"/>
      <c r="AI881" s="754"/>
      <c r="AJ881" s="754"/>
      <c r="AK881" s="754"/>
      <c r="AL881" s="754"/>
      <c r="AM881" s="754"/>
      <c r="AN881" s="754"/>
      <c r="AO881" s="754"/>
      <c r="AP881" s="754"/>
      <c r="AQ881" s="754"/>
      <c r="AR881" s="754"/>
      <c r="AS881" s="754"/>
      <c r="AT881" s="754"/>
      <c r="AU881" s="754"/>
    </row>
    <row r="882" ht="15.75" customHeight="1">
      <c r="A882" s="755">
        <v>44669.0</v>
      </c>
      <c r="B882" s="756">
        <v>7542389.0</v>
      </c>
      <c r="C882" s="710" t="s">
        <v>3642</v>
      </c>
      <c r="D882" s="745" t="s">
        <v>5903</v>
      </c>
      <c r="E882" s="757">
        <v>1000.0</v>
      </c>
      <c r="F882" s="710" t="s">
        <v>4685</v>
      </c>
      <c r="G882" s="745" t="s">
        <v>86</v>
      </c>
      <c r="H882" s="745" t="s">
        <v>29</v>
      </c>
      <c r="I882" s="745" t="s">
        <v>3697</v>
      </c>
      <c r="J882" s="755">
        <v>44579.0</v>
      </c>
      <c r="K882" s="745" t="s">
        <v>3995</v>
      </c>
      <c r="L882" s="754"/>
      <c r="M882" s="754"/>
      <c r="N882" s="754"/>
      <c r="O882" s="754"/>
      <c r="P882" s="754"/>
      <c r="Q882" s="754"/>
      <c r="R882" s="754"/>
      <c r="S882" s="754"/>
      <c r="T882" s="754"/>
      <c r="U882" s="754"/>
      <c r="V882" s="754"/>
      <c r="W882" s="754"/>
      <c r="X882" s="754"/>
      <c r="Y882" s="754"/>
      <c r="Z882" s="754"/>
      <c r="AA882" s="754"/>
      <c r="AB882" s="754"/>
      <c r="AC882" s="754"/>
      <c r="AD882" s="754"/>
      <c r="AE882" s="754"/>
      <c r="AF882" s="754"/>
      <c r="AG882" s="754"/>
      <c r="AH882" s="754"/>
      <c r="AI882" s="754"/>
      <c r="AJ882" s="754"/>
      <c r="AK882" s="754"/>
      <c r="AL882" s="754"/>
      <c r="AM882" s="754"/>
      <c r="AN882" s="754"/>
      <c r="AO882" s="754"/>
      <c r="AP882" s="754"/>
      <c r="AQ882" s="754"/>
      <c r="AR882" s="754"/>
      <c r="AS882" s="754"/>
      <c r="AT882" s="754"/>
      <c r="AU882" s="754"/>
    </row>
    <row r="883" ht="15.75" customHeight="1">
      <c r="A883" s="755">
        <v>44669.0</v>
      </c>
      <c r="B883" s="756" t="s">
        <v>5941</v>
      </c>
      <c r="C883" s="710" t="s">
        <v>3642</v>
      </c>
      <c r="D883" s="745" t="s">
        <v>5903</v>
      </c>
      <c r="E883" s="757">
        <v>5000.0</v>
      </c>
      <c r="F883" s="710" t="s">
        <v>4928</v>
      </c>
      <c r="G883" s="745" t="s">
        <v>86</v>
      </c>
      <c r="H883" s="745" t="s">
        <v>29</v>
      </c>
      <c r="I883" s="745" t="s">
        <v>4314</v>
      </c>
      <c r="J883" s="755">
        <v>44180.0</v>
      </c>
      <c r="K883" s="745" t="s">
        <v>3651</v>
      </c>
      <c r="L883" s="754"/>
      <c r="M883" s="754"/>
      <c r="N883" s="754"/>
      <c r="O883" s="754"/>
      <c r="P883" s="754"/>
      <c r="Q883" s="754"/>
      <c r="R883" s="754"/>
      <c r="S883" s="754"/>
      <c r="T883" s="754"/>
      <c r="U883" s="754"/>
      <c r="V883" s="754"/>
      <c r="W883" s="754"/>
      <c r="X883" s="754"/>
      <c r="Y883" s="754"/>
      <c r="Z883" s="754"/>
      <c r="AA883" s="754"/>
      <c r="AB883" s="754"/>
      <c r="AC883" s="754"/>
      <c r="AD883" s="754"/>
      <c r="AE883" s="754"/>
      <c r="AF883" s="754"/>
      <c r="AG883" s="754"/>
      <c r="AH883" s="754"/>
      <c r="AI883" s="754"/>
      <c r="AJ883" s="754"/>
      <c r="AK883" s="754"/>
      <c r="AL883" s="754"/>
      <c r="AM883" s="754"/>
      <c r="AN883" s="754"/>
      <c r="AO883" s="754"/>
      <c r="AP883" s="754"/>
      <c r="AQ883" s="754"/>
      <c r="AR883" s="754"/>
      <c r="AS883" s="754"/>
      <c r="AT883" s="754"/>
      <c r="AU883" s="754"/>
    </row>
    <row r="884" ht="15.75" customHeight="1">
      <c r="A884" s="755">
        <v>44670.0</v>
      </c>
      <c r="B884" s="756" t="s">
        <v>3075</v>
      </c>
      <c r="C884" s="710" t="s">
        <v>2376</v>
      </c>
      <c r="D884" s="745" t="s">
        <v>5903</v>
      </c>
      <c r="E884" s="757">
        <v>62000.0</v>
      </c>
      <c r="F884" s="710" t="s">
        <v>6107</v>
      </c>
      <c r="G884" s="745" t="s">
        <v>2379</v>
      </c>
      <c r="H884" s="745" t="s">
        <v>29</v>
      </c>
      <c r="I884" s="745" t="s">
        <v>2380</v>
      </c>
      <c r="J884" s="755">
        <v>43811.0</v>
      </c>
      <c r="K884" s="745" t="s">
        <v>3660</v>
      </c>
      <c r="L884" s="754"/>
      <c r="M884" s="754"/>
      <c r="N884" s="754"/>
      <c r="O884" s="754"/>
      <c r="P884" s="754"/>
      <c r="Q884" s="754"/>
      <c r="R884" s="754"/>
      <c r="S884" s="754"/>
      <c r="T884" s="754"/>
      <c r="U884" s="754"/>
      <c r="V884" s="754"/>
      <c r="W884" s="754"/>
      <c r="X884" s="754"/>
      <c r="Y884" s="754"/>
      <c r="Z884" s="754"/>
      <c r="AA884" s="754"/>
      <c r="AB884" s="754"/>
      <c r="AC884" s="754"/>
      <c r="AD884" s="754"/>
      <c r="AE884" s="754"/>
      <c r="AF884" s="754"/>
      <c r="AG884" s="754"/>
      <c r="AH884" s="754"/>
      <c r="AI884" s="754"/>
      <c r="AJ884" s="754"/>
      <c r="AK884" s="754"/>
      <c r="AL884" s="754"/>
      <c r="AM884" s="754"/>
      <c r="AN884" s="754"/>
      <c r="AO884" s="754"/>
      <c r="AP884" s="754"/>
      <c r="AQ884" s="754"/>
      <c r="AR884" s="754"/>
      <c r="AS884" s="754"/>
      <c r="AT884" s="754"/>
      <c r="AU884" s="754"/>
    </row>
    <row r="885" ht="15.75" customHeight="1">
      <c r="A885" s="755">
        <v>44671.0</v>
      </c>
      <c r="B885" s="756" t="s">
        <v>6108</v>
      </c>
      <c r="C885" s="710" t="s">
        <v>3642</v>
      </c>
      <c r="D885" s="745" t="s">
        <v>2387</v>
      </c>
      <c r="E885" s="757">
        <v>581895.17</v>
      </c>
      <c r="F885" s="710" t="s">
        <v>3663</v>
      </c>
      <c r="G885" s="745" t="s">
        <v>18</v>
      </c>
      <c r="H885" s="745" t="s">
        <v>19</v>
      </c>
      <c r="I885" s="745" t="s">
        <v>5099</v>
      </c>
      <c r="J885" s="755">
        <v>44084.0</v>
      </c>
      <c r="K885" s="745" t="s">
        <v>3664</v>
      </c>
      <c r="L885" s="754"/>
      <c r="M885" s="754"/>
      <c r="N885" s="754"/>
      <c r="O885" s="754"/>
      <c r="P885" s="754"/>
      <c r="Q885" s="754"/>
      <c r="R885" s="754"/>
      <c r="S885" s="754"/>
      <c r="T885" s="754"/>
      <c r="U885" s="754"/>
      <c r="V885" s="754"/>
      <c r="W885" s="754"/>
      <c r="X885" s="754"/>
      <c r="Y885" s="754"/>
      <c r="Z885" s="754"/>
      <c r="AA885" s="754"/>
      <c r="AB885" s="754"/>
      <c r="AC885" s="754"/>
      <c r="AD885" s="754"/>
      <c r="AE885" s="754"/>
      <c r="AF885" s="754"/>
      <c r="AG885" s="754"/>
      <c r="AH885" s="754"/>
      <c r="AI885" s="754"/>
      <c r="AJ885" s="754"/>
      <c r="AK885" s="754"/>
      <c r="AL885" s="754"/>
      <c r="AM885" s="754"/>
      <c r="AN885" s="754"/>
      <c r="AO885" s="754"/>
      <c r="AP885" s="754"/>
      <c r="AQ885" s="754"/>
      <c r="AR885" s="754"/>
      <c r="AS885" s="754"/>
      <c r="AT885" s="754"/>
      <c r="AU885" s="754"/>
    </row>
    <row r="886" ht="15.75" customHeight="1">
      <c r="A886" s="755">
        <v>44671.0</v>
      </c>
      <c r="B886" s="756" t="s">
        <v>6109</v>
      </c>
      <c r="C886" s="710" t="s">
        <v>3642</v>
      </c>
      <c r="D886" s="745" t="s">
        <v>5903</v>
      </c>
      <c r="E886" s="757">
        <v>10000.0</v>
      </c>
      <c r="F886" s="710" t="s">
        <v>4583</v>
      </c>
      <c r="G886" s="745" t="s">
        <v>18</v>
      </c>
      <c r="H886" s="745" t="s">
        <v>19</v>
      </c>
      <c r="I886" s="745" t="s">
        <v>201</v>
      </c>
      <c r="J886" s="755">
        <v>44645.0</v>
      </c>
      <c r="K886" s="745" t="s">
        <v>3657</v>
      </c>
      <c r="L886" s="754"/>
      <c r="M886" s="754"/>
      <c r="N886" s="754"/>
      <c r="O886" s="754"/>
      <c r="P886" s="754"/>
      <c r="Q886" s="754"/>
      <c r="R886" s="754"/>
      <c r="S886" s="754"/>
      <c r="T886" s="754"/>
      <c r="U886" s="754"/>
      <c r="V886" s="754"/>
      <c r="W886" s="754"/>
      <c r="X886" s="754"/>
      <c r="Y886" s="754"/>
      <c r="Z886" s="754"/>
      <c r="AA886" s="754"/>
      <c r="AB886" s="754"/>
      <c r="AC886" s="754"/>
      <c r="AD886" s="754"/>
      <c r="AE886" s="754"/>
      <c r="AF886" s="754"/>
      <c r="AG886" s="754"/>
      <c r="AH886" s="754"/>
      <c r="AI886" s="754"/>
      <c r="AJ886" s="754"/>
      <c r="AK886" s="754"/>
      <c r="AL886" s="754"/>
      <c r="AM886" s="754"/>
      <c r="AN886" s="754"/>
      <c r="AO886" s="754"/>
      <c r="AP886" s="754"/>
      <c r="AQ886" s="754"/>
      <c r="AR886" s="754"/>
      <c r="AS886" s="754"/>
      <c r="AT886" s="754"/>
      <c r="AU886" s="754"/>
    </row>
    <row r="887" ht="15.75" customHeight="1">
      <c r="A887" s="755">
        <v>44671.0</v>
      </c>
      <c r="B887" s="756" t="s">
        <v>3267</v>
      </c>
      <c r="C887" s="710" t="s">
        <v>2376</v>
      </c>
      <c r="D887" s="745" t="s">
        <v>5903</v>
      </c>
      <c r="E887" s="757">
        <v>15000.0</v>
      </c>
      <c r="F887" s="710" t="s">
        <v>6110</v>
      </c>
      <c r="G887" s="745" t="s">
        <v>18</v>
      </c>
      <c r="H887" s="745" t="s">
        <v>145</v>
      </c>
      <c r="I887" s="745" t="s">
        <v>171</v>
      </c>
      <c r="J887" s="755">
        <v>44319.0</v>
      </c>
      <c r="K887" s="745" t="s">
        <v>3651</v>
      </c>
      <c r="L887" s="754"/>
      <c r="M887" s="754"/>
      <c r="N887" s="754"/>
      <c r="O887" s="754"/>
      <c r="P887" s="754"/>
      <c r="Q887" s="754"/>
      <c r="R887" s="754"/>
      <c r="S887" s="754"/>
      <c r="T887" s="754"/>
      <c r="U887" s="754"/>
      <c r="V887" s="754"/>
      <c r="W887" s="754"/>
      <c r="X887" s="754"/>
      <c r="Y887" s="754"/>
      <c r="Z887" s="754"/>
      <c r="AA887" s="754"/>
      <c r="AB887" s="754"/>
      <c r="AC887" s="754"/>
      <c r="AD887" s="754"/>
      <c r="AE887" s="754"/>
      <c r="AF887" s="754"/>
      <c r="AG887" s="754"/>
      <c r="AH887" s="754"/>
      <c r="AI887" s="754"/>
      <c r="AJ887" s="754"/>
      <c r="AK887" s="754"/>
      <c r="AL887" s="754"/>
      <c r="AM887" s="754"/>
      <c r="AN887" s="754"/>
      <c r="AO887" s="754"/>
      <c r="AP887" s="754"/>
      <c r="AQ887" s="754"/>
      <c r="AR887" s="754"/>
      <c r="AS887" s="754"/>
      <c r="AT887" s="754"/>
      <c r="AU887" s="754"/>
    </row>
    <row r="888" ht="15.75" customHeight="1">
      <c r="A888" s="755">
        <v>44671.0</v>
      </c>
      <c r="B888" s="756" t="s">
        <v>2628</v>
      </c>
      <c r="C888" s="710" t="s">
        <v>2376</v>
      </c>
      <c r="D888" s="745" t="s">
        <v>5903</v>
      </c>
      <c r="E888" s="757">
        <v>911.9</v>
      </c>
      <c r="F888" s="710" t="s">
        <v>582</v>
      </c>
      <c r="G888" s="745" t="s">
        <v>18</v>
      </c>
      <c r="H888" s="745" t="s">
        <v>145</v>
      </c>
      <c r="I888" s="745" t="s">
        <v>146</v>
      </c>
      <c r="J888" s="755">
        <v>44280.0</v>
      </c>
      <c r="K888" s="745" t="s">
        <v>3651</v>
      </c>
      <c r="L888" s="754"/>
      <c r="M888" s="754"/>
      <c r="N888" s="754"/>
      <c r="O888" s="754"/>
      <c r="P888" s="754"/>
      <c r="Q888" s="754"/>
      <c r="R888" s="754"/>
      <c r="S888" s="754"/>
      <c r="T888" s="754"/>
      <c r="U888" s="754"/>
      <c r="V888" s="754"/>
      <c r="W888" s="754"/>
      <c r="X888" s="754"/>
      <c r="Y888" s="754"/>
      <c r="Z888" s="754"/>
      <c r="AA888" s="754"/>
      <c r="AB888" s="754"/>
      <c r="AC888" s="754"/>
      <c r="AD888" s="754"/>
      <c r="AE888" s="754"/>
      <c r="AF888" s="754"/>
      <c r="AG888" s="754"/>
      <c r="AH888" s="754"/>
      <c r="AI888" s="754"/>
      <c r="AJ888" s="754"/>
      <c r="AK888" s="754"/>
      <c r="AL888" s="754"/>
      <c r="AM888" s="754"/>
      <c r="AN888" s="754"/>
      <c r="AO888" s="754"/>
      <c r="AP888" s="754"/>
      <c r="AQ888" s="754"/>
      <c r="AR888" s="754"/>
      <c r="AS888" s="754"/>
      <c r="AT888" s="754"/>
      <c r="AU888" s="754"/>
    </row>
    <row r="889" ht="15.75" customHeight="1">
      <c r="A889" s="755">
        <v>44673.0</v>
      </c>
      <c r="B889" s="756" t="s">
        <v>6076</v>
      </c>
      <c r="C889" s="710" t="s">
        <v>3642</v>
      </c>
      <c r="D889" s="745" t="s">
        <v>5903</v>
      </c>
      <c r="E889" s="757">
        <v>146000.0</v>
      </c>
      <c r="F889" s="710" t="s">
        <v>4333</v>
      </c>
      <c r="G889" s="745" t="s">
        <v>18</v>
      </c>
      <c r="H889" s="745" t="s">
        <v>19</v>
      </c>
      <c r="I889" s="745" t="s">
        <v>20</v>
      </c>
      <c r="J889" s="755">
        <v>44615.0</v>
      </c>
      <c r="K889" s="745" t="s">
        <v>3651</v>
      </c>
      <c r="L889" s="754"/>
      <c r="M889" s="754"/>
      <c r="N889" s="754"/>
      <c r="O889" s="754"/>
      <c r="P889" s="754"/>
      <c r="Q889" s="754"/>
      <c r="R889" s="754"/>
      <c r="S889" s="754"/>
      <c r="T889" s="754"/>
      <c r="U889" s="754"/>
      <c r="V889" s="754"/>
      <c r="W889" s="754"/>
      <c r="X889" s="754"/>
      <c r="Y889" s="754"/>
      <c r="Z889" s="754"/>
      <c r="AA889" s="754"/>
      <c r="AB889" s="754"/>
      <c r="AC889" s="754"/>
      <c r="AD889" s="754"/>
      <c r="AE889" s="754"/>
      <c r="AF889" s="754"/>
      <c r="AG889" s="754"/>
      <c r="AH889" s="754"/>
      <c r="AI889" s="754"/>
      <c r="AJ889" s="754"/>
      <c r="AK889" s="754"/>
      <c r="AL889" s="754"/>
      <c r="AM889" s="754"/>
      <c r="AN889" s="754"/>
      <c r="AO889" s="754"/>
      <c r="AP889" s="754"/>
      <c r="AQ889" s="754"/>
      <c r="AR889" s="754"/>
      <c r="AS889" s="754"/>
      <c r="AT889" s="754"/>
      <c r="AU889" s="754"/>
    </row>
    <row r="890" ht="15.75" customHeight="1">
      <c r="A890" s="755">
        <v>44673.0</v>
      </c>
      <c r="B890" s="756" t="s">
        <v>6111</v>
      </c>
      <c r="C890" s="710" t="s">
        <v>3642</v>
      </c>
      <c r="D890" s="745" t="s">
        <v>5902</v>
      </c>
      <c r="E890" s="757">
        <v>114850.92</v>
      </c>
      <c r="F890" s="710" t="s">
        <v>4252</v>
      </c>
      <c r="G890" s="745" t="s">
        <v>18</v>
      </c>
      <c r="H890" s="745" t="s">
        <v>19</v>
      </c>
      <c r="I890" s="745" t="s">
        <v>230</v>
      </c>
      <c r="J890" s="755">
        <v>44462.0</v>
      </c>
      <c r="K890" s="745" t="s">
        <v>3651</v>
      </c>
      <c r="L890" s="754"/>
      <c r="M890" s="754"/>
      <c r="N890" s="754"/>
      <c r="O890" s="754"/>
      <c r="P890" s="754"/>
      <c r="Q890" s="754"/>
      <c r="R890" s="754"/>
      <c r="S890" s="754"/>
      <c r="T890" s="754"/>
      <c r="U890" s="754"/>
      <c r="V890" s="754"/>
      <c r="W890" s="754"/>
      <c r="X890" s="754"/>
      <c r="Y890" s="754"/>
      <c r="Z890" s="754"/>
      <c r="AA890" s="754"/>
      <c r="AB890" s="754"/>
      <c r="AC890" s="754"/>
      <c r="AD890" s="754"/>
      <c r="AE890" s="754"/>
      <c r="AF890" s="754"/>
      <c r="AG890" s="754"/>
      <c r="AH890" s="754"/>
      <c r="AI890" s="754"/>
      <c r="AJ890" s="754"/>
      <c r="AK890" s="754"/>
      <c r="AL890" s="754"/>
      <c r="AM890" s="754"/>
      <c r="AN890" s="754"/>
      <c r="AO890" s="754"/>
      <c r="AP890" s="754"/>
      <c r="AQ890" s="754"/>
      <c r="AR890" s="754"/>
      <c r="AS890" s="754"/>
      <c r="AT890" s="754"/>
      <c r="AU890" s="754"/>
    </row>
    <row r="891" ht="15.75" customHeight="1">
      <c r="A891" s="755">
        <v>44673.0</v>
      </c>
      <c r="B891" s="756" t="s">
        <v>6112</v>
      </c>
      <c r="C891" s="710" t="s">
        <v>3642</v>
      </c>
      <c r="D891" s="745" t="s">
        <v>5903</v>
      </c>
      <c r="E891" s="757">
        <v>100000.0</v>
      </c>
      <c r="F891" s="710" t="s">
        <v>6113</v>
      </c>
      <c r="G891" s="745" t="s">
        <v>18</v>
      </c>
      <c r="H891" s="745" t="s">
        <v>19</v>
      </c>
      <c r="I891" s="755" t="s">
        <v>5891</v>
      </c>
      <c r="J891" s="755">
        <v>44454.0</v>
      </c>
      <c r="K891" s="745" t="s">
        <v>3651</v>
      </c>
      <c r="L891" s="754"/>
      <c r="M891" s="754"/>
      <c r="N891" s="754"/>
      <c r="O891" s="754"/>
      <c r="P891" s="754"/>
      <c r="Q891" s="754"/>
      <c r="R891" s="754"/>
      <c r="S891" s="754"/>
      <c r="T891" s="754"/>
      <c r="U891" s="754"/>
      <c r="V891" s="754"/>
      <c r="W891" s="754"/>
      <c r="X891" s="754"/>
      <c r="Y891" s="754"/>
      <c r="Z891" s="754"/>
      <c r="AA891" s="754"/>
      <c r="AB891" s="754"/>
      <c r="AC891" s="754"/>
      <c r="AD891" s="754"/>
      <c r="AE891" s="754"/>
      <c r="AF891" s="754"/>
      <c r="AG891" s="754"/>
      <c r="AH891" s="754"/>
      <c r="AI891" s="754"/>
      <c r="AJ891" s="754"/>
      <c r="AK891" s="754"/>
      <c r="AL891" s="754"/>
      <c r="AM891" s="754"/>
      <c r="AN891" s="754"/>
      <c r="AO891" s="754"/>
      <c r="AP891" s="754"/>
      <c r="AQ891" s="754"/>
      <c r="AR891" s="754"/>
      <c r="AS891" s="754"/>
      <c r="AT891" s="754"/>
      <c r="AU891" s="754"/>
    </row>
    <row r="892" ht="15.75" customHeight="1">
      <c r="A892" s="755">
        <v>44673.0</v>
      </c>
      <c r="B892" s="756" t="s">
        <v>2398</v>
      </c>
      <c r="C892" s="710" t="s">
        <v>2376</v>
      </c>
      <c r="D892" s="745" t="s">
        <v>5903</v>
      </c>
      <c r="E892" s="757">
        <v>100000.0</v>
      </c>
      <c r="F892" s="710" t="s">
        <v>6114</v>
      </c>
      <c r="G892" s="745" t="s">
        <v>18</v>
      </c>
      <c r="H892" s="745" t="s">
        <v>145</v>
      </c>
      <c r="I892" s="745" t="s">
        <v>171</v>
      </c>
      <c r="J892" s="755">
        <v>44321.0</v>
      </c>
      <c r="K892" s="745" t="s">
        <v>3660</v>
      </c>
      <c r="L892" s="754"/>
      <c r="M892" s="754"/>
      <c r="N892" s="754"/>
      <c r="O892" s="754"/>
      <c r="P892" s="754"/>
      <c r="Q892" s="754"/>
      <c r="R892" s="754"/>
      <c r="S892" s="754"/>
      <c r="T892" s="754"/>
      <c r="U892" s="754"/>
      <c r="V892" s="754"/>
      <c r="W892" s="754"/>
      <c r="X892" s="754"/>
      <c r="Y892" s="754"/>
      <c r="Z892" s="754"/>
      <c r="AA892" s="754"/>
      <c r="AB892" s="754"/>
      <c r="AC892" s="754"/>
      <c r="AD892" s="754"/>
      <c r="AE892" s="754"/>
      <c r="AF892" s="754"/>
      <c r="AG892" s="754"/>
      <c r="AH892" s="754"/>
      <c r="AI892" s="754"/>
      <c r="AJ892" s="754"/>
      <c r="AK892" s="754"/>
      <c r="AL892" s="754"/>
      <c r="AM892" s="754"/>
      <c r="AN892" s="754"/>
      <c r="AO892" s="754"/>
      <c r="AP892" s="754"/>
      <c r="AQ892" s="754"/>
      <c r="AR892" s="754"/>
      <c r="AS892" s="754"/>
      <c r="AT892" s="754"/>
      <c r="AU892" s="754"/>
    </row>
    <row r="893" ht="15.75" customHeight="1">
      <c r="A893" s="755">
        <v>44676.0</v>
      </c>
      <c r="B893" s="756" t="s">
        <v>2934</v>
      </c>
      <c r="C893" s="710" t="s">
        <v>2376</v>
      </c>
      <c r="D893" s="745" t="s">
        <v>5903</v>
      </c>
      <c r="E893" s="757">
        <v>20000.0</v>
      </c>
      <c r="F893" s="710" t="s">
        <v>2933</v>
      </c>
      <c r="G893" s="745" t="s">
        <v>18</v>
      </c>
      <c r="H893" s="745" t="s">
        <v>145</v>
      </c>
      <c r="I893" s="745" t="s">
        <v>171</v>
      </c>
      <c r="J893" s="755">
        <v>44333.0</v>
      </c>
      <c r="K893" s="745" t="s">
        <v>3660</v>
      </c>
      <c r="L893" s="754"/>
      <c r="M893" s="754"/>
      <c r="N893" s="754"/>
      <c r="O893" s="754"/>
      <c r="P893" s="754"/>
      <c r="Q893" s="754"/>
      <c r="R893" s="754"/>
      <c r="S893" s="754"/>
      <c r="T893" s="754"/>
      <c r="U893" s="754"/>
      <c r="V893" s="754"/>
      <c r="W893" s="754"/>
      <c r="X893" s="754"/>
      <c r="Y893" s="754"/>
      <c r="Z893" s="754"/>
      <c r="AA893" s="754"/>
      <c r="AB893" s="754"/>
      <c r="AC893" s="754"/>
      <c r="AD893" s="754"/>
      <c r="AE893" s="754"/>
      <c r="AF893" s="754"/>
      <c r="AG893" s="754"/>
      <c r="AH893" s="754"/>
      <c r="AI893" s="754"/>
      <c r="AJ893" s="754"/>
      <c r="AK893" s="754"/>
      <c r="AL893" s="754"/>
      <c r="AM893" s="754"/>
      <c r="AN893" s="754"/>
      <c r="AO893" s="754"/>
      <c r="AP893" s="754"/>
      <c r="AQ893" s="754"/>
      <c r="AR893" s="754"/>
      <c r="AS893" s="754"/>
      <c r="AT893" s="754"/>
      <c r="AU893" s="754"/>
    </row>
    <row r="894" ht="15.75" customHeight="1">
      <c r="A894" s="768">
        <v>44676.0</v>
      </c>
      <c r="B894" s="800" t="s">
        <v>2636</v>
      </c>
      <c r="C894" s="770" t="s">
        <v>2376</v>
      </c>
      <c r="D894" s="745" t="s">
        <v>5902</v>
      </c>
      <c r="E894" s="771" t="s">
        <v>6115</v>
      </c>
      <c r="F894" s="745" t="s">
        <v>2635</v>
      </c>
      <c r="G894" s="755" t="s">
        <v>18</v>
      </c>
      <c r="H894" s="755" t="s">
        <v>145</v>
      </c>
      <c r="I894" s="755" t="s">
        <v>146</v>
      </c>
      <c r="J894" s="755">
        <v>44263.0</v>
      </c>
      <c r="K894" s="755" t="s">
        <v>3664</v>
      </c>
      <c r="L894" s="754"/>
      <c r="M894" s="754"/>
      <c r="N894" s="754"/>
      <c r="O894" s="754"/>
      <c r="P894" s="754"/>
      <c r="Q894" s="754"/>
      <c r="R894" s="754"/>
      <c r="S894" s="754"/>
      <c r="T894" s="754"/>
      <c r="U894" s="754"/>
      <c r="V894" s="754"/>
      <c r="W894" s="754"/>
      <c r="X894" s="754"/>
      <c r="Y894" s="754"/>
      <c r="Z894" s="754"/>
      <c r="AA894" s="754"/>
      <c r="AB894" s="754"/>
      <c r="AC894" s="754"/>
      <c r="AD894" s="754"/>
      <c r="AE894" s="754"/>
      <c r="AF894" s="754"/>
      <c r="AG894" s="754"/>
      <c r="AH894" s="754"/>
      <c r="AI894" s="754"/>
      <c r="AJ894" s="754"/>
      <c r="AK894" s="754"/>
      <c r="AL894" s="754"/>
      <c r="AM894" s="754"/>
      <c r="AN894" s="754"/>
      <c r="AO894" s="754"/>
      <c r="AP894" s="754"/>
      <c r="AQ894" s="754"/>
      <c r="AR894" s="754"/>
      <c r="AS894" s="754"/>
      <c r="AT894" s="754"/>
      <c r="AU894" s="754"/>
    </row>
    <row r="895" ht="15.75" customHeight="1">
      <c r="A895" s="755">
        <v>44677.0</v>
      </c>
      <c r="B895" s="756" t="s">
        <v>2948</v>
      </c>
      <c r="C895" s="710" t="s">
        <v>2376</v>
      </c>
      <c r="D895" s="745" t="s">
        <v>5903</v>
      </c>
      <c r="E895" s="757">
        <v>62000.0</v>
      </c>
      <c r="F895" s="745" t="s">
        <v>2947</v>
      </c>
      <c r="G895" s="745" t="s">
        <v>2489</v>
      </c>
      <c r="H895" s="745" t="s">
        <v>29</v>
      </c>
      <c r="I895" s="755" t="s">
        <v>2489</v>
      </c>
      <c r="J895" s="755">
        <v>43439.0</v>
      </c>
      <c r="K895" s="745" t="s">
        <v>3664</v>
      </c>
      <c r="L895" s="754"/>
      <c r="M895" s="754"/>
      <c r="N895" s="754"/>
      <c r="O895" s="754"/>
      <c r="P895" s="754"/>
      <c r="Q895" s="754"/>
      <c r="R895" s="754"/>
      <c r="S895" s="754"/>
      <c r="T895" s="754"/>
      <c r="U895" s="754"/>
      <c r="V895" s="754"/>
      <c r="W895" s="754"/>
      <c r="X895" s="754"/>
      <c r="Y895" s="754"/>
      <c r="Z895" s="754"/>
      <c r="AA895" s="754"/>
      <c r="AB895" s="754"/>
      <c r="AC895" s="754"/>
      <c r="AD895" s="754"/>
      <c r="AE895" s="754"/>
      <c r="AF895" s="754"/>
      <c r="AG895" s="754"/>
      <c r="AH895" s="754"/>
      <c r="AI895" s="754"/>
      <c r="AJ895" s="754"/>
      <c r="AK895" s="754"/>
      <c r="AL895" s="754"/>
      <c r="AM895" s="754"/>
      <c r="AN895" s="754"/>
      <c r="AO895" s="754"/>
      <c r="AP895" s="754"/>
      <c r="AQ895" s="754"/>
      <c r="AR895" s="754"/>
      <c r="AS895" s="754"/>
      <c r="AT895" s="754"/>
      <c r="AU895" s="754"/>
    </row>
    <row r="896" ht="15.75" customHeight="1">
      <c r="A896" s="755">
        <v>44677.0</v>
      </c>
      <c r="B896" s="756" t="s">
        <v>3482</v>
      </c>
      <c r="C896" s="710" t="s">
        <v>3458</v>
      </c>
      <c r="D896" s="745" t="s">
        <v>5903</v>
      </c>
      <c r="E896" s="757">
        <v>3000.0</v>
      </c>
      <c r="F896" s="710" t="s">
        <v>3481</v>
      </c>
      <c r="G896" s="745" t="s">
        <v>18</v>
      </c>
      <c r="H896" s="745" t="s">
        <v>18</v>
      </c>
      <c r="I896" s="755" t="s">
        <v>5810</v>
      </c>
      <c r="J896" s="755">
        <v>44062.0</v>
      </c>
      <c r="K896" s="745" t="s">
        <v>3651</v>
      </c>
      <c r="L896" s="754"/>
      <c r="M896" s="754"/>
      <c r="N896" s="754"/>
      <c r="O896" s="754"/>
      <c r="P896" s="754"/>
      <c r="Q896" s="754"/>
      <c r="R896" s="754"/>
      <c r="S896" s="754"/>
      <c r="T896" s="754"/>
      <c r="U896" s="754"/>
      <c r="V896" s="754"/>
      <c r="W896" s="754"/>
      <c r="X896" s="754"/>
      <c r="Y896" s="754"/>
      <c r="Z896" s="754"/>
      <c r="AA896" s="754"/>
      <c r="AB896" s="754"/>
      <c r="AC896" s="754"/>
      <c r="AD896" s="754"/>
      <c r="AE896" s="754"/>
      <c r="AF896" s="754"/>
      <c r="AG896" s="754"/>
      <c r="AH896" s="754"/>
      <c r="AI896" s="754"/>
      <c r="AJ896" s="754"/>
      <c r="AK896" s="754"/>
      <c r="AL896" s="754"/>
      <c r="AM896" s="754"/>
      <c r="AN896" s="754"/>
      <c r="AO896" s="754"/>
      <c r="AP896" s="754"/>
      <c r="AQ896" s="754"/>
      <c r="AR896" s="754"/>
      <c r="AS896" s="754"/>
      <c r="AT896" s="754"/>
      <c r="AU896" s="754"/>
    </row>
    <row r="897" ht="15.75" customHeight="1">
      <c r="A897" s="755">
        <v>44677.0</v>
      </c>
      <c r="B897" s="767" t="s">
        <v>6116</v>
      </c>
      <c r="C897" s="829" t="s">
        <v>3642</v>
      </c>
      <c r="D897" s="830" t="s">
        <v>2387</v>
      </c>
      <c r="E897" s="831">
        <v>118629.88</v>
      </c>
      <c r="F897" s="829" t="s">
        <v>4210</v>
      </c>
      <c r="G897" s="830" t="s">
        <v>18</v>
      </c>
      <c r="H897" s="830" t="s">
        <v>29</v>
      </c>
      <c r="I897" s="830" t="s">
        <v>3533</v>
      </c>
      <c r="J897" s="832">
        <v>44405.0</v>
      </c>
      <c r="K897" s="830" t="s">
        <v>3664</v>
      </c>
      <c r="L897" s="754"/>
      <c r="M897" s="754"/>
      <c r="N897" s="754"/>
      <c r="O897" s="754"/>
      <c r="P897" s="754"/>
      <c r="Q897" s="754"/>
      <c r="R897" s="754"/>
      <c r="S897" s="754"/>
      <c r="T897" s="754"/>
      <c r="U897" s="754"/>
      <c r="V897" s="754"/>
      <c r="W897" s="754"/>
      <c r="X897" s="754"/>
      <c r="Y897" s="754"/>
      <c r="Z897" s="754"/>
      <c r="AA897" s="754"/>
      <c r="AB897" s="754"/>
      <c r="AC897" s="754"/>
      <c r="AD897" s="754"/>
      <c r="AE897" s="754"/>
      <c r="AF897" s="754"/>
      <c r="AG897" s="754"/>
      <c r="AH897" s="754"/>
      <c r="AI897" s="754"/>
      <c r="AJ897" s="754"/>
      <c r="AK897" s="754"/>
      <c r="AL897" s="754"/>
      <c r="AM897" s="754"/>
      <c r="AN897" s="754"/>
      <c r="AO897" s="754"/>
      <c r="AP897" s="754"/>
      <c r="AQ897" s="754"/>
      <c r="AR897" s="754"/>
      <c r="AS897" s="754"/>
      <c r="AT897" s="754"/>
      <c r="AU897" s="754"/>
    </row>
    <row r="898" ht="15.75" customHeight="1">
      <c r="A898" s="755">
        <v>44677.0</v>
      </c>
      <c r="B898" s="756" t="s">
        <v>2841</v>
      </c>
      <c r="C898" s="710" t="s">
        <v>2376</v>
      </c>
      <c r="D898" s="745" t="s">
        <v>5903</v>
      </c>
      <c r="E898" s="757">
        <v>31000.0</v>
      </c>
      <c r="F898" s="710" t="s">
        <v>1064</v>
      </c>
      <c r="G898" s="745" t="s">
        <v>18</v>
      </c>
      <c r="H898" s="745" t="s">
        <v>145</v>
      </c>
      <c r="I898" s="745" t="s">
        <v>146</v>
      </c>
      <c r="J898" s="755">
        <v>44319.0</v>
      </c>
      <c r="K898" s="745" t="s">
        <v>3651</v>
      </c>
      <c r="L898" s="754"/>
      <c r="M898" s="754"/>
      <c r="N898" s="754"/>
      <c r="O898" s="754"/>
      <c r="P898" s="754"/>
      <c r="Q898" s="754"/>
      <c r="R898" s="754"/>
      <c r="S898" s="754"/>
      <c r="T898" s="754"/>
      <c r="U898" s="754"/>
      <c r="V898" s="754"/>
      <c r="W898" s="754"/>
      <c r="X898" s="754"/>
      <c r="Y898" s="754"/>
      <c r="Z898" s="754"/>
      <c r="AA898" s="754"/>
      <c r="AB898" s="754"/>
      <c r="AC898" s="754"/>
      <c r="AD898" s="754"/>
      <c r="AE898" s="754"/>
      <c r="AF898" s="754"/>
      <c r="AG898" s="754"/>
      <c r="AH898" s="754"/>
      <c r="AI898" s="754"/>
      <c r="AJ898" s="754"/>
      <c r="AK898" s="754"/>
      <c r="AL898" s="754"/>
      <c r="AM898" s="754"/>
      <c r="AN898" s="754"/>
      <c r="AO898" s="754"/>
      <c r="AP898" s="754"/>
      <c r="AQ898" s="754"/>
      <c r="AR898" s="754"/>
      <c r="AS898" s="754"/>
      <c r="AT898" s="754"/>
      <c r="AU898" s="754"/>
    </row>
    <row r="899" ht="15.75" customHeight="1">
      <c r="A899" s="755">
        <v>44679.0</v>
      </c>
      <c r="B899" s="756" t="s">
        <v>3053</v>
      </c>
      <c r="C899" s="710" t="s">
        <v>2376</v>
      </c>
      <c r="D899" s="745" t="s">
        <v>5903</v>
      </c>
      <c r="E899" s="757">
        <v>15000.0</v>
      </c>
      <c r="F899" s="710" t="s">
        <v>6117</v>
      </c>
      <c r="G899" s="745" t="s">
        <v>18</v>
      </c>
      <c r="H899" s="745" t="s">
        <v>145</v>
      </c>
      <c r="I899" s="745" t="s">
        <v>146</v>
      </c>
      <c r="J899" s="755">
        <v>44323.0</v>
      </c>
      <c r="K899" s="745" t="s">
        <v>3693</v>
      </c>
      <c r="L899" s="754"/>
      <c r="M899" s="754"/>
      <c r="N899" s="754"/>
      <c r="O899" s="754"/>
      <c r="P899" s="754"/>
      <c r="Q899" s="754"/>
      <c r="R899" s="754"/>
      <c r="S899" s="754"/>
      <c r="T899" s="754"/>
      <c r="U899" s="754"/>
      <c r="V899" s="754"/>
      <c r="W899" s="754"/>
      <c r="X899" s="754"/>
      <c r="Y899" s="754"/>
      <c r="Z899" s="754"/>
      <c r="AA899" s="754"/>
      <c r="AB899" s="754"/>
      <c r="AC899" s="754"/>
      <c r="AD899" s="754"/>
      <c r="AE899" s="754"/>
      <c r="AF899" s="754"/>
      <c r="AG899" s="754"/>
      <c r="AH899" s="754"/>
      <c r="AI899" s="754"/>
      <c r="AJ899" s="754"/>
      <c r="AK899" s="754"/>
      <c r="AL899" s="754"/>
      <c r="AM899" s="754"/>
      <c r="AN899" s="754"/>
      <c r="AO899" s="754"/>
      <c r="AP899" s="754"/>
      <c r="AQ899" s="754"/>
      <c r="AR899" s="754"/>
      <c r="AS899" s="754"/>
      <c r="AT899" s="754"/>
      <c r="AU899" s="754"/>
    </row>
    <row r="900" ht="15.75" customHeight="1">
      <c r="A900" s="755">
        <v>44679.0</v>
      </c>
      <c r="B900" s="756" t="s">
        <v>3287</v>
      </c>
      <c r="C900" s="710" t="s">
        <v>2376</v>
      </c>
      <c r="D900" s="745" t="s">
        <v>5903</v>
      </c>
      <c r="E900" s="757">
        <v>75000.0</v>
      </c>
      <c r="F900" s="710" t="s">
        <v>6118</v>
      </c>
      <c r="G900" s="745" t="s">
        <v>18</v>
      </c>
      <c r="H900" s="745" t="s">
        <v>145</v>
      </c>
      <c r="I900" s="745" t="s">
        <v>2464</v>
      </c>
      <c r="J900" s="755">
        <v>44644.0</v>
      </c>
      <c r="K900" s="745" t="s">
        <v>3660</v>
      </c>
      <c r="L900" s="754"/>
      <c r="M900" s="754"/>
      <c r="N900" s="754"/>
      <c r="O900" s="754"/>
      <c r="P900" s="754"/>
      <c r="Q900" s="754"/>
      <c r="R900" s="754"/>
      <c r="S900" s="754"/>
      <c r="T900" s="754"/>
      <c r="U900" s="754"/>
      <c r="V900" s="754"/>
      <c r="W900" s="754"/>
      <c r="X900" s="754"/>
      <c r="Y900" s="754"/>
      <c r="Z900" s="754"/>
      <c r="AA900" s="754"/>
      <c r="AB900" s="754"/>
      <c r="AC900" s="754"/>
      <c r="AD900" s="754"/>
      <c r="AE900" s="754"/>
      <c r="AF900" s="754"/>
      <c r="AG900" s="754"/>
      <c r="AH900" s="754"/>
      <c r="AI900" s="754"/>
      <c r="AJ900" s="754"/>
      <c r="AK900" s="754"/>
      <c r="AL900" s="754"/>
      <c r="AM900" s="754"/>
      <c r="AN900" s="754"/>
      <c r="AO900" s="754"/>
      <c r="AP900" s="754"/>
      <c r="AQ900" s="754"/>
      <c r="AR900" s="754"/>
      <c r="AS900" s="754"/>
      <c r="AT900" s="754"/>
      <c r="AU900" s="754"/>
    </row>
    <row r="901" ht="15.75" customHeight="1">
      <c r="A901" s="755">
        <v>44680.0</v>
      </c>
      <c r="B901" s="756" t="s">
        <v>6119</v>
      </c>
      <c r="C901" s="710" t="s">
        <v>2376</v>
      </c>
      <c r="D901" s="745" t="s">
        <v>5903</v>
      </c>
      <c r="E901" s="757">
        <v>31000.0</v>
      </c>
      <c r="F901" s="710" t="s">
        <v>6120</v>
      </c>
      <c r="G901" s="745" t="s">
        <v>18</v>
      </c>
      <c r="H901" s="745" t="s">
        <v>145</v>
      </c>
      <c r="I901" s="745" t="s">
        <v>2464</v>
      </c>
      <c r="J901" s="755">
        <v>44568.0</v>
      </c>
      <c r="K901" s="745" t="s">
        <v>3657</v>
      </c>
      <c r="L901" s="754"/>
      <c r="M901" s="754"/>
      <c r="N901" s="754"/>
      <c r="O901" s="754"/>
      <c r="P901" s="754"/>
      <c r="Q901" s="754"/>
      <c r="R901" s="754"/>
      <c r="S901" s="754"/>
      <c r="T901" s="754"/>
      <c r="U901" s="754"/>
      <c r="V901" s="754"/>
      <c r="W901" s="754"/>
      <c r="X901" s="754"/>
      <c r="Y901" s="754"/>
      <c r="Z901" s="754"/>
      <c r="AA901" s="754"/>
      <c r="AB901" s="754"/>
      <c r="AC901" s="754"/>
      <c r="AD901" s="754"/>
      <c r="AE901" s="754"/>
      <c r="AF901" s="754"/>
      <c r="AG901" s="754"/>
      <c r="AH901" s="754"/>
      <c r="AI901" s="754"/>
      <c r="AJ901" s="754"/>
      <c r="AK901" s="754"/>
      <c r="AL901" s="754"/>
      <c r="AM901" s="754"/>
      <c r="AN901" s="754"/>
      <c r="AO901" s="754"/>
      <c r="AP901" s="754"/>
      <c r="AQ901" s="754"/>
      <c r="AR901" s="754"/>
      <c r="AS901" s="754"/>
      <c r="AT901" s="754"/>
      <c r="AU901" s="754"/>
    </row>
    <row r="902" ht="15.75" customHeight="1">
      <c r="A902" s="784">
        <v>44680.0</v>
      </c>
      <c r="B902" s="833" t="s">
        <v>6121</v>
      </c>
      <c r="C902" s="786" t="s">
        <v>3642</v>
      </c>
      <c r="D902" s="787" t="s">
        <v>5902</v>
      </c>
      <c r="E902" s="788">
        <v>288923.9</v>
      </c>
      <c r="F902" s="786" t="s">
        <v>6122</v>
      </c>
      <c r="G902" s="787" t="s">
        <v>18</v>
      </c>
      <c r="H902" s="787" t="s">
        <v>19</v>
      </c>
      <c r="I902" s="787" t="s">
        <v>3978</v>
      </c>
      <c r="J902" s="789">
        <v>44398.0</v>
      </c>
      <c r="K902" s="786" t="s">
        <v>3657</v>
      </c>
      <c r="L902" s="754"/>
      <c r="M902" s="754"/>
      <c r="N902" s="754"/>
      <c r="O902" s="754"/>
      <c r="P902" s="754"/>
      <c r="Q902" s="754"/>
      <c r="R902" s="754"/>
      <c r="S902" s="754"/>
      <c r="T902" s="754"/>
      <c r="U902" s="754"/>
      <c r="V902" s="754"/>
      <c r="W902" s="754"/>
      <c r="X902" s="754"/>
      <c r="Y902" s="754"/>
      <c r="Z902" s="754"/>
      <c r="AA902" s="754"/>
      <c r="AB902" s="754"/>
      <c r="AC902" s="754"/>
      <c r="AD902" s="754"/>
      <c r="AE902" s="754"/>
      <c r="AF902" s="754"/>
      <c r="AG902" s="754"/>
      <c r="AH902" s="754"/>
      <c r="AI902" s="754"/>
      <c r="AJ902" s="754"/>
      <c r="AK902" s="754"/>
      <c r="AL902" s="754"/>
      <c r="AM902" s="754"/>
      <c r="AN902" s="754"/>
      <c r="AO902" s="754"/>
      <c r="AP902" s="754"/>
      <c r="AQ902" s="754"/>
      <c r="AR902" s="754"/>
      <c r="AS902" s="754"/>
      <c r="AT902" s="754"/>
      <c r="AU902" s="754"/>
    </row>
    <row r="903" ht="15.75" customHeight="1">
      <c r="A903" s="755">
        <v>44682.0</v>
      </c>
      <c r="B903" s="710" t="s">
        <v>2862</v>
      </c>
      <c r="C903" s="710" t="s">
        <v>2376</v>
      </c>
      <c r="D903" s="745" t="s">
        <v>5902</v>
      </c>
      <c r="E903" s="757">
        <v>7399239.36</v>
      </c>
      <c r="F903" s="825" t="s">
        <v>2861</v>
      </c>
      <c r="G903" s="734" t="s">
        <v>2489</v>
      </c>
      <c r="H903" s="825" t="s">
        <v>29</v>
      </c>
      <c r="I903" s="734" t="s">
        <v>2489</v>
      </c>
      <c r="J903" s="781">
        <v>44021.0</v>
      </c>
      <c r="K903" s="783" t="s">
        <v>3651</v>
      </c>
      <c r="L903" s="754"/>
      <c r="M903" s="754"/>
      <c r="N903" s="754"/>
      <c r="O903" s="754"/>
      <c r="P903" s="754"/>
      <c r="Q903" s="754"/>
      <c r="R903" s="754"/>
      <c r="S903" s="754"/>
      <c r="T903" s="754"/>
      <c r="U903" s="754"/>
      <c r="V903" s="754"/>
      <c r="W903" s="754"/>
      <c r="X903" s="754"/>
      <c r="Y903" s="754"/>
      <c r="Z903" s="754"/>
      <c r="AA903" s="754"/>
      <c r="AB903" s="754"/>
      <c r="AC903" s="754"/>
      <c r="AD903" s="754"/>
      <c r="AE903" s="754"/>
      <c r="AF903" s="754"/>
      <c r="AG903" s="754"/>
      <c r="AH903" s="754"/>
      <c r="AI903" s="754"/>
      <c r="AJ903" s="754"/>
      <c r="AK903" s="754"/>
      <c r="AL903" s="754"/>
      <c r="AM903" s="754"/>
      <c r="AN903" s="754"/>
      <c r="AO903" s="754"/>
      <c r="AP903" s="754"/>
      <c r="AQ903" s="754"/>
      <c r="AR903" s="754"/>
      <c r="AS903" s="754"/>
      <c r="AT903" s="754"/>
      <c r="AU903" s="754"/>
    </row>
    <row r="904" ht="15.75" customHeight="1">
      <c r="A904" s="755">
        <v>44682.0</v>
      </c>
      <c r="B904" s="710" t="s">
        <v>2864</v>
      </c>
      <c r="C904" s="710" t="s">
        <v>2376</v>
      </c>
      <c r="D904" s="745" t="s">
        <v>5902</v>
      </c>
      <c r="E904" s="757">
        <v>4668228.61</v>
      </c>
      <c r="F904" s="825" t="s">
        <v>2861</v>
      </c>
      <c r="G904" s="734" t="s">
        <v>2489</v>
      </c>
      <c r="H904" s="825" t="s">
        <v>29</v>
      </c>
      <c r="I904" s="734" t="s">
        <v>2489</v>
      </c>
      <c r="J904" s="781">
        <v>44029.0</v>
      </c>
      <c r="K904" s="783" t="s">
        <v>3664</v>
      </c>
      <c r="L904" s="754"/>
      <c r="M904" s="754"/>
      <c r="N904" s="754"/>
      <c r="O904" s="754"/>
      <c r="P904" s="754"/>
      <c r="Q904" s="754"/>
      <c r="R904" s="754"/>
      <c r="S904" s="754"/>
      <c r="T904" s="754"/>
      <c r="U904" s="754"/>
      <c r="V904" s="754"/>
      <c r="W904" s="754"/>
      <c r="X904" s="754"/>
      <c r="Y904" s="754"/>
      <c r="Z904" s="754"/>
      <c r="AA904" s="754"/>
      <c r="AB904" s="754"/>
      <c r="AC904" s="754"/>
      <c r="AD904" s="754"/>
      <c r="AE904" s="754"/>
      <c r="AF904" s="754"/>
      <c r="AG904" s="754"/>
      <c r="AH904" s="754"/>
      <c r="AI904" s="754"/>
      <c r="AJ904" s="754"/>
      <c r="AK904" s="754"/>
      <c r="AL904" s="754"/>
      <c r="AM904" s="754"/>
      <c r="AN904" s="754"/>
      <c r="AO904" s="754"/>
      <c r="AP904" s="754"/>
      <c r="AQ904" s="754"/>
      <c r="AR904" s="754"/>
      <c r="AS904" s="754"/>
      <c r="AT904" s="754"/>
      <c r="AU904" s="754"/>
    </row>
    <row r="905" ht="15.75" customHeight="1">
      <c r="A905" s="755">
        <v>44683.0</v>
      </c>
      <c r="B905" s="756" t="s">
        <v>5999</v>
      </c>
      <c r="C905" s="710" t="s">
        <v>3642</v>
      </c>
      <c r="D905" s="745" t="s">
        <v>5902</v>
      </c>
      <c r="E905" s="757">
        <v>160249.53</v>
      </c>
      <c r="F905" s="710" t="s">
        <v>3778</v>
      </c>
      <c r="G905" s="745" t="s">
        <v>86</v>
      </c>
      <c r="H905" s="745" t="s">
        <v>29</v>
      </c>
      <c r="I905" s="745" t="s">
        <v>3486</v>
      </c>
      <c r="J905" s="755">
        <v>44362.0</v>
      </c>
      <c r="K905" s="745" t="s">
        <v>3660</v>
      </c>
      <c r="L905" s="754"/>
      <c r="M905" s="754"/>
      <c r="N905" s="754"/>
      <c r="O905" s="754"/>
      <c r="P905" s="754"/>
      <c r="Q905" s="754"/>
      <c r="R905" s="754"/>
      <c r="S905" s="754"/>
      <c r="T905" s="754"/>
      <c r="U905" s="754"/>
      <c r="V905" s="754"/>
      <c r="W905" s="754"/>
      <c r="X905" s="754"/>
      <c r="Y905" s="754"/>
      <c r="Z905" s="754"/>
      <c r="AA905" s="754"/>
      <c r="AB905" s="754"/>
      <c r="AC905" s="754"/>
      <c r="AD905" s="754"/>
      <c r="AE905" s="754"/>
      <c r="AF905" s="754"/>
      <c r="AG905" s="754"/>
      <c r="AH905" s="754"/>
      <c r="AI905" s="754"/>
      <c r="AJ905" s="754"/>
      <c r="AK905" s="754"/>
      <c r="AL905" s="754"/>
      <c r="AM905" s="754"/>
      <c r="AN905" s="754"/>
      <c r="AO905" s="754"/>
      <c r="AP905" s="754"/>
      <c r="AQ905" s="754"/>
      <c r="AR905" s="754"/>
      <c r="AS905" s="754"/>
      <c r="AT905" s="754"/>
      <c r="AU905" s="754"/>
    </row>
    <row r="906" ht="15.75" customHeight="1">
      <c r="A906" s="755">
        <v>44683.0</v>
      </c>
      <c r="B906" s="756" t="s">
        <v>6123</v>
      </c>
      <c r="C906" s="710" t="s">
        <v>3642</v>
      </c>
      <c r="D906" s="745" t="s">
        <v>5902</v>
      </c>
      <c r="E906" s="757">
        <v>128785.37</v>
      </c>
      <c r="F906" s="710" t="s">
        <v>6124</v>
      </c>
      <c r="G906" s="745" t="s">
        <v>18</v>
      </c>
      <c r="H906" s="745" t="s">
        <v>19</v>
      </c>
      <c r="I906" s="745" t="s">
        <v>230</v>
      </c>
      <c r="J906" s="755">
        <v>44355.0</v>
      </c>
      <c r="K906" s="783" t="s">
        <v>3657</v>
      </c>
      <c r="L906" s="754"/>
      <c r="M906" s="754"/>
      <c r="N906" s="754"/>
      <c r="O906" s="754"/>
      <c r="P906" s="754"/>
      <c r="Q906" s="754"/>
      <c r="R906" s="754"/>
      <c r="S906" s="754"/>
      <c r="T906" s="754"/>
      <c r="U906" s="754"/>
      <c r="V906" s="754"/>
      <c r="W906" s="754"/>
      <c r="X906" s="754"/>
      <c r="Y906" s="754"/>
      <c r="Z906" s="754"/>
      <c r="AA906" s="754"/>
      <c r="AB906" s="754"/>
      <c r="AC906" s="754"/>
      <c r="AD906" s="754"/>
      <c r="AE906" s="754"/>
      <c r="AF906" s="754"/>
      <c r="AG906" s="754"/>
      <c r="AH906" s="754"/>
      <c r="AI906" s="754"/>
      <c r="AJ906" s="754"/>
      <c r="AK906" s="754"/>
      <c r="AL906" s="754"/>
      <c r="AM906" s="754"/>
      <c r="AN906" s="754"/>
      <c r="AO906" s="754"/>
      <c r="AP906" s="754"/>
      <c r="AQ906" s="754"/>
      <c r="AR906" s="754"/>
      <c r="AS906" s="754"/>
      <c r="AT906" s="754"/>
      <c r="AU906" s="754"/>
    </row>
    <row r="907" ht="15.75" customHeight="1">
      <c r="A907" s="755">
        <v>44683.0</v>
      </c>
      <c r="B907" s="756" t="s">
        <v>6125</v>
      </c>
      <c r="C907" s="710" t="s">
        <v>3642</v>
      </c>
      <c r="D907" s="745" t="s">
        <v>5902</v>
      </c>
      <c r="E907" s="757">
        <v>158853.29</v>
      </c>
      <c r="F907" s="710" t="s">
        <v>5169</v>
      </c>
      <c r="G907" s="734" t="s">
        <v>18</v>
      </c>
      <c r="H907" s="825" t="s">
        <v>19</v>
      </c>
      <c r="I907" s="734" t="s">
        <v>230</v>
      </c>
      <c r="J907" s="781">
        <v>44229.0</v>
      </c>
      <c r="K907" s="783" t="s">
        <v>3647</v>
      </c>
      <c r="L907" s="754"/>
      <c r="M907" s="754"/>
      <c r="N907" s="754"/>
      <c r="O907" s="754"/>
      <c r="P907" s="754"/>
      <c r="Q907" s="754"/>
      <c r="R907" s="754"/>
      <c r="S907" s="754"/>
      <c r="T907" s="754"/>
      <c r="U907" s="754"/>
      <c r="V907" s="754"/>
      <c r="W907" s="754"/>
      <c r="X907" s="754"/>
      <c r="Y907" s="754"/>
      <c r="Z907" s="754"/>
      <c r="AA907" s="754"/>
      <c r="AB907" s="754"/>
      <c r="AC907" s="754"/>
      <c r="AD907" s="754"/>
      <c r="AE907" s="754"/>
      <c r="AF907" s="754"/>
      <c r="AG907" s="754"/>
      <c r="AH907" s="754"/>
      <c r="AI907" s="754"/>
      <c r="AJ907" s="754"/>
      <c r="AK907" s="754"/>
      <c r="AL907" s="754"/>
      <c r="AM907" s="754"/>
      <c r="AN907" s="754"/>
      <c r="AO907" s="754"/>
      <c r="AP907" s="754"/>
      <c r="AQ907" s="754"/>
      <c r="AR907" s="754"/>
      <c r="AS907" s="754"/>
      <c r="AT907" s="754"/>
      <c r="AU907" s="754"/>
    </row>
    <row r="908" ht="15.75" customHeight="1">
      <c r="A908" s="755">
        <v>44683.0</v>
      </c>
      <c r="B908" s="756" t="s">
        <v>6100</v>
      </c>
      <c r="C908" s="710" t="s">
        <v>3642</v>
      </c>
      <c r="D908" s="745" t="s">
        <v>5903</v>
      </c>
      <c r="E908" s="757">
        <v>11329.01</v>
      </c>
      <c r="F908" s="710" t="s">
        <v>1682</v>
      </c>
      <c r="G908" s="734" t="s">
        <v>18</v>
      </c>
      <c r="H908" s="825" t="s">
        <v>19</v>
      </c>
      <c r="I908" s="734" t="s">
        <v>20</v>
      </c>
      <c r="J908" s="781">
        <v>44614.0</v>
      </c>
      <c r="K908" s="783" t="s">
        <v>3651</v>
      </c>
      <c r="L908" s="754"/>
      <c r="M908" s="754"/>
      <c r="N908" s="754"/>
      <c r="O908" s="754"/>
      <c r="P908" s="754"/>
      <c r="Q908" s="754"/>
      <c r="R908" s="754"/>
      <c r="S908" s="754"/>
      <c r="T908" s="754"/>
      <c r="U908" s="754"/>
      <c r="V908" s="754"/>
      <c r="W908" s="754"/>
      <c r="X908" s="754"/>
      <c r="Y908" s="754"/>
      <c r="Z908" s="754"/>
      <c r="AA908" s="754"/>
      <c r="AB908" s="754"/>
      <c r="AC908" s="754"/>
      <c r="AD908" s="754"/>
      <c r="AE908" s="754"/>
      <c r="AF908" s="754"/>
      <c r="AG908" s="754"/>
      <c r="AH908" s="754"/>
      <c r="AI908" s="754"/>
      <c r="AJ908" s="754"/>
      <c r="AK908" s="754"/>
      <c r="AL908" s="754"/>
      <c r="AM908" s="754"/>
      <c r="AN908" s="754"/>
      <c r="AO908" s="754"/>
      <c r="AP908" s="754"/>
      <c r="AQ908" s="754"/>
      <c r="AR908" s="754"/>
      <c r="AS908" s="754"/>
      <c r="AT908" s="754"/>
      <c r="AU908" s="754"/>
    </row>
    <row r="909" ht="15.75" customHeight="1">
      <c r="A909" s="755">
        <v>44683.0</v>
      </c>
      <c r="B909" s="756">
        <v>350690.0</v>
      </c>
      <c r="C909" s="710" t="s">
        <v>2376</v>
      </c>
      <c r="D909" s="745" t="s">
        <v>5903</v>
      </c>
      <c r="E909" s="757">
        <v>100000.0</v>
      </c>
      <c r="F909" s="710" t="s">
        <v>2577</v>
      </c>
      <c r="G909" s="734" t="s">
        <v>18</v>
      </c>
      <c r="H909" s="825" t="s">
        <v>145</v>
      </c>
      <c r="I909" s="734" t="s">
        <v>171</v>
      </c>
      <c r="J909" s="781">
        <v>44438.0</v>
      </c>
      <c r="K909" s="783" t="s">
        <v>3651</v>
      </c>
      <c r="L909" s="754"/>
      <c r="M909" s="754"/>
      <c r="N909" s="754"/>
      <c r="O909" s="754"/>
      <c r="P909" s="754"/>
      <c r="Q909" s="754"/>
      <c r="R909" s="754"/>
      <c r="S909" s="754"/>
      <c r="T909" s="754"/>
      <c r="U909" s="754"/>
      <c r="V909" s="754"/>
      <c r="W909" s="754"/>
      <c r="X909" s="754"/>
      <c r="Y909" s="754"/>
      <c r="Z909" s="754"/>
      <c r="AA909" s="754"/>
      <c r="AB909" s="754"/>
      <c r="AC909" s="754"/>
      <c r="AD909" s="754"/>
      <c r="AE909" s="754"/>
      <c r="AF909" s="754"/>
      <c r="AG909" s="754"/>
      <c r="AH909" s="754"/>
      <c r="AI909" s="754"/>
      <c r="AJ909" s="754"/>
      <c r="AK909" s="754"/>
      <c r="AL909" s="754"/>
      <c r="AM909" s="754"/>
      <c r="AN909" s="754"/>
      <c r="AO909" s="754"/>
      <c r="AP909" s="754"/>
      <c r="AQ909" s="754"/>
      <c r="AR909" s="754"/>
      <c r="AS909" s="754"/>
      <c r="AT909" s="754"/>
      <c r="AU909" s="754"/>
    </row>
    <row r="910" ht="15.75" customHeight="1">
      <c r="A910" s="755">
        <v>44683.0</v>
      </c>
      <c r="B910" s="756" t="s">
        <v>2676</v>
      </c>
      <c r="C910" s="710" t="s">
        <v>2376</v>
      </c>
      <c r="D910" s="745" t="s">
        <v>5903</v>
      </c>
      <c r="E910" s="757">
        <v>40000.0</v>
      </c>
      <c r="F910" s="710" t="s">
        <v>6090</v>
      </c>
      <c r="G910" s="734" t="s">
        <v>18</v>
      </c>
      <c r="H910" s="825" t="s">
        <v>145</v>
      </c>
      <c r="I910" s="734" t="s">
        <v>146</v>
      </c>
      <c r="J910" s="781">
        <v>44321.0</v>
      </c>
      <c r="K910" s="783" t="s">
        <v>3651</v>
      </c>
      <c r="L910" s="754"/>
      <c r="M910" s="754"/>
      <c r="N910" s="754"/>
      <c r="O910" s="754"/>
      <c r="P910" s="754"/>
      <c r="Q910" s="754"/>
      <c r="R910" s="754"/>
      <c r="S910" s="754"/>
      <c r="T910" s="754"/>
      <c r="U910" s="754"/>
      <c r="V910" s="754"/>
      <c r="W910" s="754"/>
      <c r="X910" s="754"/>
      <c r="Y910" s="754"/>
      <c r="Z910" s="754"/>
      <c r="AA910" s="754"/>
      <c r="AB910" s="754"/>
      <c r="AC910" s="754"/>
      <c r="AD910" s="754"/>
      <c r="AE910" s="754"/>
      <c r="AF910" s="754"/>
      <c r="AG910" s="754"/>
      <c r="AH910" s="754"/>
      <c r="AI910" s="754"/>
      <c r="AJ910" s="754"/>
      <c r="AK910" s="754"/>
      <c r="AL910" s="754"/>
      <c r="AM910" s="754"/>
      <c r="AN910" s="754"/>
      <c r="AO910" s="754"/>
      <c r="AP910" s="754"/>
      <c r="AQ910" s="754"/>
      <c r="AR910" s="754"/>
      <c r="AS910" s="754"/>
      <c r="AT910" s="754"/>
      <c r="AU910" s="754"/>
    </row>
    <row r="911" ht="15.75" customHeight="1">
      <c r="A911" s="755">
        <v>44683.0</v>
      </c>
      <c r="B911" s="756" t="s">
        <v>6072</v>
      </c>
      <c r="C911" s="710" t="s">
        <v>2376</v>
      </c>
      <c r="D911" s="745" t="s">
        <v>5903</v>
      </c>
      <c r="E911" s="757">
        <v>25000.0</v>
      </c>
      <c r="F911" s="710" t="s">
        <v>6092</v>
      </c>
      <c r="G911" s="734" t="s">
        <v>18</v>
      </c>
      <c r="H911" s="825" t="s">
        <v>145</v>
      </c>
      <c r="I911" s="734" t="s">
        <v>146</v>
      </c>
      <c r="J911" s="781">
        <v>44263.0</v>
      </c>
      <c r="K911" s="783" t="s">
        <v>3660</v>
      </c>
      <c r="L911" s="754"/>
      <c r="M911" s="754"/>
      <c r="N911" s="754"/>
      <c r="O911" s="754"/>
      <c r="P911" s="754"/>
      <c r="Q911" s="754"/>
      <c r="R911" s="754"/>
      <c r="S911" s="754"/>
      <c r="T911" s="754"/>
      <c r="U911" s="754"/>
      <c r="V911" s="754"/>
      <c r="W911" s="754"/>
      <c r="X911" s="754"/>
      <c r="Y911" s="754"/>
      <c r="Z911" s="754"/>
      <c r="AA911" s="754"/>
      <c r="AB911" s="754"/>
      <c r="AC911" s="754"/>
      <c r="AD911" s="754"/>
      <c r="AE911" s="754"/>
      <c r="AF911" s="754"/>
      <c r="AG911" s="754"/>
      <c r="AH911" s="754"/>
      <c r="AI911" s="754"/>
      <c r="AJ911" s="754"/>
      <c r="AK911" s="754"/>
      <c r="AL911" s="754"/>
      <c r="AM911" s="754"/>
      <c r="AN911" s="754"/>
      <c r="AO911" s="754"/>
      <c r="AP911" s="754"/>
      <c r="AQ911" s="754"/>
      <c r="AR911" s="754"/>
      <c r="AS911" s="754"/>
      <c r="AT911" s="754"/>
      <c r="AU911" s="754"/>
    </row>
    <row r="912" ht="15.75" customHeight="1">
      <c r="A912" s="755">
        <v>44683.0</v>
      </c>
      <c r="B912" s="756" t="s">
        <v>2873</v>
      </c>
      <c r="C912" s="710" t="s">
        <v>2376</v>
      </c>
      <c r="D912" s="745" t="s">
        <v>5903</v>
      </c>
      <c r="E912" s="757">
        <v>14000.0</v>
      </c>
      <c r="F912" s="710" t="s">
        <v>2869</v>
      </c>
      <c r="G912" s="734" t="s">
        <v>2379</v>
      </c>
      <c r="H912" s="825" t="s">
        <v>29</v>
      </c>
      <c r="I912" s="734" t="s">
        <v>2380</v>
      </c>
      <c r="J912" s="781">
        <v>43605.0</v>
      </c>
      <c r="K912" s="783" t="s">
        <v>3664</v>
      </c>
      <c r="L912" s="754"/>
      <c r="M912" s="754"/>
      <c r="N912" s="754"/>
      <c r="O912" s="754"/>
      <c r="P912" s="754"/>
      <c r="Q912" s="754"/>
      <c r="R912" s="754"/>
      <c r="S912" s="754"/>
      <c r="T912" s="754"/>
      <c r="U912" s="754"/>
      <c r="V912" s="754"/>
      <c r="W912" s="754"/>
      <c r="X912" s="754"/>
      <c r="Y912" s="754"/>
      <c r="Z912" s="754"/>
      <c r="AA912" s="754"/>
      <c r="AB912" s="754"/>
      <c r="AC912" s="754"/>
      <c r="AD912" s="754"/>
      <c r="AE912" s="754"/>
      <c r="AF912" s="754"/>
      <c r="AG912" s="754"/>
      <c r="AH912" s="754"/>
      <c r="AI912" s="754"/>
      <c r="AJ912" s="754"/>
      <c r="AK912" s="754"/>
      <c r="AL912" s="754"/>
      <c r="AM912" s="754"/>
      <c r="AN912" s="754"/>
      <c r="AO912" s="754"/>
      <c r="AP912" s="754"/>
      <c r="AQ912" s="754"/>
      <c r="AR912" s="754"/>
      <c r="AS912" s="754"/>
      <c r="AT912" s="754"/>
      <c r="AU912" s="754"/>
    </row>
    <row r="913" ht="15.75" customHeight="1">
      <c r="A913" s="755">
        <v>44684.0</v>
      </c>
      <c r="B913" s="756" t="s">
        <v>6126</v>
      </c>
      <c r="C913" s="710" t="s">
        <v>3642</v>
      </c>
      <c r="D913" s="745" t="s">
        <v>5902</v>
      </c>
      <c r="E913" s="757">
        <v>398221.67</v>
      </c>
      <c r="F913" s="710" t="s">
        <v>4228</v>
      </c>
      <c r="G913" s="734" t="s">
        <v>18</v>
      </c>
      <c r="H913" s="825" t="s">
        <v>19</v>
      </c>
      <c r="I913" s="734" t="s">
        <v>3978</v>
      </c>
      <c r="J913" s="781">
        <v>44454.0</v>
      </c>
      <c r="K913" s="783" t="s">
        <v>3657</v>
      </c>
      <c r="L913" s="754"/>
      <c r="M913" s="754"/>
      <c r="N913" s="754"/>
      <c r="O913" s="754"/>
      <c r="P913" s="754"/>
      <c r="Q913" s="754"/>
      <c r="R913" s="754"/>
      <c r="S913" s="754"/>
      <c r="T913" s="754"/>
      <c r="U913" s="754"/>
      <c r="V913" s="754"/>
      <c r="W913" s="754"/>
      <c r="X913" s="754"/>
      <c r="Y913" s="754"/>
      <c r="Z913" s="754"/>
      <c r="AA913" s="754"/>
      <c r="AB913" s="754"/>
      <c r="AC913" s="754"/>
      <c r="AD913" s="754"/>
      <c r="AE913" s="754"/>
      <c r="AF913" s="754"/>
      <c r="AG913" s="754"/>
      <c r="AH913" s="754"/>
      <c r="AI913" s="754"/>
      <c r="AJ913" s="754"/>
      <c r="AK913" s="754"/>
      <c r="AL913" s="754"/>
      <c r="AM913" s="754"/>
      <c r="AN913" s="754"/>
      <c r="AO913" s="754"/>
      <c r="AP913" s="754"/>
      <c r="AQ913" s="754"/>
      <c r="AR913" s="754"/>
      <c r="AS913" s="754"/>
      <c r="AT913" s="754"/>
      <c r="AU913" s="754"/>
    </row>
    <row r="914" ht="15.75" customHeight="1">
      <c r="A914" s="755">
        <v>44685.0</v>
      </c>
      <c r="B914" s="825">
        <v>4740849.0</v>
      </c>
      <c r="C914" s="710" t="s">
        <v>3642</v>
      </c>
      <c r="D914" s="745" t="s">
        <v>2387</v>
      </c>
      <c r="E914" s="757">
        <v>83984.54000000001</v>
      </c>
      <c r="F914" s="710" t="s">
        <v>4944</v>
      </c>
      <c r="G914" s="734" t="s">
        <v>86</v>
      </c>
      <c r="H914" s="825" t="s">
        <v>29</v>
      </c>
      <c r="I914" s="734" t="s">
        <v>3972</v>
      </c>
      <c r="J914" s="781">
        <v>44320.0</v>
      </c>
      <c r="K914" s="783" t="s">
        <v>3647</v>
      </c>
      <c r="L914" s="754"/>
      <c r="M914" s="754"/>
      <c r="N914" s="754"/>
      <c r="O914" s="754"/>
      <c r="P914" s="754"/>
      <c r="Q914" s="754"/>
      <c r="R914" s="754"/>
      <c r="S914" s="754"/>
      <c r="T914" s="754"/>
      <c r="U914" s="754"/>
      <c r="V914" s="754"/>
      <c r="W914" s="754"/>
      <c r="X914" s="754"/>
      <c r="Y914" s="754"/>
      <c r="Z914" s="754"/>
      <c r="AA914" s="754"/>
      <c r="AB914" s="754"/>
      <c r="AC914" s="754"/>
      <c r="AD914" s="754"/>
      <c r="AE914" s="754"/>
      <c r="AF914" s="754"/>
      <c r="AG914" s="754"/>
      <c r="AH914" s="754"/>
      <c r="AI914" s="754"/>
      <c r="AJ914" s="754"/>
      <c r="AK914" s="754"/>
      <c r="AL914" s="754"/>
      <c r="AM914" s="754"/>
      <c r="AN914" s="754"/>
      <c r="AO914" s="754"/>
      <c r="AP914" s="754"/>
      <c r="AQ914" s="754"/>
      <c r="AR914" s="754"/>
      <c r="AS914" s="754"/>
      <c r="AT914" s="754"/>
      <c r="AU914" s="754"/>
    </row>
    <row r="915" ht="15.75" customHeight="1">
      <c r="A915" s="755">
        <v>44685.0</v>
      </c>
      <c r="B915" s="825" t="s">
        <v>6127</v>
      </c>
      <c r="C915" s="710" t="s">
        <v>3642</v>
      </c>
      <c r="D915" s="745" t="s">
        <v>5903</v>
      </c>
      <c r="E915" s="757">
        <v>60000.0</v>
      </c>
      <c r="F915" s="710" t="s">
        <v>6128</v>
      </c>
      <c r="G915" s="734" t="s">
        <v>18</v>
      </c>
      <c r="H915" s="825" t="s">
        <v>29</v>
      </c>
      <c r="I915" s="734" t="s">
        <v>2633</v>
      </c>
      <c r="J915" s="781">
        <v>44294.0</v>
      </c>
      <c r="K915" s="783" t="s">
        <v>4336</v>
      </c>
      <c r="L915" s="754"/>
      <c r="M915" s="754"/>
      <c r="N915" s="754"/>
      <c r="O915" s="754"/>
      <c r="P915" s="754"/>
      <c r="Q915" s="754"/>
      <c r="R915" s="754"/>
      <c r="S915" s="754"/>
      <c r="T915" s="754"/>
      <c r="U915" s="754"/>
      <c r="V915" s="754"/>
      <c r="W915" s="754"/>
      <c r="X915" s="754"/>
      <c r="Y915" s="754"/>
      <c r="Z915" s="754"/>
      <c r="AA915" s="754"/>
      <c r="AB915" s="754"/>
      <c r="AC915" s="754"/>
      <c r="AD915" s="754"/>
      <c r="AE915" s="754"/>
      <c r="AF915" s="754"/>
      <c r="AG915" s="754"/>
      <c r="AH915" s="754"/>
      <c r="AI915" s="754"/>
      <c r="AJ915" s="754"/>
      <c r="AK915" s="754"/>
      <c r="AL915" s="754"/>
      <c r="AM915" s="754"/>
      <c r="AN915" s="754"/>
      <c r="AO915" s="754"/>
      <c r="AP915" s="754"/>
      <c r="AQ915" s="754"/>
      <c r="AR915" s="754"/>
      <c r="AS915" s="754"/>
      <c r="AT915" s="754"/>
      <c r="AU915" s="754"/>
    </row>
    <row r="916" ht="15.75" customHeight="1">
      <c r="A916" s="755">
        <v>44685.0</v>
      </c>
      <c r="B916" s="825">
        <v>6121090.0</v>
      </c>
      <c r="C916" s="710" t="s">
        <v>3642</v>
      </c>
      <c r="D916" s="745" t="s">
        <v>5902</v>
      </c>
      <c r="E916" s="757">
        <v>46583.9</v>
      </c>
      <c r="F916" s="710" t="s">
        <v>4113</v>
      </c>
      <c r="G916" s="734" t="s">
        <v>18</v>
      </c>
      <c r="H916" s="825" t="s">
        <v>19</v>
      </c>
      <c r="I916" s="734" t="s">
        <v>230</v>
      </c>
      <c r="J916" s="781">
        <v>44421.0</v>
      </c>
      <c r="K916" s="783" t="s">
        <v>3647</v>
      </c>
      <c r="L916" s="754"/>
      <c r="M916" s="754"/>
      <c r="N916" s="754"/>
      <c r="O916" s="754"/>
      <c r="P916" s="754"/>
      <c r="Q916" s="754"/>
      <c r="R916" s="754"/>
      <c r="S916" s="754"/>
      <c r="T916" s="754"/>
      <c r="U916" s="754"/>
      <c r="V916" s="754"/>
      <c r="W916" s="754"/>
      <c r="X916" s="754"/>
      <c r="Y916" s="754"/>
      <c r="Z916" s="754"/>
      <c r="AA916" s="754"/>
      <c r="AB916" s="754"/>
      <c r="AC916" s="754"/>
      <c r="AD916" s="754"/>
      <c r="AE916" s="754"/>
      <c r="AF916" s="754"/>
      <c r="AG916" s="754"/>
      <c r="AH916" s="754"/>
      <c r="AI916" s="754"/>
      <c r="AJ916" s="754"/>
      <c r="AK916" s="754"/>
      <c r="AL916" s="754"/>
      <c r="AM916" s="754"/>
      <c r="AN916" s="754"/>
      <c r="AO916" s="754"/>
      <c r="AP916" s="754"/>
      <c r="AQ916" s="754"/>
      <c r="AR916" s="754"/>
      <c r="AS916" s="754"/>
      <c r="AT916" s="754"/>
      <c r="AU916" s="754"/>
    </row>
    <row r="917" ht="15.75" customHeight="1">
      <c r="A917" s="755">
        <v>44686.0</v>
      </c>
      <c r="B917" s="825">
        <v>3600186.0</v>
      </c>
      <c r="C917" s="710" t="s">
        <v>3642</v>
      </c>
      <c r="D917" s="745" t="s">
        <v>5902</v>
      </c>
      <c r="E917" s="757">
        <v>1122976.82</v>
      </c>
      <c r="F917" s="710" t="s">
        <v>5128</v>
      </c>
      <c r="G917" s="734" t="s">
        <v>18</v>
      </c>
      <c r="H917" s="825" t="s">
        <v>19</v>
      </c>
      <c r="I917" s="734" t="s">
        <v>3978</v>
      </c>
      <c r="J917" s="781">
        <v>44454.0</v>
      </c>
      <c r="K917" s="783" t="s">
        <v>3657</v>
      </c>
      <c r="L917" s="754"/>
      <c r="M917" s="754"/>
      <c r="N917" s="754"/>
      <c r="O917" s="754"/>
      <c r="P917" s="754"/>
      <c r="Q917" s="754"/>
      <c r="R917" s="754"/>
      <c r="S917" s="754"/>
      <c r="T917" s="754"/>
      <c r="U917" s="754"/>
      <c r="V917" s="754"/>
      <c r="W917" s="754"/>
      <c r="X917" s="754"/>
      <c r="Y917" s="754"/>
      <c r="Z917" s="754"/>
      <c r="AA917" s="754"/>
      <c r="AB917" s="754"/>
      <c r="AC917" s="754"/>
      <c r="AD917" s="754"/>
      <c r="AE917" s="754"/>
      <c r="AF917" s="754"/>
      <c r="AG917" s="754"/>
      <c r="AH917" s="754"/>
      <c r="AI917" s="754"/>
      <c r="AJ917" s="754"/>
      <c r="AK917" s="754"/>
      <c r="AL917" s="754"/>
      <c r="AM917" s="754"/>
      <c r="AN917" s="754"/>
      <c r="AO917" s="754"/>
      <c r="AP917" s="754"/>
      <c r="AQ917" s="754"/>
      <c r="AR917" s="754"/>
      <c r="AS917" s="754"/>
      <c r="AT917" s="754"/>
      <c r="AU917" s="754"/>
    </row>
    <row r="918" ht="15.75" customHeight="1">
      <c r="A918" s="755">
        <v>44686.0</v>
      </c>
      <c r="B918" s="825" t="s">
        <v>6129</v>
      </c>
      <c r="C918" s="710" t="s">
        <v>3642</v>
      </c>
      <c r="D918" s="745" t="s">
        <v>5903</v>
      </c>
      <c r="E918" s="757">
        <v>50000.87</v>
      </c>
      <c r="F918" s="710" t="s">
        <v>1542</v>
      </c>
      <c r="G918" s="734" t="s">
        <v>18</v>
      </c>
      <c r="H918" s="825" t="s">
        <v>19</v>
      </c>
      <c r="I918" s="734" t="s">
        <v>230</v>
      </c>
      <c r="J918" s="781">
        <v>44379.0</v>
      </c>
      <c r="K918" s="783" t="s">
        <v>3647</v>
      </c>
      <c r="L918" s="754"/>
      <c r="M918" s="754"/>
      <c r="N918" s="754"/>
      <c r="O918" s="754"/>
      <c r="P918" s="754"/>
      <c r="Q918" s="754"/>
      <c r="R918" s="754"/>
      <c r="S918" s="754"/>
      <c r="T918" s="754"/>
      <c r="U918" s="754"/>
      <c r="V918" s="754"/>
      <c r="W918" s="754"/>
      <c r="X918" s="754"/>
      <c r="Y918" s="754"/>
      <c r="Z918" s="754"/>
      <c r="AA918" s="754"/>
      <c r="AB918" s="754"/>
      <c r="AC918" s="754"/>
      <c r="AD918" s="754"/>
      <c r="AE918" s="754"/>
      <c r="AF918" s="754"/>
      <c r="AG918" s="754"/>
      <c r="AH918" s="754"/>
      <c r="AI918" s="754"/>
      <c r="AJ918" s="754"/>
      <c r="AK918" s="754"/>
      <c r="AL918" s="754"/>
      <c r="AM918" s="754"/>
      <c r="AN918" s="754"/>
      <c r="AO918" s="754"/>
      <c r="AP918" s="754"/>
      <c r="AQ918" s="754"/>
      <c r="AR918" s="754"/>
      <c r="AS918" s="754"/>
      <c r="AT918" s="754"/>
      <c r="AU918" s="754"/>
    </row>
    <row r="919" ht="15.75" customHeight="1">
      <c r="A919" s="755">
        <v>44686.0</v>
      </c>
      <c r="B919" s="825">
        <v>4920156.0</v>
      </c>
      <c r="C919" s="710" t="s">
        <v>3642</v>
      </c>
      <c r="D919" s="745" t="s">
        <v>5903</v>
      </c>
      <c r="E919" s="757">
        <v>10000.0</v>
      </c>
      <c r="F919" s="710" t="s">
        <v>4215</v>
      </c>
      <c r="G919" s="734" t="s">
        <v>86</v>
      </c>
      <c r="H919" s="825" t="s">
        <v>29</v>
      </c>
      <c r="I919" s="734" t="s">
        <v>3711</v>
      </c>
      <c r="J919" s="781">
        <v>44263.0</v>
      </c>
      <c r="K919" s="783" t="s">
        <v>3651</v>
      </c>
      <c r="L919" s="754"/>
      <c r="M919" s="754"/>
      <c r="N919" s="754"/>
      <c r="O919" s="754"/>
      <c r="P919" s="754"/>
      <c r="Q919" s="754"/>
      <c r="R919" s="754"/>
      <c r="S919" s="754"/>
      <c r="T919" s="754"/>
      <c r="U919" s="754"/>
      <c r="V919" s="754"/>
      <c r="W919" s="754"/>
      <c r="X919" s="754"/>
      <c r="Y919" s="754"/>
      <c r="Z919" s="754"/>
      <c r="AA919" s="754"/>
      <c r="AB919" s="754"/>
      <c r="AC919" s="754"/>
      <c r="AD919" s="754"/>
      <c r="AE919" s="754"/>
      <c r="AF919" s="754"/>
      <c r="AG919" s="754"/>
      <c r="AH919" s="754"/>
      <c r="AI919" s="754"/>
      <c r="AJ919" s="754"/>
      <c r="AK919" s="754"/>
      <c r="AL919" s="754"/>
      <c r="AM919" s="754"/>
      <c r="AN919" s="754"/>
      <c r="AO919" s="754"/>
      <c r="AP919" s="754"/>
      <c r="AQ919" s="754"/>
      <c r="AR919" s="754"/>
      <c r="AS919" s="754"/>
      <c r="AT919" s="754"/>
      <c r="AU919" s="754"/>
    </row>
    <row r="920" ht="15.75" customHeight="1">
      <c r="A920" s="755">
        <v>44687.0</v>
      </c>
      <c r="B920" s="710" t="s">
        <v>2683</v>
      </c>
      <c r="C920" s="710" t="s">
        <v>2376</v>
      </c>
      <c r="D920" s="745" t="s">
        <v>5903</v>
      </c>
      <c r="E920" s="757">
        <v>10000.0</v>
      </c>
      <c r="F920" s="825" t="s">
        <v>756</v>
      </c>
      <c r="G920" s="734" t="s">
        <v>18</v>
      </c>
      <c r="H920" s="825" t="s">
        <v>145</v>
      </c>
      <c r="I920" s="734" t="s">
        <v>171</v>
      </c>
      <c r="J920" s="781">
        <v>44328.0</v>
      </c>
      <c r="K920" s="783" t="s">
        <v>3647</v>
      </c>
      <c r="L920" s="754"/>
      <c r="M920" s="754"/>
      <c r="N920" s="754"/>
      <c r="O920" s="754"/>
      <c r="P920" s="754"/>
      <c r="Q920" s="754"/>
      <c r="R920" s="754"/>
      <c r="S920" s="754"/>
      <c r="T920" s="754"/>
      <c r="U920" s="754"/>
      <c r="V920" s="754"/>
      <c r="W920" s="754"/>
      <c r="X920" s="754"/>
      <c r="Y920" s="754"/>
      <c r="Z920" s="754"/>
      <c r="AA920" s="754"/>
      <c r="AB920" s="754"/>
      <c r="AC920" s="754"/>
      <c r="AD920" s="754"/>
      <c r="AE920" s="754"/>
      <c r="AF920" s="754"/>
      <c r="AG920" s="754"/>
      <c r="AH920" s="754"/>
      <c r="AI920" s="754"/>
      <c r="AJ920" s="754"/>
      <c r="AK920" s="754"/>
      <c r="AL920" s="754"/>
      <c r="AM920" s="754"/>
      <c r="AN920" s="754"/>
      <c r="AO920" s="754"/>
      <c r="AP920" s="754"/>
      <c r="AQ920" s="754"/>
      <c r="AR920" s="754"/>
      <c r="AS920" s="754"/>
      <c r="AT920" s="754"/>
      <c r="AU920" s="754"/>
    </row>
    <row r="921" ht="15.75" customHeight="1">
      <c r="A921" s="755">
        <v>44687.0</v>
      </c>
      <c r="B921" s="710" t="s">
        <v>3053</v>
      </c>
      <c r="C921" s="710" t="s">
        <v>2376</v>
      </c>
      <c r="D921" s="745" t="s">
        <v>5903</v>
      </c>
      <c r="E921" s="757">
        <v>100000.0</v>
      </c>
      <c r="F921" s="825" t="s">
        <v>3052</v>
      </c>
      <c r="G921" s="734" t="s">
        <v>18</v>
      </c>
      <c r="H921" s="825" t="s">
        <v>145</v>
      </c>
      <c r="I921" s="734" t="s">
        <v>146</v>
      </c>
      <c r="J921" s="781">
        <v>44323.0</v>
      </c>
      <c r="K921" s="783" t="s">
        <v>3693</v>
      </c>
      <c r="L921" s="754"/>
      <c r="M921" s="754"/>
      <c r="N921" s="754"/>
      <c r="O921" s="754"/>
      <c r="P921" s="754"/>
      <c r="Q921" s="754"/>
      <c r="R921" s="754"/>
      <c r="S921" s="754"/>
      <c r="T921" s="754"/>
      <c r="U921" s="754"/>
      <c r="V921" s="754"/>
      <c r="W921" s="754"/>
      <c r="X921" s="754"/>
      <c r="Y921" s="754"/>
      <c r="Z921" s="754"/>
      <c r="AA921" s="754"/>
      <c r="AB921" s="754"/>
      <c r="AC921" s="754"/>
      <c r="AD921" s="754"/>
      <c r="AE921" s="754"/>
      <c r="AF921" s="754"/>
      <c r="AG921" s="754"/>
      <c r="AH921" s="754"/>
      <c r="AI921" s="754"/>
      <c r="AJ921" s="754"/>
      <c r="AK921" s="754"/>
      <c r="AL921" s="754"/>
      <c r="AM921" s="754"/>
      <c r="AN921" s="754"/>
      <c r="AO921" s="754"/>
      <c r="AP921" s="754"/>
      <c r="AQ921" s="754"/>
      <c r="AR921" s="754"/>
      <c r="AS921" s="754"/>
      <c r="AT921" s="754"/>
      <c r="AU921" s="754"/>
    </row>
    <row r="922" ht="15.75" customHeight="1">
      <c r="A922" s="755">
        <v>44687.0</v>
      </c>
      <c r="B922" s="825">
        <v>4862815.0</v>
      </c>
      <c r="C922" s="710" t="s">
        <v>3642</v>
      </c>
      <c r="D922" s="745" t="s">
        <v>5903</v>
      </c>
      <c r="E922" s="757">
        <v>70000.0</v>
      </c>
      <c r="F922" s="710" t="s">
        <v>6130</v>
      </c>
      <c r="G922" s="734" t="s">
        <v>18</v>
      </c>
      <c r="H922" s="825" t="s">
        <v>19</v>
      </c>
      <c r="I922" s="734" t="s">
        <v>230</v>
      </c>
      <c r="J922" s="781">
        <v>44251.0</v>
      </c>
      <c r="K922" s="783" t="s">
        <v>3664</v>
      </c>
      <c r="L922" s="754"/>
      <c r="M922" s="754"/>
      <c r="N922" s="754"/>
      <c r="O922" s="754"/>
      <c r="P922" s="754"/>
      <c r="Q922" s="754"/>
      <c r="R922" s="754"/>
      <c r="S922" s="754"/>
      <c r="T922" s="754"/>
      <c r="U922" s="754"/>
      <c r="V922" s="754"/>
      <c r="W922" s="754"/>
      <c r="X922" s="754"/>
      <c r="Y922" s="754"/>
      <c r="Z922" s="754"/>
      <c r="AA922" s="754"/>
      <c r="AB922" s="754"/>
      <c r="AC922" s="754"/>
      <c r="AD922" s="754"/>
      <c r="AE922" s="754"/>
      <c r="AF922" s="754"/>
      <c r="AG922" s="754"/>
      <c r="AH922" s="754"/>
      <c r="AI922" s="754"/>
      <c r="AJ922" s="754"/>
      <c r="AK922" s="754"/>
      <c r="AL922" s="754"/>
      <c r="AM922" s="754"/>
      <c r="AN922" s="754"/>
      <c r="AO922" s="754"/>
      <c r="AP922" s="754"/>
      <c r="AQ922" s="754"/>
      <c r="AR922" s="754"/>
      <c r="AS922" s="754"/>
      <c r="AT922" s="754"/>
      <c r="AU922" s="754"/>
    </row>
    <row r="923" ht="15.75" customHeight="1">
      <c r="A923" s="755">
        <v>44691.0</v>
      </c>
      <c r="B923" s="825">
        <v>4345500.0</v>
      </c>
      <c r="C923" s="710" t="s">
        <v>2376</v>
      </c>
      <c r="D923" s="745" t="s">
        <v>5903</v>
      </c>
      <c r="E923" s="757">
        <v>35000.0</v>
      </c>
      <c r="F923" s="710" t="s">
        <v>2810</v>
      </c>
      <c r="G923" s="734" t="s">
        <v>2379</v>
      </c>
      <c r="H923" s="825" t="s">
        <v>29</v>
      </c>
      <c r="I923" s="734" t="s">
        <v>2380</v>
      </c>
      <c r="J923" s="781">
        <v>43703.0</v>
      </c>
      <c r="K923" s="783" t="s">
        <v>4033</v>
      </c>
      <c r="L923" s="754"/>
      <c r="M923" s="754"/>
      <c r="N923" s="754"/>
      <c r="O923" s="754"/>
      <c r="P923" s="754"/>
      <c r="Q923" s="754"/>
      <c r="R923" s="754"/>
      <c r="S923" s="754"/>
      <c r="T923" s="754"/>
      <c r="U923" s="754"/>
      <c r="V923" s="754"/>
      <c r="W923" s="754"/>
      <c r="X923" s="754"/>
      <c r="Y923" s="754"/>
      <c r="Z923" s="754"/>
      <c r="AA923" s="754"/>
      <c r="AB923" s="754"/>
      <c r="AC923" s="754"/>
      <c r="AD923" s="754"/>
      <c r="AE923" s="754"/>
      <c r="AF923" s="754"/>
      <c r="AG923" s="754"/>
      <c r="AH923" s="754"/>
      <c r="AI923" s="754"/>
      <c r="AJ923" s="754"/>
      <c r="AK923" s="754"/>
      <c r="AL923" s="754"/>
      <c r="AM923" s="754"/>
      <c r="AN923" s="754"/>
      <c r="AO923" s="754"/>
      <c r="AP923" s="754"/>
      <c r="AQ923" s="754"/>
      <c r="AR923" s="754"/>
      <c r="AS923" s="754"/>
      <c r="AT923" s="754"/>
      <c r="AU923" s="754"/>
    </row>
    <row r="924" ht="15.75" customHeight="1">
      <c r="A924" s="755">
        <v>44691.0</v>
      </c>
      <c r="B924" s="710">
        <v>3952119.0</v>
      </c>
      <c r="C924" s="710" t="s">
        <v>3642</v>
      </c>
      <c r="D924" s="745" t="s">
        <v>5903</v>
      </c>
      <c r="E924" s="757">
        <v>7000.0</v>
      </c>
      <c r="F924" s="825" t="s">
        <v>155</v>
      </c>
      <c r="G924" s="734" t="s">
        <v>18</v>
      </c>
      <c r="H924" s="825" t="s">
        <v>29</v>
      </c>
      <c r="I924" s="734" t="s">
        <v>5893</v>
      </c>
      <c r="J924" s="781">
        <v>44335.0</v>
      </c>
      <c r="K924" s="783" t="s">
        <v>3693</v>
      </c>
      <c r="L924" s="754"/>
      <c r="M924" s="754"/>
      <c r="N924" s="754"/>
      <c r="O924" s="754"/>
      <c r="P924" s="754"/>
      <c r="Q924" s="754"/>
      <c r="R924" s="754"/>
      <c r="S924" s="754"/>
      <c r="T924" s="754"/>
      <c r="U924" s="754"/>
      <c r="V924" s="754"/>
      <c r="W924" s="754"/>
      <c r="X924" s="754"/>
      <c r="Y924" s="754"/>
      <c r="Z924" s="754"/>
      <c r="AA924" s="754"/>
      <c r="AB924" s="754"/>
      <c r="AC924" s="754"/>
      <c r="AD924" s="754"/>
      <c r="AE924" s="754"/>
      <c r="AF924" s="754"/>
      <c r="AG924" s="754"/>
      <c r="AH924" s="754"/>
      <c r="AI924" s="754"/>
      <c r="AJ924" s="754"/>
      <c r="AK924" s="754"/>
      <c r="AL924" s="754"/>
      <c r="AM924" s="754"/>
      <c r="AN924" s="754"/>
      <c r="AO924" s="754"/>
      <c r="AP924" s="754"/>
      <c r="AQ924" s="754"/>
      <c r="AR924" s="754"/>
      <c r="AS924" s="754"/>
      <c r="AT924" s="754"/>
      <c r="AU924" s="754"/>
    </row>
    <row r="925" ht="15.75" customHeight="1">
      <c r="A925" s="755">
        <v>44691.0</v>
      </c>
      <c r="B925" s="710">
        <v>5681841.0</v>
      </c>
      <c r="C925" s="710" t="s">
        <v>3642</v>
      </c>
      <c r="D925" s="745" t="s">
        <v>5903</v>
      </c>
      <c r="E925" s="757">
        <v>50000.0</v>
      </c>
      <c r="F925" s="825" t="s">
        <v>5093</v>
      </c>
      <c r="G925" s="734" t="s">
        <v>18</v>
      </c>
      <c r="H925" s="745" t="s">
        <v>19</v>
      </c>
      <c r="I925" s="745" t="s">
        <v>201</v>
      </c>
      <c r="J925" s="792">
        <v>44469.0</v>
      </c>
      <c r="K925" s="783" t="s">
        <v>3660</v>
      </c>
      <c r="L925" s="754"/>
      <c r="M925" s="754"/>
      <c r="N925" s="754"/>
      <c r="O925" s="754"/>
      <c r="P925" s="754"/>
      <c r="Q925" s="754"/>
      <c r="R925" s="754"/>
      <c r="S925" s="754"/>
      <c r="T925" s="754"/>
      <c r="U925" s="754"/>
      <c r="V925" s="754"/>
      <c r="W925" s="754"/>
      <c r="X925" s="754"/>
      <c r="Y925" s="754"/>
      <c r="Z925" s="754"/>
      <c r="AA925" s="754"/>
      <c r="AB925" s="754"/>
      <c r="AC925" s="754"/>
      <c r="AD925" s="754"/>
      <c r="AE925" s="754"/>
      <c r="AF925" s="754"/>
      <c r="AG925" s="754"/>
      <c r="AH925" s="754"/>
      <c r="AI925" s="754"/>
      <c r="AJ925" s="754"/>
      <c r="AK925" s="754"/>
      <c r="AL925" s="754"/>
      <c r="AM925" s="754"/>
      <c r="AN925" s="754"/>
      <c r="AO925" s="754"/>
      <c r="AP925" s="754"/>
      <c r="AQ925" s="754"/>
      <c r="AR925" s="754"/>
      <c r="AS925" s="754"/>
      <c r="AT925" s="754"/>
      <c r="AU925" s="754"/>
    </row>
    <row r="926" ht="15.75" customHeight="1">
      <c r="A926" s="755">
        <v>44691.0</v>
      </c>
      <c r="B926" s="710">
        <v>322629.0</v>
      </c>
      <c r="C926" s="710" t="s">
        <v>2376</v>
      </c>
      <c r="D926" s="745" t="s">
        <v>5903</v>
      </c>
      <c r="E926" s="757">
        <v>520000.0</v>
      </c>
      <c r="F926" s="825" t="s">
        <v>302</v>
      </c>
      <c r="G926" s="734" t="s">
        <v>18</v>
      </c>
      <c r="H926" s="745" t="s">
        <v>145</v>
      </c>
      <c r="I926" s="745" t="s">
        <v>146</v>
      </c>
      <c r="J926" s="792">
        <v>44267.0</v>
      </c>
      <c r="K926" s="783" t="s">
        <v>3651</v>
      </c>
      <c r="L926" s="754"/>
      <c r="M926" s="754"/>
      <c r="N926" s="754"/>
      <c r="O926" s="754"/>
      <c r="P926" s="754"/>
      <c r="Q926" s="754"/>
      <c r="R926" s="754"/>
      <c r="S926" s="754"/>
      <c r="T926" s="754"/>
      <c r="U926" s="754"/>
      <c r="V926" s="754"/>
      <c r="W926" s="754"/>
      <c r="X926" s="754"/>
      <c r="Y926" s="754"/>
      <c r="Z926" s="754"/>
      <c r="AA926" s="754"/>
      <c r="AB926" s="754"/>
      <c r="AC926" s="754"/>
      <c r="AD926" s="754"/>
      <c r="AE926" s="754"/>
      <c r="AF926" s="754"/>
      <c r="AG926" s="754"/>
      <c r="AH926" s="754"/>
      <c r="AI926" s="754"/>
      <c r="AJ926" s="754"/>
      <c r="AK926" s="754"/>
      <c r="AL926" s="754"/>
      <c r="AM926" s="754"/>
      <c r="AN926" s="754"/>
      <c r="AO926" s="754"/>
      <c r="AP926" s="754"/>
      <c r="AQ926" s="754"/>
      <c r="AR926" s="754"/>
      <c r="AS926" s="754"/>
      <c r="AT926" s="754"/>
      <c r="AU926" s="754"/>
    </row>
    <row r="927" ht="15.75" customHeight="1">
      <c r="A927" s="755">
        <v>44691.0</v>
      </c>
      <c r="B927" s="710" t="s">
        <v>2628</v>
      </c>
      <c r="C927" s="710" t="s">
        <v>2376</v>
      </c>
      <c r="D927" s="745" t="s">
        <v>5903</v>
      </c>
      <c r="E927" s="757">
        <v>30995.22</v>
      </c>
      <c r="F927" s="825" t="s">
        <v>582</v>
      </c>
      <c r="G927" s="734" t="s">
        <v>18</v>
      </c>
      <c r="H927" s="825" t="s">
        <v>145</v>
      </c>
      <c r="I927" s="734" t="s">
        <v>146</v>
      </c>
      <c r="J927" s="781">
        <v>44280.0</v>
      </c>
      <c r="K927" s="783" t="s">
        <v>3651</v>
      </c>
      <c r="L927" s="754"/>
      <c r="M927" s="754"/>
      <c r="N927" s="754"/>
      <c r="O927" s="754"/>
      <c r="P927" s="754"/>
      <c r="Q927" s="754"/>
      <c r="R927" s="754"/>
      <c r="S927" s="754"/>
      <c r="T927" s="754"/>
      <c r="U927" s="754"/>
      <c r="V927" s="754"/>
      <c r="W927" s="754"/>
      <c r="X927" s="754"/>
      <c r="Y927" s="754"/>
      <c r="Z927" s="754"/>
      <c r="AA927" s="754"/>
      <c r="AB927" s="754"/>
      <c r="AC927" s="754"/>
      <c r="AD927" s="754"/>
      <c r="AE927" s="754"/>
      <c r="AF927" s="754"/>
      <c r="AG927" s="754"/>
      <c r="AH927" s="754"/>
      <c r="AI927" s="754"/>
      <c r="AJ927" s="754"/>
      <c r="AK927" s="754"/>
      <c r="AL927" s="754"/>
      <c r="AM927" s="754"/>
      <c r="AN927" s="754"/>
      <c r="AO927" s="754"/>
      <c r="AP927" s="754"/>
      <c r="AQ927" s="754"/>
      <c r="AR927" s="754"/>
      <c r="AS927" s="754"/>
      <c r="AT927" s="754"/>
      <c r="AU927" s="754"/>
    </row>
    <row r="928" ht="15.75" customHeight="1">
      <c r="A928" s="755">
        <v>44692.0</v>
      </c>
      <c r="B928" s="710">
        <v>461432.0</v>
      </c>
      <c r="C928" s="710" t="s">
        <v>2376</v>
      </c>
      <c r="D928" s="745" t="s">
        <v>5903</v>
      </c>
      <c r="E928" s="757">
        <v>89300.0</v>
      </c>
      <c r="F928" s="825" t="s">
        <v>3424</v>
      </c>
      <c r="G928" s="734" t="s">
        <v>18</v>
      </c>
      <c r="H928" s="745" t="s">
        <v>145</v>
      </c>
      <c r="I928" s="745" t="s">
        <v>171</v>
      </c>
      <c r="J928" s="792">
        <v>44319.0</v>
      </c>
      <c r="K928" s="783" t="s">
        <v>3664</v>
      </c>
      <c r="L928" s="754"/>
      <c r="M928" s="754"/>
      <c r="N928" s="754"/>
      <c r="O928" s="754"/>
      <c r="P928" s="754"/>
      <c r="Q928" s="754"/>
      <c r="R928" s="754"/>
      <c r="S928" s="754"/>
      <c r="T928" s="754"/>
      <c r="U928" s="754"/>
      <c r="V928" s="754"/>
      <c r="W928" s="754"/>
      <c r="X928" s="754"/>
      <c r="Y928" s="754"/>
      <c r="Z928" s="754"/>
      <c r="AA928" s="754"/>
      <c r="AB928" s="754"/>
      <c r="AC928" s="754"/>
      <c r="AD928" s="754"/>
      <c r="AE928" s="754"/>
      <c r="AF928" s="754"/>
      <c r="AG928" s="754"/>
      <c r="AH928" s="754"/>
      <c r="AI928" s="754"/>
      <c r="AJ928" s="754"/>
      <c r="AK928" s="754"/>
      <c r="AL928" s="754"/>
      <c r="AM928" s="754"/>
      <c r="AN928" s="754"/>
      <c r="AO928" s="754"/>
      <c r="AP928" s="754"/>
      <c r="AQ928" s="754"/>
      <c r="AR928" s="754"/>
      <c r="AS928" s="754"/>
      <c r="AT928" s="754"/>
      <c r="AU928" s="754"/>
    </row>
    <row r="929" ht="15.75" customHeight="1">
      <c r="A929" s="755">
        <v>44692.0</v>
      </c>
      <c r="B929" s="756" t="s">
        <v>6068</v>
      </c>
      <c r="C929" s="710" t="s">
        <v>3642</v>
      </c>
      <c r="D929" s="745" t="s">
        <v>5903</v>
      </c>
      <c r="E929" s="757">
        <v>30000.0</v>
      </c>
      <c r="F929" s="745" t="s">
        <v>1426</v>
      </c>
      <c r="G929" s="774" t="s">
        <v>18</v>
      </c>
      <c r="H929" s="745" t="s">
        <v>29</v>
      </c>
      <c r="I929" s="755" t="s">
        <v>4877</v>
      </c>
      <c r="J929" s="755">
        <v>44594.0</v>
      </c>
      <c r="K929" s="745" t="s">
        <v>3657</v>
      </c>
      <c r="L929" s="754"/>
      <c r="M929" s="754"/>
      <c r="N929" s="754"/>
      <c r="O929" s="754"/>
      <c r="P929" s="754"/>
      <c r="Q929" s="754"/>
      <c r="R929" s="754"/>
      <c r="S929" s="754"/>
      <c r="T929" s="754"/>
      <c r="U929" s="754"/>
      <c r="V929" s="754"/>
      <c r="W929" s="754"/>
      <c r="X929" s="754"/>
      <c r="Y929" s="754"/>
      <c r="Z929" s="754"/>
      <c r="AA929" s="754"/>
      <c r="AB929" s="754"/>
      <c r="AC929" s="754"/>
      <c r="AD929" s="754"/>
      <c r="AE929" s="754"/>
      <c r="AF929" s="754"/>
      <c r="AG929" s="754"/>
      <c r="AH929" s="754"/>
      <c r="AI929" s="754"/>
      <c r="AJ929" s="754"/>
      <c r="AK929" s="754"/>
      <c r="AL929" s="754"/>
      <c r="AM929" s="754"/>
      <c r="AN929" s="754"/>
      <c r="AO929" s="754"/>
      <c r="AP929" s="754"/>
      <c r="AQ929" s="754"/>
      <c r="AR929" s="754"/>
      <c r="AS929" s="754"/>
      <c r="AT929" s="754"/>
      <c r="AU929" s="754"/>
    </row>
    <row r="930" ht="15.75" customHeight="1">
      <c r="A930" s="755">
        <v>44693.0</v>
      </c>
      <c r="B930" s="710">
        <v>2214585.0</v>
      </c>
      <c r="C930" s="710" t="s">
        <v>3642</v>
      </c>
      <c r="D930" s="745" t="s">
        <v>5903</v>
      </c>
      <c r="E930" s="757">
        <v>296037.19</v>
      </c>
      <c r="F930" s="825" t="s">
        <v>4813</v>
      </c>
      <c r="G930" s="734" t="s">
        <v>86</v>
      </c>
      <c r="H930" s="745" t="s">
        <v>29</v>
      </c>
      <c r="I930" s="745" t="s">
        <v>3818</v>
      </c>
      <c r="J930" s="792">
        <v>44085.0</v>
      </c>
      <c r="K930" s="783" t="s">
        <v>3647</v>
      </c>
      <c r="L930" s="754"/>
      <c r="M930" s="754"/>
      <c r="N930" s="754"/>
      <c r="O930" s="754"/>
      <c r="P930" s="754"/>
      <c r="Q930" s="754"/>
      <c r="R930" s="754"/>
      <c r="S930" s="754"/>
      <c r="T930" s="754"/>
      <c r="U930" s="754"/>
      <c r="V930" s="754"/>
      <c r="W930" s="754"/>
      <c r="X930" s="754"/>
      <c r="Y930" s="754"/>
      <c r="Z930" s="754"/>
      <c r="AA930" s="754"/>
      <c r="AB930" s="754"/>
      <c r="AC930" s="754"/>
      <c r="AD930" s="754"/>
      <c r="AE930" s="754"/>
      <c r="AF930" s="754"/>
      <c r="AG930" s="754"/>
      <c r="AH930" s="754"/>
      <c r="AI930" s="754"/>
      <c r="AJ930" s="754"/>
      <c r="AK930" s="754"/>
      <c r="AL930" s="754"/>
      <c r="AM930" s="754"/>
      <c r="AN930" s="754"/>
      <c r="AO930" s="754"/>
      <c r="AP930" s="754"/>
      <c r="AQ930" s="754"/>
      <c r="AR930" s="754"/>
      <c r="AS930" s="754"/>
      <c r="AT930" s="754"/>
      <c r="AU930" s="754"/>
    </row>
    <row r="931" ht="15.75" customHeight="1">
      <c r="A931" s="755">
        <v>44693.0</v>
      </c>
      <c r="B931" s="710">
        <v>4886679.0</v>
      </c>
      <c r="C931" s="710" t="s">
        <v>3642</v>
      </c>
      <c r="D931" s="745" t="s">
        <v>5903</v>
      </c>
      <c r="E931" s="757">
        <v>187153.1</v>
      </c>
      <c r="F931" s="825" t="s">
        <v>4818</v>
      </c>
      <c r="G931" s="734" t="s">
        <v>86</v>
      </c>
      <c r="H931" s="745" t="s">
        <v>29</v>
      </c>
      <c r="I931" s="745" t="s">
        <v>3486</v>
      </c>
      <c r="J931" s="745">
        <v>0.0</v>
      </c>
      <c r="K931" s="783" t="s">
        <v>3693</v>
      </c>
      <c r="L931" s="754"/>
      <c r="M931" s="754"/>
      <c r="N931" s="754"/>
      <c r="O931" s="754"/>
      <c r="P931" s="754"/>
      <c r="Q931" s="754"/>
      <c r="R931" s="754"/>
      <c r="S931" s="754"/>
      <c r="T931" s="754"/>
      <c r="U931" s="754"/>
      <c r="V931" s="754"/>
      <c r="W931" s="754"/>
      <c r="X931" s="754"/>
      <c r="Y931" s="754"/>
      <c r="Z931" s="754"/>
      <c r="AA931" s="754"/>
      <c r="AB931" s="754"/>
      <c r="AC931" s="754"/>
      <c r="AD931" s="754"/>
      <c r="AE931" s="754"/>
      <c r="AF931" s="754"/>
      <c r="AG931" s="754"/>
      <c r="AH931" s="754"/>
      <c r="AI931" s="754"/>
      <c r="AJ931" s="754"/>
      <c r="AK931" s="754"/>
      <c r="AL931" s="754"/>
      <c r="AM931" s="754"/>
      <c r="AN931" s="754"/>
      <c r="AO931" s="754"/>
      <c r="AP931" s="754"/>
      <c r="AQ931" s="754"/>
      <c r="AR931" s="754"/>
      <c r="AS931" s="754"/>
      <c r="AT931" s="754"/>
      <c r="AU931" s="754"/>
    </row>
    <row r="932" ht="15.75" customHeight="1">
      <c r="A932" s="755">
        <v>44693.0</v>
      </c>
      <c r="B932" s="710">
        <v>4084071.0</v>
      </c>
      <c r="C932" s="710" t="s">
        <v>3642</v>
      </c>
      <c r="D932" s="745" t="s">
        <v>5903</v>
      </c>
      <c r="E932" s="757">
        <v>15000.0</v>
      </c>
      <c r="F932" s="825" t="s">
        <v>3655</v>
      </c>
      <c r="G932" s="734" t="s">
        <v>18</v>
      </c>
      <c r="H932" s="825" t="s">
        <v>29</v>
      </c>
      <c r="I932" s="734" t="s">
        <v>3656</v>
      </c>
      <c r="J932" s="781">
        <v>44326.0</v>
      </c>
      <c r="K932" s="783" t="s">
        <v>3651</v>
      </c>
      <c r="L932" s="754"/>
      <c r="M932" s="754"/>
      <c r="N932" s="754"/>
      <c r="O932" s="754"/>
      <c r="P932" s="754"/>
      <c r="Q932" s="754"/>
      <c r="R932" s="754"/>
      <c r="S932" s="754"/>
      <c r="T932" s="754"/>
      <c r="U932" s="754"/>
      <c r="V932" s="754"/>
      <c r="W932" s="754"/>
      <c r="X932" s="754"/>
      <c r="Y932" s="754"/>
      <c r="Z932" s="754"/>
      <c r="AA932" s="754"/>
      <c r="AB932" s="754"/>
      <c r="AC932" s="754"/>
      <c r="AD932" s="754"/>
      <c r="AE932" s="754"/>
      <c r="AF932" s="754"/>
      <c r="AG932" s="754"/>
      <c r="AH932" s="754"/>
      <c r="AI932" s="754"/>
      <c r="AJ932" s="754"/>
      <c r="AK932" s="754"/>
      <c r="AL932" s="754"/>
      <c r="AM932" s="754"/>
      <c r="AN932" s="754"/>
      <c r="AO932" s="754"/>
      <c r="AP932" s="754"/>
      <c r="AQ932" s="754"/>
      <c r="AR932" s="754"/>
      <c r="AS932" s="754"/>
      <c r="AT932" s="754"/>
      <c r="AU932" s="754"/>
    </row>
    <row r="933" ht="15.75" customHeight="1">
      <c r="A933" s="755">
        <v>44693.0</v>
      </c>
      <c r="B933" s="769" t="s">
        <v>2888</v>
      </c>
      <c r="C933" s="770" t="s">
        <v>2376</v>
      </c>
      <c r="D933" s="745" t="s">
        <v>5903</v>
      </c>
      <c r="E933" s="771">
        <v>10000.0</v>
      </c>
      <c r="F933" s="745" t="s">
        <v>2887</v>
      </c>
      <c r="G933" s="755" t="s">
        <v>18</v>
      </c>
      <c r="H933" s="755" t="s">
        <v>145</v>
      </c>
      <c r="I933" s="755" t="s">
        <v>2464</v>
      </c>
      <c r="J933" s="755">
        <v>44266.0</v>
      </c>
      <c r="K933" s="755" t="s">
        <v>3660</v>
      </c>
      <c r="L933" s="754"/>
      <c r="M933" s="754"/>
      <c r="N933" s="754"/>
      <c r="O933" s="754"/>
      <c r="P933" s="754"/>
      <c r="Q933" s="754"/>
      <c r="R933" s="754"/>
      <c r="S933" s="754"/>
      <c r="T933" s="754"/>
      <c r="U933" s="754"/>
      <c r="V933" s="754"/>
      <c r="W933" s="754"/>
      <c r="X933" s="754"/>
      <c r="Y933" s="754"/>
      <c r="Z933" s="754"/>
      <c r="AA933" s="754"/>
      <c r="AB933" s="754"/>
      <c r="AC933" s="754"/>
      <c r="AD933" s="754"/>
      <c r="AE933" s="754"/>
      <c r="AF933" s="754"/>
      <c r="AG933" s="754"/>
      <c r="AH933" s="754"/>
      <c r="AI933" s="754"/>
      <c r="AJ933" s="754"/>
      <c r="AK933" s="754"/>
      <c r="AL933" s="754"/>
      <c r="AM933" s="754"/>
      <c r="AN933" s="754"/>
      <c r="AO933" s="754"/>
      <c r="AP933" s="754"/>
      <c r="AQ933" s="754"/>
      <c r="AR933" s="754"/>
      <c r="AS933" s="754"/>
      <c r="AT933" s="754"/>
      <c r="AU933" s="754"/>
    </row>
    <row r="934" ht="15.75" customHeight="1">
      <c r="A934" s="755">
        <v>44694.0</v>
      </c>
      <c r="B934" s="710">
        <v>4401235.0</v>
      </c>
      <c r="C934" s="710" t="s">
        <v>3642</v>
      </c>
      <c r="D934" s="745" t="s">
        <v>5903</v>
      </c>
      <c r="E934" s="757">
        <v>59000.0</v>
      </c>
      <c r="F934" s="825" t="s">
        <v>6131</v>
      </c>
      <c r="G934" s="787" t="s">
        <v>18</v>
      </c>
      <c r="H934" s="787" t="s">
        <v>29</v>
      </c>
      <c r="I934" s="787" t="s">
        <v>3987</v>
      </c>
      <c r="J934" s="781">
        <v>44089.0</v>
      </c>
      <c r="K934" s="783" t="s">
        <v>3657</v>
      </c>
      <c r="L934" s="754"/>
      <c r="M934" s="754"/>
      <c r="N934" s="754"/>
      <c r="O934" s="754"/>
      <c r="P934" s="754"/>
      <c r="Q934" s="754"/>
      <c r="R934" s="754"/>
      <c r="S934" s="754"/>
      <c r="T934" s="754"/>
      <c r="U934" s="754"/>
      <c r="V934" s="754"/>
      <c r="W934" s="754"/>
      <c r="X934" s="754"/>
      <c r="Y934" s="754"/>
      <c r="Z934" s="754"/>
      <c r="AA934" s="754"/>
      <c r="AB934" s="754"/>
      <c r="AC934" s="754"/>
      <c r="AD934" s="754"/>
      <c r="AE934" s="754"/>
      <c r="AF934" s="754"/>
      <c r="AG934" s="754"/>
      <c r="AH934" s="754"/>
      <c r="AI934" s="754"/>
      <c r="AJ934" s="754"/>
      <c r="AK934" s="754"/>
      <c r="AL934" s="754"/>
      <c r="AM934" s="754"/>
      <c r="AN934" s="754"/>
      <c r="AO934" s="754"/>
      <c r="AP934" s="754"/>
      <c r="AQ934" s="754"/>
      <c r="AR934" s="754"/>
      <c r="AS934" s="754"/>
      <c r="AT934" s="754"/>
      <c r="AU934" s="754"/>
    </row>
    <row r="935" ht="15.75" customHeight="1">
      <c r="A935" s="755">
        <v>44694.0</v>
      </c>
      <c r="B935" s="710">
        <v>7438369.0</v>
      </c>
      <c r="C935" s="710" t="s">
        <v>3642</v>
      </c>
      <c r="D935" s="745" t="s">
        <v>5902</v>
      </c>
      <c r="E935" s="757">
        <v>28617.08</v>
      </c>
      <c r="F935" s="825" t="s">
        <v>4685</v>
      </c>
      <c r="G935" s="734" t="s">
        <v>86</v>
      </c>
      <c r="H935" s="825" t="s">
        <v>29</v>
      </c>
      <c r="I935" s="734" t="s">
        <v>3697</v>
      </c>
      <c r="J935" s="781">
        <v>44551.0</v>
      </c>
      <c r="K935" s="783" t="s">
        <v>3664</v>
      </c>
      <c r="L935" s="754"/>
      <c r="M935" s="754"/>
      <c r="N935" s="754"/>
      <c r="O935" s="754"/>
      <c r="P935" s="754"/>
      <c r="Q935" s="754"/>
      <c r="R935" s="754"/>
      <c r="S935" s="754"/>
      <c r="T935" s="754"/>
      <c r="U935" s="754"/>
      <c r="V935" s="754"/>
      <c r="W935" s="754"/>
      <c r="X935" s="754"/>
      <c r="Y935" s="754"/>
      <c r="Z935" s="754"/>
      <c r="AA935" s="754"/>
      <c r="AB935" s="754"/>
      <c r="AC935" s="754"/>
      <c r="AD935" s="754"/>
      <c r="AE935" s="754"/>
      <c r="AF935" s="754"/>
      <c r="AG935" s="754"/>
      <c r="AH935" s="754"/>
      <c r="AI935" s="754"/>
      <c r="AJ935" s="754"/>
      <c r="AK935" s="754"/>
      <c r="AL935" s="754"/>
      <c r="AM935" s="754"/>
      <c r="AN935" s="754"/>
      <c r="AO935" s="754"/>
      <c r="AP935" s="754"/>
      <c r="AQ935" s="754"/>
      <c r="AR935" s="754"/>
      <c r="AS935" s="754"/>
      <c r="AT935" s="754"/>
      <c r="AU935" s="754"/>
    </row>
    <row r="936" ht="15.75" customHeight="1">
      <c r="A936" s="755">
        <v>44694.0</v>
      </c>
      <c r="B936" s="710">
        <v>7542389.0</v>
      </c>
      <c r="C936" s="710" t="s">
        <v>3642</v>
      </c>
      <c r="D936" s="745" t="s">
        <v>5902</v>
      </c>
      <c r="E936" s="757">
        <v>131457.67</v>
      </c>
      <c r="F936" s="825" t="s">
        <v>4685</v>
      </c>
      <c r="G936" s="734" t="s">
        <v>86</v>
      </c>
      <c r="H936" s="825" t="s">
        <v>29</v>
      </c>
      <c r="I936" s="734" t="s">
        <v>3697</v>
      </c>
      <c r="J936" s="781">
        <v>44579.0</v>
      </c>
      <c r="K936" s="783" t="s">
        <v>3657</v>
      </c>
      <c r="L936" s="754"/>
      <c r="M936" s="754"/>
      <c r="N936" s="754"/>
      <c r="O936" s="754"/>
      <c r="P936" s="754"/>
      <c r="Q936" s="754"/>
      <c r="R936" s="754"/>
      <c r="S936" s="754"/>
      <c r="T936" s="754"/>
      <c r="U936" s="754"/>
      <c r="V936" s="754"/>
      <c r="W936" s="754"/>
      <c r="X936" s="754"/>
      <c r="Y936" s="754"/>
      <c r="Z936" s="754"/>
      <c r="AA936" s="754"/>
      <c r="AB936" s="754"/>
      <c r="AC936" s="754"/>
      <c r="AD936" s="754"/>
      <c r="AE936" s="754"/>
      <c r="AF936" s="754"/>
      <c r="AG936" s="754"/>
      <c r="AH936" s="754"/>
      <c r="AI936" s="754"/>
      <c r="AJ936" s="754"/>
      <c r="AK936" s="754"/>
      <c r="AL936" s="754"/>
      <c r="AM936" s="754"/>
      <c r="AN936" s="754"/>
      <c r="AO936" s="754"/>
      <c r="AP936" s="754"/>
      <c r="AQ936" s="754"/>
      <c r="AR936" s="754"/>
      <c r="AS936" s="754"/>
      <c r="AT936" s="754"/>
      <c r="AU936" s="754"/>
    </row>
    <row r="937" ht="15.75" customHeight="1">
      <c r="A937" s="755">
        <v>44694.0</v>
      </c>
      <c r="B937" s="710">
        <v>461432.0</v>
      </c>
      <c r="C937" s="710" t="s">
        <v>2376</v>
      </c>
      <c r="D937" s="745" t="s">
        <v>5903</v>
      </c>
      <c r="E937" s="757">
        <v>1000.0</v>
      </c>
      <c r="F937" s="825" t="s">
        <v>3424</v>
      </c>
      <c r="G937" s="734" t="s">
        <v>18</v>
      </c>
      <c r="H937" s="745" t="s">
        <v>145</v>
      </c>
      <c r="I937" s="745" t="s">
        <v>171</v>
      </c>
      <c r="J937" s="792">
        <v>44319.0</v>
      </c>
      <c r="K937" s="783" t="s">
        <v>3664</v>
      </c>
      <c r="L937" s="754"/>
      <c r="M937" s="754"/>
      <c r="N937" s="754"/>
      <c r="O937" s="754"/>
      <c r="P937" s="754"/>
      <c r="Q937" s="754"/>
      <c r="R937" s="754"/>
      <c r="S937" s="754"/>
      <c r="T937" s="754"/>
      <c r="U937" s="754"/>
      <c r="V937" s="754"/>
      <c r="W937" s="754"/>
      <c r="X937" s="754"/>
      <c r="Y937" s="754"/>
      <c r="Z937" s="754"/>
      <c r="AA937" s="754"/>
      <c r="AB937" s="754"/>
      <c r="AC937" s="754"/>
      <c r="AD937" s="754"/>
      <c r="AE937" s="754"/>
      <c r="AF937" s="754"/>
      <c r="AG937" s="754"/>
      <c r="AH937" s="754"/>
      <c r="AI937" s="754"/>
      <c r="AJ937" s="754"/>
      <c r="AK937" s="754"/>
      <c r="AL937" s="754"/>
      <c r="AM937" s="754"/>
      <c r="AN937" s="754"/>
      <c r="AO937" s="754"/>
      <c r="AP937" s="754"/>
      <c r="AQ937" s="754"/>
      <c r="AR937" s="754"/>
      <c r="AS937" s="754"/>
      <c r="AT937" s="754"/>
      <c r="AU937" s="754"/>
    </row>
    <row r="938" ht="15.75" customHeight="1">
      <c r="A938" s="755">
        <v>44694.0</v>
      </c>
      <c r="B938" s="825" t="s">
        <v>6072</v>
      </c>
      <c r="C938" s="710" t="s">
        <v>2376</v>
      </c>
      <c r="D938" s="745" t="s">
        <v>5903</v>
      </c>
      <c r="E938" s="757">
        <v>20000.0</v>
      </c>
      <c r="F938" s="710" t="s">
        <v>6092</v>
      </c>
      <c r="G938" s="734" t="s">
        <v>18</v>
      </c>
      <c r="H938" s="825" t="s">
        <v>145</v>
      </c>
      <c r="I938" s="734" t="s">
        <v>146</v>
      </c>
      <c r="J938" s="781">
        <v>44263.0</v>
      </c>
      <c r="K938" s="783" t="s">
        <v>3660</v>
      </c>
      <c r="L938" s="754"/>
      <c r="M938" s="754"/>
      <c r="N938" s="754"/>
      <c r="O938" s="754"/>
      <c r="P938" s="754"/>
      <c r="Q938" s="754"/>
      <c r="R938" s="754"/>
      <c r="S938" s="754"/>
      <c r="T938" s="754"/>
      <c r="U938" s="754"/>
      <c r="V938" s="754"/>
      <c r="W938" s="754"/>
      <c r="X938" s="754"/>
      <c r="Y938" s="754"/>
      <c r="Z938" s="754"/>
      <c r="AA938" s="754"/>
      <c r="AB938" s="754"/>
      <c r="AC938" s="754"/>
      <c r="AD938" s="754"/>
      <c r="AE938" s="754"/>
      <c r="AF938" s="754"/>
      <c r="AG938" s="754"/>
      <c r="AH938" s="754"/>
      <c r="AI938" s="754"/>
      <c r="AJ938" s="754"/>
      <c r="AK938" s="754"/>
      <c r="AL938" s="754"/>
      <c r="AM938" s="754"/>
      <c r="AN938" s="754"/>
      <c r="AO938" s="754"/>
      <c r="AP938" s="754"/>
      <c r="AQ938" s="754"/>
      <c r="AR938" s="754"/>
      <c r="AS938" s="754"/>
      <c r="AT938" s="754"/>
      <c r="AU938" s="754"/>
    </row>
    <row r="939" ht="15.75" customHeight="1">
      <c r="A939" s="755">
        <v>44698.0</v>
      </c>
      <c r="B939" s="710">
        <v>320910.0</v>
      </c>
      <c r="C939" s="710" t="s">
        <v>2376</v>
      </c>
      <c r="D939" s="745" t="s">
        <v>5903</v>
      </c>
      <c r="E939" s="757">
        <v>54000.0</v>
      </c>
      <c r="F939" s="825" t="s">
        <v>6132</v>
      </c>
      <c r="G939" s="734" t="s">
        <v>18</v>
      </c>
      <c r="H939" s="825" t="s">
        <v>145</v>
      </c>
      <c r="I939" s="734" t="s">
        <v>146</v>
      </c>
      <c r="J939" s="781">
        <v>44328.0</v>
      </c>
      <c r="K939" s="783" t="s">
        <v>3651</v>
      </c>
      <c r="L939" s="754"/>
      <c r="M939" s="754"/>
      <c r="N939" s="754"/>
      <c r="O939" s="754"/>
      <c r="P939" s="754"/>
      <c r="Q939" s="754"/>
      <c r="R939" s="754"/>
      <c r="S939" s="754"/>
      <c r="T939" s="754"/>
      <c r="U939" s="754"/>
      <c r="V939" s="754"/>
      <c r="W939" s="754"/>
      <c r="X939" s="754"/>
      <c r="Y939" s="754"/>
      <c r="Z939" s="754"/>
      <c r="AA939" s="754"/>
      <c r="AB939" s="754"/>
      <c r="AC939" s="754"/>
      <c r="AD939" s="754"/>
      <c r="AE939" s="754"/>
      <c r="AF939" s="754"/>
      <c r="AG939" s="754"/>
      <c r="AH939" s="754"/>
      <c r="AI939" s="754"/>
      <c r="AJ939" s="754"/>
      <c r="AK939" s="754"/>
      <c r="AL939" s="754"/>
      <c r="AM939" s="754"/>
      <c r="AN939" s="754"/>
      <c r="AO939" s="754"/>
      <c r="AP939" s="754"/>
      <c r="AQ939" s="754"/>
      <c r="AR939" s="754"/>
      <c r="AS939" s="754"/>
      <c r="AT939" s="754"/>
      <c r="AU939" s="754"/>
    </row>
    <row r="940" ht="15.75" customHeight="1">
      <c r="A940" s="784">
        <v>44701.0</v>
      </c>
      <c r="B940" s="785" t="s">
        <v>3151</v>
      </c>
      <c r="C940" s="786" t="s">
        <v>2376</v>
      </c>
      <c r="D940" s="787" t="s">
        <v>5902</v>
      </c>
      <c r="E940" s="788">
        <v>120119.71</v>
      </c>
      <c r="F940" s="787" t="s">
        <v>3150</v>
      </c>
      <c r="G940" s="787" t="s">
        <v>18</v>
      </c>
      <c r="H940" s="787" t="s">
        <v>145</v>
      </c>
      <c r="I940" s="787" t="s">
        <v>171</v>
      </c>
      <c r="J940" s="789">
        <v>44391.0</v>
      </c>
      <c r="K940" s="786" t="s">
        <v>3651</v>
      </c>
      <c r="L940" s="754"/>
      <c r="M940" s="754"/>
      <c r="N940" s="754"/>
      <c r="O940" s="754"/>
      <c r="P940" s="754"/>
      <c r="Q940" s="754"/>
      <c r="R940" s="754"/>
      <c r="S940" s="754"/>
      <c r="T940" s="754"/>
      <c r="U940" s="754"/>
      <c r="V940" s="754"/>
      <c r="W940" s="754"/>
      <c r="X940" s="754"/>
      <c r="Y940" s="754"/>
      <c r="Z940" s="754"/>
      <c r="AA940" s="754"/>
      <c r="AB940" s="754"/>
      <c r="AC940" s="754"/>
      <c r="AD940" s="754"/>
      <c r="AE940" s="754"/>
      <c r="AF940" s="754"/>
      <c r="AG940" s="754"/>
      <c r="AH940" s="754"/>
      <c r="AI940" s="754"/>
      <c r="AJ940" s="754"/>
      <c r="AK940" s="754"/>
      <c r="AL940" s="754"/>
      <c r="AM940" s="754"/>
      <c r="AN940" s="754"/>
      <c r="AO940" s="754"/>
      <c r="AP940" s="754"/>
      <c r="AQ940" s="754"/>
      <c r="AR940" s="754"/>
      <c r="AS940" s="754"/>
      <c r="AT940" s="754"/>
      <c r="AU940" s="754"/>
    </row>
    <row r="941" ht="15.75" customHeight="1">
      <c r="A941" s="755">
        <v>44704.0</v>
      </c>
      <c r="B941" s="710">
        <v>461432.0</v>
      </c>
      <c r="C941" s="710" t="s">
        <v>2376</v>
      </c>
      <c r="D941" s="745" t="s">
        <v>5903</v>
      </c>
      <c r="E941" s="757">
        <v>12200.0</v>
      </c>
      <c r="F941" s="825" t="s">
        <v>3424</v>
      </c>
      <c r="G941" s="734" t="s">
        <v>18</v>
      </c>
      <c r="H941" s="745" t="s">
        <v>145</v>
      </c>
      <c r="I941" s="745" t="s">
        <v>171</v>
      </c>
      <c r="J941" s="792">
        <v>44319.0</v>
      </c>
      <c r="K941" s="783" t="s">
        <v>3664</v>
      </c>
      <c r="L941" s="754"/>
      <c r="M941" s="754"/>
      <c r="N941" s="754"/>
      <c r="O941" s="754"/>
      <c r="P941" s="754"/>
      <c r="Q941" s="754"/>
      <c r="R941" s="754"/>
      <c r="S941" s="754"/>
      <c r="T941" s="754"/>
      <c r="U941" s="754"/>
      <c r="V941" s="754"/>
      <c r="W941" s="754"/>
      <c r="X941" s="754"/>
      <c r="Y941" s="754"/>
      <c r="Z941" s="754"/>
      <c r="AA941" s="754"/>
      <c r="AB941" s="754"/>
      <c r="AC941" s="754"/>
      <c r="AD941" s="754"/>
      <c r="AE941" s="754"/>
      <c r="AF941" s="754"/>
      <c r="AG941" s="754"/>
      <c r="AH941" s="754"/>
      <c r="AI941" s="754"/>
      <c r="AJ941" s="754"/>
      <c r="AK941" s="754"/>
      <c r="AL941" s="754"/>
      <c r="AM941" s="754"/>
      <c r="AN941" s="754"/>
      <c r="AO941" s="754"/>
      <c r="AP941" s="754"/>
      <c r="AQ941" s="754"/>
      <c r="AR941" s="754"/>
      <c r="AS941" s="754"/>
      <c r="AT941" s="754"/>
      <c r="AU941" s="754"/>
    </row>
    <row r="942" ht="15.75" customHeight="1">
      <c r="A942" s="755">
        <v>44704.0</v>
      </c>
      <c r="B942" s="710">
        <v>5593800.0</v>
      </c>
      <c r="C942" s="710" t="s">
        <v>3642</v>
      </c>
      <c r="D942" s="745" t="s">
        <v>5902</v>
      </c>
      <c r="E942" s="757">
        <v>97983.24</v>
      </c>
      <c r="F942" s="825" t="s">
        <v>6133</v>
      </c>
      <c r="G942" s="734" t="s">
        <v>18</v>
      </c>
      <c r="H942" s="825" t="s">
        <v>19</v>
      </c>
      <c r="I942" s="734" t="s">
        <v>230</v>
      </c>
      <c r="J942" s="781">
        <v>44344.0</v>
      </c>
      <c r="K942" s="710" t="s">
        <v>3647</v>
      </c>
      <c r="L942" s="754"/>
      <c r="M942" s="754"/>
      <c r="N942" s="754"/>
      <c r="O942" s="754"/>
      <c r="P942" s="754"/>
      <c r="Q942" s="754"/>
      <c r="R942" s="754"/>
      <c r="S942" s="754"/>
      <c r="T942" s="754"/>
      <c r="U942" s="754"/>
      <c r="V942" s="754"/>
      <c r="W942" s="754"/>
      <c r="X942" s="754"/>
      <c r="Y942" s="754"/>
      <c r="Z942" s="754"/>
      <c r="AA942" s="754"/>
      <c r="AB942" s="754"/>
      <c r="AC942" s="754"/>
      <c r="AD942" s="754"/>
      <c r="AE942" s="754"/>
      <c r="AF942" s="754"/>
      <c r="AG942" s="754"/>
      <c r="AH942" s="754"/>
      <c r="AI942" s="754"/>
      <c r="AJ942" s="754"/>
      <c r="AK942" s="754"/>
      <c r="AL942" s="754"/>
      <c r="AM942" s="754"/>
      <c r="AN942" s="754"/>
      <c r="AO942" s="754"/>
      <c r="AP942" s="754"/>
      <c r="AQ942" s="754"/>
      <c r="AR942" s="754"/>
      <c r="AS942" s="754"/>
      <c r="AT942" s="754"/>
      <c r="AU942" s="754"/>
    </row>
    <row r="943" ht="15.75" customHeight="1">
      <c r="A943" s="755">
        <v>44704.0</v>
      </c>
      <c r="B943" s="710">
        <v>6986262.0</v>
      </c>
      <c r="C943" s="710" t="s">
        <v>3642</v>
      </c>
      <c r="D943" s="745" t="s">
        <v>5903</v>
      </c>
      <c r="E943" s="757">
        <v>20000.0</v>
      </c>
      <c r="F943" s="825" t="s">
        <v>4139</v>
      </c>
      <c r="G943" s="734" t="s">
        <v>18</v>
      </c>
      <c r="H943" s="825" t="s">
        <v>19</v>
      </c>
      <c r="I943" s="734" t="s">
        <v>3978</v>
      </c>
      <c r="J943" s="781">
        <v>44503.0</v>
      </c>
      <c r="K943" s="710" t="s">
        <v>3693</v>
      </c>
      <c r="L943" s="754"/>
      <c r="M943" s="754"/>
      <c r="N943" s="754"/>
      <c r="O943" s="754"/>
      <c r="P943" s="754"/>
      <c r="Q943" s="754"/>
      <c r="R943" s="754"/>
      <c r="S943" s="754"/>
      <c r="T943" s="754"/>
      <c r="U943" s="754"/>
      <c r="V943" s="754"/>
      <c r="W943" s="754"/>
      <c r="X943" s="754"/>
      <c r="Y943" s="754"/>
      <c r="Z943" s="754"/>
      <c r="AA943" s="754"/>
      <c r="AB943" s="754"/>
      <c r="AC943" s="754"/>
      <c r="AD943" s="754"/>
      <c r="AE943" s="754"/>
      <c r="AF943" s="754"/>
      <c r="AG943" s="754"/>
      <c r="AH943" s="754"/>
      <c r="AI943" s="754"/>
      <c r="AJ943" s="754"/>
      <c r="AK943" s="754"/>
      <c r="AL943" s="754"/>
      <c r="AM943" s="754"/>
      <c r="AN943" s="754"/>
      <c r="AO943" s="754"/>
      <c r="AP943" s="754"/>
      <c r="AQ943" s="754"/>
      <c r="AR943" s="754"/>
      <c r="AS943" s="754"/>
      <c r="AT943" s="754"/>
      <c r="AU943" s="754"/>
    </row>
    <row r="944" ht="15.75" customHeight="1">
      <c r="A944" s="755">
        <v>44705.0</v>
      </c>
      <c r="B944" s="834" t="s">
        <v>6134</v>
      </c>
      <c r="C944" s="829" t="s">
        <v>3642</v>
      </c>
      <c r="D944" s="830" t="s">
        <v>5903</v>
      </c>
      <c r="E944" s="831">
        <v>150000.0</v>
      </c>
      <c r="F944" s="835" t="s">
        <v>3919</v>
      </c>
      <c r="G944" s="813" t="s">
        <v>18</v>
      </c>
      <c r="H944" s="835" t="s">
        <v>19</v>
      </c>
      <c r="I944" s="813" t="s">
        <v>5891</v>
      </c>
      <c r="J944" s="836">
        <v>44130.0</v>
      </c>
      <c r="K944" s="829" t="s">
        <v>3651</v>
      </c>
      <c r="L944" s="754"/>
      <c r="M944" s="754"/>
      <c r="N944" s="754"/>
      <c r="O944" s="754"/>
      <c r="P944" s="754"/>
      <c r="Q944" s="754"/>
      <c r="R944" s="754"/>
      <c r="S944" s="754"/>
      <c r="T944" s="754"/>
      <c r="U944" s="754"/>
      <c r="V944" s="754"/>
      <c r="W944" s="754"/>
      <c r="X944" s="754"/>
      <c r="Y944" s="754"/>
      <c r="Z944" s="754"/>
      <c r="AA944" s="754"/>
      <c r="AB944" s="754"/>
      <c r="AC944" s="754"/>
      <c r="AD944" s="754"/>
      <c r="AE944" s="754"/>
      <c r="AF944" s="754"/>
      <c r="AG944" s="754"/>
      <c r="AH944" s="754"/>
      <c r="AI944" s="754"/>
      <c r="AJ944" s="754"/>
      <c r="AK944" s="754"/>
      <c r="AL944" s="754"/>
      <c r="AM944" s="754"/>
      <c r="AN944" s="754"/>
      <c r="AO944" s="754"/>
      <c r="AP944" s="754"/>
      <c r="AQ944" s="754"/>
      <c r="AR944" s="754"/>
      <c r="AS944" s="754"/>
      <c r="AT944" s="754"/>
      <c r="AU944" s="754"/>
    </row>
    <row r="945" ht="15.75" customHeight="1">
      <c r="A945" s="755">
        <v>44707.0</v>
      </c>
      <c r="B945" s="829">
        <v>6866947.0</v>
      </c>
      <c r="C945" s="829" t="s">
        <v>3642</v>
      </c>
      <c r="D945" s="830" t="s">
        <v>5903</v>
      </c>
      <c r="E945" s="831">
        <v>5000.0</v>
      </c>
      <c r="F945" s="835" t="s">
        <v>3893</v>
      </c>
      <c r="G945" s="813" t="s">
        <v>18</v>
      </c>
      <c r="H945" s="835" t="s">
        <v>19</v>
      </c>
      <c r="I945" s="813" t="s">
        <v>230</v>
      </c>
      <c r="J945" s="836">
        <v>44497.0</v>
      </c>
      <c r="K945" s="829" t="s">
        <v>3660</v>
      </c>
      <c r="L945" s="754"/>
      <c r="M945" s="754"/>
      <c r="N945" s="754"/>
      <c r="O945" s="754"/>
      <c r="P945" s="754"/>
      <c r="Q945" s="754"/>
      <c r="R945" s="754"/>
      <c r="S945" s="754"/>
      <c r="T945" s="754"/>
      <c r="U945" s="754"/>
      <c r="V945" s="754"/>
      <c r="W945" s="754"/>
      <c r="X945" s="754"/>
      <c r="Y945" s="754"/>
      <c r="Z945" s="754"/>
      <c r="AA945" s="754"/>
      <c r="AB945" s="754"/>
      <c r="AC945" s="754"/>
      <c r="AD945" s="754"/>
      <c r="AE945" s="754"/>
      <c r="AF945" s="754"/>
      <c r="AG945" s="754"/>
      <c r="AH945" s="754"/>
      <c r="AI945" s="754"/>
      <c r="AJ945" s="754"/>
      <c r="AK945" s="754"/>
      <c r="AL945" s="754"/>
      <c r="AM945" s="754"/>
      <c r="AN945" s="754"/>
      <c r="AO945" s="754"/>
      <c r="AP945" s="754"/>
      <c r="AQ945" s="754"/>
      <c r="AR945" s="754"/>
      <c r="AS945" s="754"/>
      <c r="AT945" s="754"/>
      <c r="AU945" s="754"/>
    </row>
    <row r="946" ht="15.75" customHeight="1">
      <c r="A946" s="755">
        <v>44707.0</v>
      </c>
      <c r="B946" s="829">
        <v>385035.0</v>
      </c>
      <c r="C946" s="829" t="s">
        <v>2376</v>
      </c>
      <c r="D946" s="830" t="s">
        <v>5903</v>
      </c>
      <c r="E946" s="831">
        <v>53252.0</v>
      </c>
      <c r="F946" s="835" t="s">
        <v>6135</v>
      </c>
      <c r="G946" s="830" t="s">
        <v>2379</v>
      </c>
      <c r="H946" s="830" t="s">
        <v>29</v>
      </c>
      <c r="I946" s="830" t="s">
        <v>2380</v>
      </c>
      <c r="J946" s="837">
        <v>43811.0</v>
      </c>
      <c r="K946" s="838" t="s">
        <v>3660</v>
      </c>
      <c r="L946" s="754"/>
      <c r="M946" s="754"/>
      <c r="N946" s="754"/>
      <c r="O946" s="754"/>
      <c r="P946" s="754"/>
      <c r="Q946" s="754"/>
      <c r="R946" s="754"/>
      <c r="S946" s="754"/>
      <c r="T946" s="754"/>
      <c r="U946" s="754"/>
      <c r="V946" s="754"/>
      <c r="W946" s="754"/>
      <c r="X946" s="754"/>
      <c r="Y946" s="754"/>
      <c r="Z946" s="754"/>
      <c r="AA946" s="754"/>
      <c r="AB946" s="754"/>
      <c r="AC946" s="754"/>
      <c r="AD946" s="754"/>
      <c r="AE946" s="754"/>
      <c r="AF946" s="754"/>
      <c r="AG946" s="754"/>
      <c r="AH946" s="754"/>
      <c r="AI946" s="754"/>
      <c r="AJ946" s="754"/>
      <c r="AK946" s="754"/>
      <c r="AL946" s="754"/>
      <c r="AM946" s="754"/>
      <c r="AN946" s="754"/>
      <c r="AO946" s="754"/>
      <c r="AP946" s="754"/>
      <c r="AQ946" s="754"/>
      <c r="AR946" s="754"/>
      <c r="AS946" s="754"/>
      <c r="AT946" s="754"/>
      <c r="AU946" s="754"/>
    </row>
    <row r="947" ht="15.75" customHeight="1">
      <c r="A947" s="755">
        <v>44707.0</v>
      </c>
      <c r="B947" s="829">
        <v>798500.0</v>
      </c>
      <c r="C947" s="829" t="s">
        <v>2376</v>
      </c>
      <c r="D947" s="830" t="s">
        <v>5903</v>
      </c>
      <c r="E947" s="831">
        <v>15000.0</v>
      </c>
      <c r="F947" s="835" t="s">
        <v>6136</v>
      </c>
      <c r="G947" s="813" t="s">
        <v>18</v>
      </c>
      <c r="H947" s="830" t="s">
        <v>145</v>
      </c>
      <c r="I947" s="830" t="s">
        <v>2464</v>
      </c>
      <c r="J947" s="839">
        <v>44299.0</v>
      </c>
      <c r="K947" s="838" t="s">
        <v>3651</v>
      </c>
      <c r="L947" s="754"/>
      <c r="M947" s="754"/>
      <c r="N947" s="754"/>
      <c r="O947" s="754"/>
      <c r="P947" s="754"/>
      <c r="Q947" s="754"/>
      <c r="R947" s="754"/>
      <c r="S947" s="754"/>
      <c r="T947" s="754"/>
      <c r="U947" s="754"/>
      <c r="V947" s="754"/>
      <c r="W947" s="754"/>
      <c r="X947" s="754"/>
      <c r="Y947" s="754"/>
      <c r="Z947" s="754"/>
      <c r="AA947" s="754"/>
      <c r="AB947" s="754"/>
      <c r="AC947" s="754"/>
      <c r="AD947" s="754"/>
      <c r="AE947" s="754"/>
      <c r="AF947" s="754"/>
      <c r="AG947" s="754"/>
      <c r="AH947" s="754"/>
      <c r="AI947" s="754"/>
      <c r="AJ947" s="754"/>
      <c r="AK947" s="754"/>
      <c r="AL947" s="754"/>
      <c r="AM947" s="754"/>
      <c r="AN947" s="754"/>
      <c r="AO947" s="754"/>
      <c r="AP947" s="754"/>
      <c r="AQ947" s="754"/>
      <c r="AR947" s="754"/>
      <c r="AS947" s="754"/>
      <c r="AT947" s="754"/>
      <c r="AU947" s="754"/>
    </row>
    <row r="948" ht="15.75" customHeight="1">
      <c r="A948" s="755">
        <v>44713.0</v>
      </c>
      <c r="B948" s="829">
        <v>4681835.0</v>
      </c>
      <c r="C948" s="829" t="s">
        <v>3642</v>
      </c>
      <c r="D948" s="830" t="s">
        <v>5902</v>
      </c>
      <c r="E948" s="831">
        <v>93639.74</v>
      </c>
      <c r="F948" s="835" t="s">
        <v>4706</v>
      </c>
      <c r="G948" s="813" t="s">
        <v>86</v>
      </c>
      <c r="H948" s="830" t="s">
        <v>29</v>
      </c>
      <c r="I948" s="830" t="s">
        <v>3818</v>
      </c>
      <c r="J948" s="839">
        <v>44204.0</v>
      </c>
      <c r="K948" s="838" t="s">
        <v>3647</v>
      </c>
      <c r="L948" s="754"/>
      <c r="M948" s="754"/>
      <c r="N948" s="754"/>
      <c r="O948" s="754"/>
      <c r="P948" s="754"/>
      <c r="Q948" s="754"/>
      <c r="R948" s="754"/>
      <c r="S948" s="754"/>
      <c r="T948" s="754"/>
      <c r="U948" s="754"/>
      <c r="V948" s="754"/>
      <c r="W948" s="754"/>
      <c r="X948" s="754"/>
      <c r="Y948" s="754"/>
      <c r="Z948" s="754"/>
      <c r="AA948" s="754"/>
      <c r="AB948" s="754"/>
      <c r="AC948" s="754"/>
      <c r="AD948" s="754"/>
      <c r="AE948" s="754"/>
      <c r="AF948" s="754"/>
      <c r="AG948" s="754"/>
      <c r="AH948" s="754"/>
      <c r="AI948" s="754"/>
      <c r="AJ948" s="754"/>
      <c r="AK948" s="754"/>
      <c r="AL948" s="754"/>
      <c r="AM948" s="754"/>
      <c r="AN948" s="754"/>
      <c r="AO948" s="754"/>
      <c r="AP948" s="754"/>
      <c r="AQ948" s="754"/>
      <c r="AR948" s="754"/>
      <c r="AS948" s="754"/>
      <c r="AT948" s="754"/>
      <c r="AU948" s="754"/>
    </row>
    <row r="949" ht="15.75" customHeight="1">
      <c r="A949" s="784">
        <v>44713.0</v>
      </c>
      <c r="B949" s="840" t="s">
        <v>5972</v>
      </c>
      <c r="C949" s="841" t="s">
        <v>3642</v>
      </c>
      <c r="D949" s="842" t="s">
        <v>5903</v>
      </c>
      <c r="E949" s="843">
        <v>4000.0</v>
      </c>
      <c r="F949" s="842" t="s">
        <v>544</v>
      </c>
      <c r="G949" s="842" t="s">
        <v>18</v>
      </c>
      <c r="H949" s="842" t="s">
        <v>19</v>
      </c>
      <c r="I949" s="842" t="s">
        <v>230</v>
      </c>
      <c r="J949" s="844">
        <v>44407.0</v>
      </c>
      <c r="K949" s="841" t="s">
        <v>3855</v>
      </c>
      <c r="L949" s="754"/>
      <c r="M949" s="754"/>
      <c r="N949" s="754"/>
      <c r="O949" s="754"/>
      <c r="P949" s="754"/>
      <c r="Q949" s="754"/>
      <c r="R949" s="754"/>
      <c r="S949" s="754"/>
      <c r="T949" s="754"/>
      <c r="U949" s="754"/>
      <c r="V949" s="754"/>
      <c r="W949" s="754"/>
      <c r="X949" s="754"/>
      <c r="Y949" s="754"/>
      <c r="Z949" s="754"/>
      <c r="AA949" s="754"/>
      <c r="AB949" s="754"/>
      <c r="AC949" s="754"/>
      <c r="AD949" s="754"/>
      <c r="AE949" s="754"/>
      <c r="AF949" s="754"/>
      <c r="AG949" s="754"/>
      <c r="AH949" s="754"/>
      <c r="AI949" s="754"/>
      <c r="AJ949" s="754"/>
      <c r="AK949" s="754"/>
      <c r="AL949" s="754"/>
      <c r="AM949" s="754"/>
      <c r="AN949" s="754"/>
      <c r="AO949" s="754"/>
      <c r="AP949" s="754"/>
      <c r="AQ949" s="754"/>
      <c r="AR949" s="754"/>
      <c r="AS949" s="754"/>
      <c r="AT949" s="754"/>
      <c r="AU949" s="754"/>
    </row>
    <row r="950" ht="15.75" customHeight="1">
      <c r="A950" s="755">
        <v>44714.0</v>
      </c>
      <c r="B950" s="829">
        <v>2956150.0</v>
      </c>
      <c r="C950" s="829" t="s">
        <v>3458</v>
      </c>
      <c r="D950" s="830" t="s">
        <v>5903</v>
      </c>
      <c r="E950" s="831">
        <v>3000.0</v>
      </c>
      <c r="F950" s="835" t="s">
        <v>3481</v>
      </c>
      <c r="G950" s="813" t="s">
        <v>18</v>
      </c>
      <c r="H950" s="830" t="s">
        <v>29</v>
      </c>
      <c r="I950" s="830" t="s">
        <v>5810</v>
      </c>
      <c r="J950" s="839">
        <v>44062.0</v>
      </c>
      <c r="K950" s="838" t="s">
        <v>3651</v>
      </c>
      <c r="L950" s="754"/>
      <c r="M950" s="754"/>
      <c r="N950" s="754"/>
      <c r="O950" s="754"/>
      <c r="P950" s="754"/>
      <c r="Q950" s="754"/>
      <c r="R950" s="754"/>
      <c r="S950" s="754"/>
      <c r="T950" s="754"/>
      <c r="U950" s="754"/>
      <c r="V950" s="754"/>
      <c r="W950" s="754"/>
      <c r="X950" s="754"/>
      <c r="Y950" s="754"/>
      <c r="Z950" s="754"/>
      <c r="AA950" s="754"/>
      <c r="AB950" s="754"/>
      <c r="AC950" s="754"/>
      <c r="AD950" s="754"/>
      <c r="AE950" s="754"/>
      <c r="AF950" s="754"/>
      <c r="AG950" s="754"/>
      <c r="AH950" s="754"/>
      <c r="AI950" s="754"/>
      <c r="AJ950" s="754"/>
      <c r="AK950" s="754"/>
      <c r="AL950" s="754"/>
      <c r="AM950" s="754"/>
      <c r="AN950" s="754"/>
      <c r="AO950" s="754"/>
      <c r="AP950" s="754"/>
      <c r="AQ950" s="754"/>
      <c r="AR950" s="754"/>
      <c r="AS950" s="754"/>
      <c r="AT950" s="754"/>
      <c r="AU950" s="754"/>
    </row>
    <row r="951" ht="15.75" customHeight="1">
      <c r="A951" s="784">
        <v>44715.0</v>
      </c>
      <c r="B951" s="840">
        <v>3553004.0</v>
      </c>
      <c r="C951" s="841" t="s">
        <v>3642</v>
      </c>
      <c r="D951" s="842" t="s">
        <v>2387</v>
      </c>
      <c r="E951" s="843">
        <v>73682.14</v>
      </c>
      <c r="F951" s="842" t="s">
        <v>4032</v>
      </c>
      <c r="G951" s="842" t="s">
        <v>2379</v>
      </c>
      <c r="H951" s="842" t="s">
        <v>29</v>
      </c>
      <c r="I951" s="842" t="s">
        <v>2379</v>
      </c>
      <c r="J951" s="844">
        <v>43742.0</v>
      </c>
      <c r="K951" s="841" t="s">
        <v>4033</v>
      </c>
      <c r="L951" s="754"/>
      <c r="M951" s="754"/>
      <c r="N951" s="754"/>
      <c r="O951" s="754"/>
      <c r="P951" s="754"/>
      <c r="Q951" s="754"/>
      <c r="R951" s="754"/>
      <c r="S951" s="754"/>
      <c r="T951" s="754"/>
      <c r="U951" s="754"/>
      <c r="V951" s="754"/>
      <c r="W951" s="754"/>
      <c r="X951" s="754"/>
      <c r="Y951" s="754"/>
      <c r="Z951" s="754"/>
      <c r="AA951" s="754"/>
      <c r="AB951" s="754"/>
      <c r="AC951" s="754"/>
      <c r="AD951" s="754"/>
      <c r="AE951" s="754"/>
      <c r="AF951" s="754"/>
      <c r="AG951" s="754"/>
      <c r="AH951" s="754"/>
      <c r="AI951" s="754"/>
      <c r="AJ951" s="754"/>
      <c r="AK951" s="754"/>
      <c r="AL951" s="754"/>
      <c r="AM951" s="754"/>
      <c r="AN951" s="754"/>
      <c r="AO951" s="754"/>
      <c r="AP951" s="754"/>
      <c r="AQ951" s="754"/>
      <c r="AR951" s="754"/>
      <c r="AS951" s="754"/>
      <c r="AT951" s="754"/>
      <c r="AU951" s="754"/>
    </row>
    <row r="952" ht="15.75" customHeight="1">
      <c r="A952" s="784">
        <v>44718.0</v>
      </c>
      <c r="B952" s="840" t="s">
        <v>6137</v>
      </c>
      <c r="C952" s="841" t="s">
        <v>3642</v>
      </c>
      <c r="D952" s="842" t="s">
        <v>5902</v>
      </c>
      <c r="E952" s="843" t="s">
        <v>6138</v>
      </c>
      <c r="F952" s="842" t="s">
        <v>6139</v>
      </c>
      <c r="G952" s="842" t="s">
        <v>18</v>
      </c>
      <c r="H952" s="842" t="s">
        <v>19</v>
      </c>
      <c r="I952" s="842" t="s">
        <v>230</v>
      </c>
      <c r="J952" s="844">
        <v>44405.0</v>
      </c>
      <c r="K952" s="841" t="s">
        <v>3664</v>
      </c>
      <c r="L952" s="754"/>
      <c r="M952" s="754"/>
      <c r="N952" s="754"/>
      <c r="O952" s="754"/>
      <c r="P952" s="754"/>
      <c r="Q952" s="754"/>
      <c r="R952" s="754"/>
      <c r="S952" s="754"/>
      <c r="T952" s="754"/>
      <c r="U952" s="754"/>
      <c r="V952" s="754"/>
      <c r="W952" s="754"/>
      <c r="X952" s="754"/>
      <c r="Y952" s="754"/>
      <c r="Z952" s="754"/>
      <c r="AA952" s="754"/>
      <c r="AB952" s="754"/>
      <c r="AC952" s="754"/>
      <c r="AD952" s="754"/>
      <c r="AE952" s="754"/>
      <c r="AF952" s="754"/>
      <c r="AG952" s="754"/>
      <c r="AH952" s="754"/>
      <c r="AI952" s="754"/>
      <c r="AJ952" s="754"/>
      <c r="AK952" s="754"/>
      <c r="AL952" s="754"/>
      <c r="AM952" s="754"/>
      <c r="AN952" s="754"/>
      <c r="AO952" s="754"/>
      <c r="AP952" s="754"/>
      <c r="AQ952" s="754"/>
      <c r="AR952" s="754"/>
      <c r="AS952" s="754"/>
      <c r="AT952" s="754"/>
      <c r="AU952" s="754"/>
    </row>
    <row r="953" ht="15.75" customHeight="1">
      <c r="A953" s="784">
        <v>44718.0</v>
      </c>
      <c r="B953" s="840" t="s">
        <v>5990</v>
      </c>
      <c r="C953" s="841" t="s">
        <v>3642</v>
      </c>
      <c r="D953" s="842" t="s">
        <v>5903</v>
      </c>
      <c r="E953" s="843">
        <v>127458.23</v>
      </c>
      <c r="F953" s="842" t="s">
        <v>3655</v>
      </c>
      <c r="G953" s="842" t="s">
        <v>18</v>
      </c>
      <c r="H953" s="842" t="s">
        <v>29</v>
      </c>
      <c r="I953" s="842" t="s">
        <v>3656</v>
      </c>
      <c r="J953" s="844">
        <v>44326.0</v>
      </c>
      <c r="K953" s="841" t="s">
        <v>3657</v>
      </c>
      <c r="L953" s="754"/>
      <c r="M953" s="754"/>
      <c r="N953" s="754"/>
      <c r="O953" s="754"/>
      <c r="P953" s="754"/>
      <c r="Q953" s="754"/>
      <c r="R953" s="754"/>
      <c r="S953" s="754"/>
      <c r="T953" s="754"/>
      <c r="U953" s="754"/>
      <c r="V953" s="754"/>
      <c r="W953" s="754"/>
      <c r="X953" s="754"/>
      <c r="Y953" s="754"/>
      <c r="Z953" s="754"/>
      <c r="AA953" s="754"/>
      <c r="AB953" s="754"/>
      <c r="AC953" s="754"/>
      <c r="AD953" s="754"/>
      <c r="AE953" s="754"/>
      <c r="AF953" s="754"/>
      <c r="AG953" s="754"/>
      <c r="AH953" s="754"/>
      <c r="AI953" s="754"/>
      <c r="AJ953" s="754"/>
      <c r="AK953" s="754"/>
      <c r="AL953" s="754"/>
      <c r="AM953" s="754"/>
      <c r="AN953" s="754"/>
      <c r="AO953" s="754"/>
      <c r="AP953" s="754"/>
      <c r="AQ953" s="754"/>
      <c r="AR953" s="754"/>
      <c r="AS953" s="754"/>
      <c r="AT953" s="754"/>
      <c r="AU953" s="754"/>
    </row>
    <row r="954" ht="15.75" customHeight="1">
      <c r="A954" s="784">
        <v>44719.0</v>
      </c>
      <c r="B954" s="840" t="s">
        <v>6140</v>
      </c>
      <c r="C954" s="841" t="s">
        <v>3642</v>
      </c>
      <c r="D954" s="842" t="s">
        <v>2387</v>
      </c>
      <c r="E954" s="843">
        <v>185758.05</v>
      </c>
      <c r="F954" s="842" t="s">
        <v>4472</v>
      </c>
      <c r="G954" s="842" t="s">
        <v>86</v>
      </c>
      <c r="H954" s="842" t="s">
        <v>29</v>
      </c>
      <c r="I954" s="842" t="s">
        <v>3948</v>
      </c>
      <c r="J954" s="844">
        <v>44218.0</v>
      </c>
      <c r="K954" s="841" t="s">
        <v>3664</v>
      </c>
      <c r="L954" s="754"/>
      <c r="M954" s="754"/>
      <c r="N954" s="754"/>
      <c r="O954" s="754"/>
      <c r="P954" s="754"/>
      <c r="Q954" s="754"/>
      <c r="R954" s="754"/>
      <c r="S954" s="754"/>
      <c r="T954" s="754"/>
      <c r="U954" s="754"/>
      <c r="V954" s="754"/>
      <c r="W954" s="754"/>
      <c r="X954" s="754"/>
      <c r="Y954" s="754"/>
      <c r="Z954" s="754"/>
      <c r="AA954" s="754"/>
      <c r="AB954" s="754"/>
      <c r="AC954" s="754"/>
      <c r="AD954" s="754"/>
      <c r="AE954" s="754"/>
      <c r="AF954" s="754"/>
      <c r="AG954" s="754"/>
      <c r="AH954" s="754"/>
      <c r="AI954" s="754"/>
      <c r="AJ954" s="754"/>
      <c r="AK954" s="754"/>
      <c r="AL954" s="754"/>
      <c r="AM954" s="754"/>
      <c r="AN954" s="754"/>
      <c r="AO954" s="754"/>
      <c r="AP954" s="754"/>
      <c r="AQ954" s="754"/>
      <c r="AR954" s="754"/>
      <c r="AS954" s="754"/>
      <c r="AT954" s="754"/>
      <c r="AU954" s="754"/>
    </row>
    <row r="955" ht="15.75" customHeight="1">
      <c r="A955" s="784">
        <v>44719.0</v>
      </c>
      <c r="B955" s="840" t="s">
        <v>6141</v>
      </c>
      <c r="C955" s="841" t="s">
        <v>3642</v>
      </c>
      <c r="D955" s="842" t="s">
        <v>5903</v>
      </c>
      <c r="E955" s="843">
        <v>470001.08</v>
      </c>
      <c r="F955" s="842" t="s">
        <v>3900</v>
      </c>
      <c r="G955" s="842" t="s">
        <v>86</v>
      </c>
      <c r="H955" s="842" t="s">
        <v>29</v>
      </c>
      <c r="I955" s="842" t="s">
        <v>3901</v>
      </c>
      <c r="J955" s="844">
        <v>44103.0</v>
      </c>
      <c r="K955" s="841" t="s">
        <v>3660</v>
      </c>
      <c r="L955" s="754"/>
      <c r="M955" s="754"/>
      <c r="N955" s="754"/>
      <c r="O955" s="754"/>
      <c r="P955" s="754"/>
      <c r="Q955" s="754"/>
      <c r="R955" s="754"/>
      <c r="S955" s="754"/>
      <c r="T955" s="754"/>
      <c r="U955" s="754"/>
      <c r="V955" s="754"/>
      <c r="W955" s="754"/>
      <c r="X955" s="754"/>
      <c r="Y955" s="754"/>
      <c r="Z955" s="754"/>
      <c r="AA955" s="754"/>
      <c r="AB955" s="754"/>
      <c r="AC955" s="754"/>
      <c r="AD955" s="754"/>
      <c r="AE955" s="754"/>
      <c r="AF955" s="754"/>
      <c r="AG955" s="754"/>
      <c r="AH955" s="754"/>
      <c r="AI955" s="754"/>
      <c r="AJ955" s="754"/>
      <c r="AK955" s="754"/>
      <c r="AL955" s="754"/>
      <c r="AM955" s="754"/>
      <c r="AN955" s="754"/>
      <c r="AO955" s="754"/>
      <c r="AP955" s="754"/>
      <c r="AQ955" s="754"/>
      <c r="AR955" s="754"/>
      <c r="AS955" s="754"/>
      <c r="AT955" s="754"/>
      <c r="AU955" s="754"/>
    </row>
    <row r="956" ht="15.75" customHeight="1">
      <c r="A956" s="784">
        <v>44720.0</v>
      </c>
      <c r="B956" s="840" t="s">
        <v>6086</v>
      </c>
      <c r="C956" s="841" t="s">
        <v>3642</v>
      </c>
      <c r="D956" s="842" t="s">
        <v>5903</v>
      </c>
      <c r="E956" s="843">
        <v>30000.0</v>
      </c>
      <c r="F956" s="842" t="s">
        <v>6087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3651</v>
      </c>
      <c r="L956" s="754"/>
      <c r="M956" s="754"/>
      <c r="N956" s="754"/>
      <c r="O956" s="754"/>
      <c r="P956" s="754"/>
      <c r="Q956" s="754"/>
      <c r="R956" s="754"/>
      <c r="S956" s="754"/>
      <c r="T956" s="754"/>
      <c r="U956" s="754"/>
      <c r="V956" s="754"/>
      <c r="W956" s="754"/>
      <c r="X956" s="754"/>
      <c r="Y956" s="754"/>
      <c r="Z956" s="754"/>
      <c r="AA956" s="754"/>
      <c r="AB956" s="754"/>
      <c r="AC956" s="754"/>
      <c r="AD956" s="754"/>
      <c r="AE956" s="754"/>
      <c r="AF956" s="754"/>
      <c r="AG956" s="754"/>
      <c r="AH956" s="754"/>
      <c r="AI956" s="754"/>
      <c r="AJ956" s="754"/>
      <c r="AK956" s="754"/>
      <c r="AL956" s="754"/>
      <c r="AM956" s="754"/>
      <c r="AN956" s="754"/>
      <c r="AO956" s="754"/>
      <c r="AP956" s="754"/>
      <c r="AQ956" s="754"/>
      <c r="AR956" s="754"/>
      <c r="AS956" s="754"/>
      <c r="AT956" s="754"/>
      <c r="AU956" s="754"/>
    </row>
    <row r="957" ht="15.75" customHeight="1">
      <c r="A957" s="784">
        <v>44721.0</v>
      </c>
      <c r="B957" s="840" t="s">
        <v>6035</v>
      </c>
      <c r="C957" s="841" t="s">
        <v>3642</v>
      </c>
      <c r="D957" s="842" t="s">
        <v>5903</v>
      </c>
      <c r="E957" s="843">
        <v>20000.0</v>
      </c>
      <c r="F957" s="842" t="s">
        <v>4053</v>
      </c>
      <c r="G957" s="842" t="s">
        <v>18</v>
      </c>
      <c r="H957" s="842" t="s">
        <v>29</v>
      </c>
      <c r="I957" s="842" t="s">
        <v>2633</v>
      </c>
      <c r="J957" s="844">
        <v>44399.0</v>
      </c>
      <c r="K957" s="841" t="s">
        <v>3651</v>
      </c>
      <c r="L957" s="754"/>
      <c r="M957" s="754"/>
      <c r="N957" s="754"/>
      <c r="O957" s="754"/>
      <c r="P957" s="754"/>
      <c r="Q957" s="754"/>
      <c r="R957" s="754"/>
      <c r="S957" s="754"/>
      <c r="T957" s="754"/>
      <c r="U957" s="754"/>
      <c r="V957" s="754"/>
      <c r="W957" s="754"/>
      <c r="X957" s="754"/>
      <c r="Y957" s="754"/>
      <c r="Z957" s="754"/>
      <c r="AA957" s="754"/>
      <c r="AB957" s="754"/>
      <c r="AC957" s="754"/>
      <c r="AD957" s="754"/>
      <c r="AE957" s="754"/>
      <c r="AF957" s="754"/>
      <c r="AG957" s="754"/>
      <c r="AH957" s="754"/>
      <c r="AI957" s="754"/>
      <c r="AJ957" s="754"/>
      <c r="AK957" s="754"/>
      <c r="AL957" s="754"/>
      <c r="AM957" s="754"/>
      <c r="AN957" s="754"/>
      <c r="AO957" s="754"/>
      <c r="AP957" s="754"/>
      <c r="AQ957" s="754"/>
      <c r="AR957" s="754"/>
      <c r="AS957" s="754"/>
      <c r="AT957" s="754"/>
      <c r="AU957" s="754"/>
    </row>
    <row r="958" ht="15.75" customHeight="1">
      <c r="A958" s="784">
        <v>44726.0</v>
      </c>
      <c r="B958" s="840" t="s">
        <v>6068</v>
      </c>
      <c r="C958" s="841" t="s">
        <v>3642</v>
      </c>
      <c r="D958" s="842" t="s">
        <v>5903</v>
      </c>
      <c r="E958" s="843">
        <v>20000.0</v>
      </c>
      <c r="F958" s="842" t="s">
        <v>1426</v>
      </c>
      <c r="G958" s="842" t="s">
        <v>18</v>
      </c>
      <c r="H958" s="842" t="s">
        <v>29</v>
      </c>
      <c r="I958" s="842" t="s">
        <v>4877</v>
      </c>
      <c r="J958" s="844">
        <v>44594.0</v>
      </c>
      <c r="K958" s="841" t="s">
        <v>3657</v>
      </c>
      <c r="L958" s="754"/>
      <c r="M958" s="754"/>
      <c r="N958" s="754"/>
      <c r="O958" s="754"/>
      <c r="P958" s="754"/>
      <c r="Q958" s="754"/>
      <c r="R958" s="754"/>
      <c r="S958" s="754"/>
      <c r="T958" s="754"/>
      <c r="U958" s="754"/>
      <c r="V958" s="754"/>
      <c r="W958" s="754"/>
      <c r="X958" s="754"/>
      <c r="Y958" s="754"/>
      <c r="Z958" s="754"/>
      <c r="AA958" s="754"/>
      <c r="AB958" s="754"/>
      <c r="AC958" s="754"/>
      <c r="AD958" s="754"/>
      <c r="AE958" s="754"/>
      <c r="AF958" s="754"/>
      <c r="AG958" s="754"/>
      <c r="AH958" s="754"/>
      <c r="AI958" s="754"/>
      <c r="AJ958" s="754"/>
      <c r="AK958" s="754"/>
      <c r="AL958" s="754"/>
      <c r="AM958" s="754"/>
      <c r="AN958" s="754"/>
      <c r="AO958" s="754"/>
      <c r="AP958" s="754"/>
      <c r="AQ958" s="754"/>
      <c r="AR958" s="754"/>
      <c r="AS958" s="754"/>
      <c r="AT958" s="754"/>
      <c r="AU958" s="754"/>
    </row>
    <row r="959" ht="15.75" customHeight="1">
      <c r="A959" s="784">
        <v>44727.0</v>
      </c>
      <c r="B959" s="840" t="s">
        <v>6142</v>
      </c>
      <c r="C959" s="841" t="s">
        <v>3642</v>
      </c>
      <c r="D959" s="842" t="s">
        <v>5902</v>
      </c>
      <c r="E959" s="843">
        <v>9396.31</v>
      </c>
      <c r="F959" s="842" t="s">
        <v>4061</v>
      </c>
      <c r="G959" s="842" t="s">
        <v>18</v>
      </c>
      <c r="H959" s="842" t="s">
        <v>29</v>
      </c>
      <c r="I959" s="842" t="s">
        <v>4062</v>
      </c>
      <c r="J959" s="844">
        <v>44323.0</v>
      </c>
      <c r="K959" s="841" t="s">
        <v>3657</v>
      </c>
      <c r="L959" s="754"/>
      <c r="M959" s="754"/>
      <c r="N959" s="754"/>
      <c r="O959" s="754"/>
      <c r="P959" s="754"/>
      <c r="Q959" s="754"/>
      <c r="R959" s="754"/>
      <c r="S959" s="754"/>
      <c r="T959" s="754"/>
      <c r="U959" s="754"/>
      <c r="V959" s="754"/>
      <c r="W959" s="754"/>
      <c r="X959" s="754"/>
      <c r="Y959" s="754"/>
      <c r="Z959" s="754"/>
      <c r="AA959" s="754"/>
      <c r="AB959" s="754"/>
      <c r="AC959" s="754"/>
      <c r="AD959" s="754"/>
      <c r="AE959" s="754"/>
      <c r="AF959" s="754"/>
      <c r="AG959" s="754"/>
      <c r="AH959" s="754"/>
      <c r="AI959" s="754"/>
      <c r="AJ959" s="754"/>
      <c r="AK959" s="754"/>
      <c r="AL959" s="754"/>
      <c r="AM959" s="754"/>
      <c r="AN959" s="754"/>
      <c r="AO959" s="754"/>
      <c r="AP959" s="754"/>
      <c r="AQ959" s="754"/>
      <c r="AR959" s="754"/>
      <c r="AS959" s="754"/>
      <c r="AT959" s="754"/>
      <c r="AU959" s="754"/>
    </row>
    <row r="960" ht="15.75" customHeight="1">
      <c r="A960" s="784">
        <v>44727.0</v>
      </c>
      <c r="B960" s="840" t="s">
        <v>6143</v>
      </c>
      <c r="C960" s="841" t="s">
        <v>3642</v>
      </c>
      <c r="D960" s="842" t="s">
        <v>5903</v>
      </c>
      <c r="E960" s="843">
        <v>44000.0</v>
      </c>
      <c r="F960" s="842" t="s">
        <v>1170</v>
      </c>
      <c r="G960" s="842" t="s">
        <v>86</v>
      </c>
      <c r="H960" s="842" t="s">
        <v>29</v>
      </c>
      <c r="I960" s="842">
        <v>4551730.0</v>
      </c>
      <c r="J960" s="844">
        <v>44138.0</v>
      </c>
      <c r="K960" s="841" t="s">
        <v>3660</v>
      </c>
      <c r="L960" s="754"/>
      <c r="M960" s="754"/>
      <c r="N960" s="754"/>
      <c r="O960" s="754"/>
      <c r="P960" s="754"/>
      <c r="Q960" s="754"/>
      <c r="R960" s="754"/>
      <c r="S960" s="754"/>
      <c r="T960" s="754"/>
      <c r="U960" s="754"/>
      <c r="V960" s="754"/>
      <c r="W960" s="754"/>
      <c r="X960" s="754"/>
      <c r="Y960" s="754"/>
      <c r="Z960" s="754"/>
      <c r="AA960" s="754"/>
      <c r="AB960" s="754"/>
      <c r="AC960" s="754"/>
      <c r="AD960" s="754"/>
      <c r="AE960" s="754"/>
      <c r="AF960" s="754"/>
      <c r="AG960" s="754"/>
      <c r="AH960" s="754"/>
      <c r="AI960" s="754"/>
      <c r="AJ960" s="754"/>
      <c r="AK960" s="754"/>
      <c r="AL960" s="754"/>
      <c r="AM960" s="754"/>
      <c r="AN960" s="754"/>
      <c r="AO960" s="754"/>
      <c r="AP960" s="754"/>
      <c r="AQ960" s="754"/>
      <c r="AR960" s="754"/>
      <c r="AS960" s="754"/>
      <c r="AT960" s="754"/>
      <c r="AU960" s="754"/>
    </row>
    <row r="961" ht="15.75" customHeight="1">
      <c r="A961" s="784">
        <v>44732.0</v>
      </c>
      <c r="B961" s="840">
        <v>4068685.0</v>
      </c>
      <c r="C961" s="841" t="s">
        <v>3642</v>
      </c>
      <c r="D961" s="842" t="s">
        <v>5903</v>
      </c>
      <c r="E961" s="843">
        <v>250000.0</v>
      </c>
      <c r="F961" s="842" t="s">
        <v>3919</v>
      </c>
      <c r="G961" s="842" t="s">
        <v>18</v>
      </c>
      <c r="H961" s="842" t="s">
        <v>19</v>
      </c>
      <c r="I961" s="842" t="s">
        <v>5891</v>
      </c>
      <c r="J961" s="844">
        <v>44130.0</v>
      </c>
      <c r="K961" s="841" t="s">
        <v>3651</v>
      </c>
      <c r="L961" s="754"/>
      <c r="M961" s="754"/>
      <c r="N961" s="754"/>
      <c r="O961" s="754"/>
      <c r="P961" s="754"/>
      <c r="Q961" s="754"/>
      <c r="R961" s="754"/>
      <c r="S961" s="754"/>
      <c r="T961" s="754"/>
      <c r="U961" s="754"/>
      <c r="V961" s="754"/>
      <c r="W961" s="754"/>
      <c r="X961" s="754"/>
      <c r="Y961" s="754"/>
      <c r="Z961" s="754"/>
      <c r="AA961" s="754"/>
      <c r="AB961" s="754"/>
      <c r="AC961" s="754"/>
      <c r="AD961" s="754"/>
      <c r="AE961" s="754"/>
      <c r="AF961" s="754"/>
      <c r="AG961" s="754"/>
      <c r="AH961" s="754"/>
      <c r="AI961" s="754"/>
      <c r="AJ961" s="754"/>
      <c r="AK961" s="754"/>
      <c r="AL961" s="754"/>
      <c r="AM961" s="754"/>
      <c r="AN961" s="754"/>
      <c r="AO961" s="754"/>
      <c r="AP961" s="754"/>
      <c r="AQ961" s="754"/>
      <c r="AR961" s="754"/>
      <c r="AS961" s="754"/>
      <c r="AT961" s="754"/>
      <c r="AU961" s="754"/>
    </row>
    <row r="962" ht="15.75" customHeight="1">
      <c r="A962" s="784">
        <v>44734.0</v>
      </c>
      <c r="B962" s="840" t="s">
        <v>6141</v>
      </c>
      <c r="C962" s="841" t="s">
        <v>3642</v>
      </c>
      <c r="D962" s="842" t="s">
        <v>5903</v>
      </c>
      <c r="E962" s="843">
        <v>823824.0</v>
      </c>
      <c r="F962" s="842" t="s">
        <v>3900</v>
      </c>
      <c r="G962" s="842" t="s">
        <v>86</v>
      </c>
      <c r="H962" s="842" t="s">
        <v>29</v>
      </c>
      <c r="I962" s="842" t="s">
        <v>3901</v>
      </c>
      <c r="J962" s="844">
        <v>44103.0</v>
      </c>
      <c r="K962" s="841" t="s">
        <v>3660</v>
      </c>
      <c r="L962" s="754"/>
      <c r="M962" s="754"/>
      <c r="N962" s="754"/>
      <c r="O962" s="754"/>
      <c r="P962" s="754"/>
      <c r="Q962" s="754"/>
      <c r="R962" s="754"/>
      <c r="S962" s="754"/>
      <c r="T962" s="754"/>
      <c r="U962" s="754"/>
      <c r="V962" s="754"/>
      <c r="W962" s="754"/>
      <c r="X962" s="754"/>
      <c r="Y962" s="754"/>
      <c r="Z962" s="754"/>
      <c r="AA962" s="754"/>
      <c r="AB962" s="754"/>
      <c r="AC962" s="754"/>
      <c r="AD962" s="754"/>
      <c r="AE962" s="754"/>
      <c r="AF962" s="754"/>
      <c r="AG962" s="754"/>
      <c r="AH962" s="754"/>
      <c r="AI962" s="754"/>
      <c r="AJ962" s="754"/>
      <c r="AK962" s="754"/>
      <c r="AL962" s="754"/>
      <c r="AM962" s="754"/>
      <c r="AN962" s="754"/>
      <c r="AO962" s="754"/>
      <c r="AP962" s="754"/>
      <c r="AQ962" s="754"/>
      <c r="AR962" s="754"/>
      <c r="AS962" s="754"/>
      <c r="AT962" s="754"/>
      <c r="AU962" s="754"/>
    </row>
    <row r="963" ht="15.75" customHeight="1">
      <c r="A963" s="784">
        <v>44735.0</v>
      </c>
      <c r="B963" s="840" t="s">
        <v>2567</v>
      </c>
      <c r="C963" s="841" t="s">
        <v>2376</v>
      </c>
      <c r="D963" s="842" t="s">
        <v>5902</v>
      </c>
      <c r="E963" s="843">
        <v>64448.81</v>
      </c>
      <c r="F963" s="842" t="s">
        <v>2566</v>
      </c>
      <c r="G963" s="842" t="s">
        <v>2379</v>
      </c>
      <c r="H963" s="842" t="s">
        <v>29</v>
      </c>
      <c r="I963" s="842" t="s">
        <v>2380</v>
      </c>
      <c r="J963" s="844">
        <v>43707.0</v>
      </c>
      <c r="K963" s="841" t="s">
        <v>3664</v>
      </c>
      <c r="L963" s="754"/>
      <c r="M963" s="754"/>
      <c r="N963" s="754"/>
      <c r="O963" s="754"/>
      <c r="P963" s="754"/>
      <c r="Q963" s="754"/>
      <c r="R963" s="754"/>
      <c r="S963" s="754"/>
      <c r="T963" s="754"/>
      <c r="U963" s="754"/>
      <c r="V963" s="754"/>
      <c r="W963" s="754"/>
      <c r="X963" s="754"/>
      <c r="Y963" s="754"/>
      <c r="Z963" s="754"/>
      <c r="AA963" s="754"/>
      <c r="AB963" s="754"/>
      <c r="AC963" s="754"/>
      <c r="AD963" s="754"/>
      <c r="AE963" s="754"/>
      <c r="AF963" s="754"/>
      <c r="AG963" s="754"/>
      <c r="AH963" s="754"/>
      <c r="AI963" s="754"/>
      <c r="AJ963" s="754"/>
      <c r="AK963" s="754"/>
      <c r="AL963" s="754"/>
      <c r="AM963" s="754"/>
      <c r="AN963" s="754"/>
      <c r="AO963" s="754"/>
      <c r="AP963" s="754"/>
      <c r="AQ963" s="754"/>
      <c r="AR963" s="754"/>
      <c r="AS963" s="754"/>
      <c r="AT963" s="754"/>
      <c r="AU963" s="754"/>
    </row>
    <row r="964" ht="15.75" customHeight="1">
      <c r="A964" s="784">
        <v>44739.0</v>
      </c>
      <c r="B964" s="840" t="s">
        <v>6144</v>
      </c>
      <c r="C964" s="841" t="s">
        <v>3642</v>
      </c>
      <c r="D964" s="842" t="s">
        <v>5903</v>
      </c>
      <c r="E964" s="843">
        <v>10000.0</v>
      </c>
      <c r="F964" s="842" t="s">
        <v>6145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3660</v>
      </c>
      <c r="L964" s="754"/>
      <c r="M964" s="754"/>
      <c r="N964" s="754"/>
      <c r="O964" s="754"/>
      <c r="P964" s="754"/>
      <c r="Q964" s="754"/>
      <c r="R964" s="754"/>
      <c r="S964" s="754"/>
      <c r="T964" s="754"/>
      <c r="U964" s="754"/>
      <c r="V964" s="754"/>
      <c r="W964" s="754"/>
      <c r="X964" s="754"/>
      <c r="Y964" s="754"/>
      <c r="Z964" s="754"/>
      <c r="AA964" s="754"/>
      <c r="AB964" s="754"/>
      <c r="AC964" s="754"/>
      <c r="AD964" s="754"/>
      <c r="AE964" s="754"/>
      <c r="AF964" s="754"/>
      <c r="AG964" s="754"/>
      <c r="AH964" s="754"/>
      <c r="AI964" s="754"/>
      <c r="AJ964" s="754"/>
      <c r="AK964" s="754"/>
      <c r="AL964" s="754"/>
      <c r="AM964" s="754"/>
      <c r="AN964" s="754"/>
      <c r="AO964" s="754"/>
      <c r="AP964" s="754"/>
      <c r="AQ964" s="754"/>
      <c r="AR964" s="754"/>
      <c r="AS964" s="754"/>
      <c r="AT964" s="754"/>
      <c r="AU964" s="754"/>
    </row>
    <row r="965" ht="15.75" customHeight="1">
      <c r="A965" s="784">
        <v>44739.0</v>
      </c>
      <c r="B965" s="840" t="s">
        <v>6146</v>
      </c>
      <c r="C965" s="841" t="s">
        <v>3642</v>
      </c>
      <c r="D965" s="842" t="s">
        <v>5903</v>
      </c>
      <c r="E965" s="843">
        <v>323000.0</v>
      </c>
      <c r="F965" s="842" t="s">
        <v>4236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3657</v>
      </c>
      <c r="L965" s="754"/>
      <c r="M965" s="754"/>
      <c r="N965" s="754"/>
      <c r="O965" s="754"/>
      <c r="P965" s="754"/>
      <c r="Q965" s="754"/>
      <c r="R965" s="754"/>
      <c r="S965" s="754"/>
      <c r="T965" s="754"/>
      <c r="U965" s="754"/>
      <c r="V965" s="754"/>
      <c r="W965" s="754"/>
      <c r="X965" s="754"/>
      <c r="Y965" s="754"/>
      <c r="Z965" s="754"/>
      <c r="AA965" s="754"/>
      <c r="AB965" s="754"/>
      <c r="AC965" s="754"/>
      <c r="AD965" s="754"/>
      <c r="AE965" s="754"/>
      <c r="AF965" s="754"/>
      <c r="AG965" s="754"/>
      <c r="AH965" s="754"/>
      <c r="AI965" s="754"/>
      <c r="AJ965" s="754"/>
      <c r="AK965" s="754"/>
      <c r="AL965" s="754"/>
      <c r="AM965" s="754"/>
      <c r="AN965" s="754"/>
      <c r="AO965" s="754"/>
      <c r="AP965" s="754"/>
      <c r="AQ965" s="754"/>
      <c r="AR965" s="754"/>
      <c r="AS965" s="754"/>
      <c r="AT965" s="754"/>
      <c r="AU965" s="754"/>
    </row>
    <row r="966" ht="15.75" customHeight="1">
      <c r="A966" s="784">
        <v>44740.0</v>
      </c>
      <c r="B966" s="840" t="s">
        <v>5957</v>
      </c>
      <c r="C966" s="841" t="s">
        <v>3642</v>
      </c>
      <c r="D966" s="842" t="s">
        <v>2387</v>
      </c>
      <c r="E966" s="843">
        <v>3147.95</v>
      </c>
      <c r="F966" s="842" t="s">
        <v>951</v>
      </c>
      <c r="G966" s="842" t="s">
        <v>86</v>
      </c>
      <c r="H966" s="842" t="s">
        <v>29</v>
      </c>
      <c r="I966" s="842" t="s">
        <v>3948</v>
      </c>
      <c r="J966" s="844">
        <v>44145.0</v>
      </c>
      <c r="K966" s="841" t="s">
        <v>3647</v>
      </c>
      <c r="L966" s="754"/>
      <c r="M966" s="754"/>
      <c r="N966" s="754"/>
      <c r="O966" s="754"/>
      <c r="P966" s="754"/>
      <c r="Q966" s="754"/>
      <c r="R966" s="754"/>
      <c r="S966" s="754"/>
      <c r="T966" s="754"/>
      <c r="U966" s="754"/>
      <c r="V966" s="754"/>
      <c r="W966" s="754"/>
      <c r="X966" s="754"/>
      <c r="Y966" s="754"/>
      <c r="Z966" s="754"/>
      <c r="AA966" s="754"/>
      <c r="AB966" s="754"/>
      <c r="AC966" s="754"/>
      <c r="AD966" s="754"/>
      <c r="AE966" s="754"/>
      <c r="AF966" s="754"/>
      <c r="AG966" s="754"/>
      <c r="AH966" s="754"/>
      <c r="AI966" s="754"/>
      <c r="AJ966" s="754"/>
      <c r="AK966" s="754"/>
      <c r="AL966" s="754"/>
      <c r="AM966" s="754"/>
      <c r="AN966" s="754"/>
      <c r="AO966" s="754"/>
      <c r="AP966" s="754"/>
      <c r="AQ966" s="754"/>
      <c r="AR966" s="754"/>
      <c r="AS966" s="754"/>
      <c r="AT966" s="754"/>
      <c r="AU966" s="754"/>
    </row>
    <row r="967" ht="15.75" customHeight="1">
      <c r="A967" s="784">
        <v>44740.0</v>
      </c>
      <c r="B967" s="840" t="s">
        <v>6147</v>
      </c>
      <c r="C967" s="841" t="s">
        <v>3642</v>
      </c>
      <c r="D967" s="842" t="s">
        <v>5903</v>
      </c>
      <c r="E967" s="843">
        <v>35000.0</v>
      </c>
      <c r="F967" s="842" t="s">
        <v>3944</v>
      </c>
      <c r="G967" s="842" t="s">
        <v>18</v>
      </c>
      <c r="H967" s="842" t="s">
        <v>19</v>
      </c>
      <c r="I967" s="842" t="s">
        <v>4859</v>
      </c>
      <c r="J967" s="844">
        <v>44445.0</v>
      </c>
      <c r="K967" s="841" t="s">
        <v>3657</v>
      </c>
      <c r="L967" s="754"/>
      <c r="M967" s="754"/>
      <c r="N967" s="754"/>
      <c r="O967" s="754"/>
      <c r="P967" s="754"/>
      <c r="Q967" s="754"/>
      <c r="R967" s="754"/>
      <c r="S967" s="754"/>
      <c r="T967" s="754"/>
      <c r="U967" s="754"/>
      <c r="V967" s="754"/>
      <c r="W967" s="754"/>
      <c r="X967" s="754"/>
      <c r="Y967" s="754"/>
      <c r="Z967" s="754"/>
      <c r="AA967" s="754"/>
      <c r="AB967" s="754"/>
      <c r="AC967" s="754"/>
      <c r="AD967" s="754"/>
      <c r="AE967" s="754"/>
      <c r="AF967" s="754"/>
      <c r="AG967" s="754"/>
      <c r="AH967" s="754"/>
      <c r="AI967" s="754"/>
      <c r="AJ967" s="754"/>
      <c r="AK967" s="754"/>
      <c r="AL967" s="754"/>
      <c r="AM967" s="754"/>
      <c r="AN967" s="754"/>
      <c r="AO967" s="754"/>
      <c r="AP967" s="754"/>
      <c r="AQ967" s="754"/>
      <c r="AR967" s="754"/>
      <c r="AS967" s="754"/>
      <c r="AT967" s="754"/>
      <c r="AU967" s="754"/>
    </row>
    <row r="968" ht="15.75" customHeight="1">
      <c r="A968" s="784">
        <v>44740.0</v>
      </c>
      <c r="B968" s="840" t="s">
        <v>6148</v>
      </c>
      <c r="C968" s="841" t="s">
        <v>3642</v>
      </c>
      <c r="D968" s="842" t="s">
        <v>5902</v>
      </c>
      <c r="E968" s="843" t="s">
        <v>6149</v>
      </c>
      <c r="F968" s="842" t="s">
        <v>3906</v>
      </c>
      <c r="G968" s="842" t="s">
        <v>18</v>
      </c>
      <c r="H968" s="842" t="s">
        <v>19</v>
      </c>
      <c r="I968" s="842" t="s">
        <v>230</v>
      </c>
      <c r="J968" s="844">
        <v>44466.0</v>
      </c>
      <c r="K968" s="841" t="s">
        <v>3664</v>
      </c>
      <c r="L968" s="754"/>
      <c r="M968" s="754"/>
      <c r="N968" s="754"/>
      <c r="O968" s="754"/>
      <c r="P968" s="754"/>
      <c r="Q968" s="754"/>
      <c r="R968" s="754"/>
      <c r="S968" s="754"/>
      <c r="T968" s="754"/>
      <c r="U968" s="754"/>
      <c r="V968" s="754"/>
      <c r="W968" s="754"/>
      <c r="X968" s="754"/>
      <c r="Y968" s="754"/>
      <c r="Z968" s="754"/>
      <c r="AA968" s="754"/>
      <c r="AB968" s="754"/>
      <c r="AC968" s="754"/>
      <c r="AD968" s="754"/>
      <c r="AE968" s="754"/>
      <c r="AF968" s="754"/>
      <c r="AG968" s="754"/>
      <c r="AH968" s="754"/>
      <c r="AI968" s="754"/>
      <c r="AJ968" s="754"/>
      <c r="AK968" s="754"/>
      <c r="AL968" s="754"/>
      <c r="AM968" s="754"/>
      <c r="AN968" s="754"/>
      <c r="AO968" s="754"/>
      <c r="AP968" s="754"/>
      <c r="AQ968" s="754"/>
      <c r="AR968" s="754"/>
      <c r="AS968" s="754"/>
      <c r="AT968" s="754"/>
      <c r="AU968" s="754"/>
    </row>
    <row r="969" ht="15.75" customHeight="1">
      <c r="A969" s="784">
        <v>44741.0</v>
      </c>
      <c r="B969" s="840" t="s">
        <v>6150</v>
      </c>
      <c r="C969" s="841" t="s">
        <v>3642</v>
      </c>
      <c r="D969" s="842" t="s">
        <v>5903</v>
      </c>
      <c r="E969" s="843">
        <v>350000.0</v>
      </c>
      <c r="F969" s="842" t="s">
        <v>1289</v>
      </c>
      <c r="G969" s="842" t="s">
        <v>18</v>
      </c>
      <c r="H969" s="842" t="s">
        <v>19</v>
      </c>
      <c r="I969" s="842" t="s">
        <v>201</v>
      </c>
      <c r="J969" s="844">
        <v>44568.0</v>
      </c>
      <c r="K969" s="841" t="s">
        <v>4309</v>
      </c>
      <c r="L969" s="754"/>
      <c r="M969" s="754"/>
      <c r="N969" s="754"/>
      <c r="O969" s="754"/>
      <c r="P969" s="754"/>
      <c r="Q969" s="754"/>
      <c r="R969" s="754"/>
      <c r="S969" s="754"/>
      <c r="T969" s="754"/>
      <c r="U969" s="754"/>
      <c r="V969" s="754"/>
      <c r="W969" s="754"/>
      <c r="X969" s="754"/>
      <c r="Y969" s="754"/>
      <c r="Z969" s="754"/>
      <c r="AA969" s="754"/>
      <c r="AB969" s="754"/>
      <c r="AC969" s="754"/>
      <c r="AD969" s="754"/>
      <c r="AE969" s="754"/>
      <c r="AF969" s="754"/>
      <c r="AG969" s="754"/>
      <c r="AH969" s="754"/>
      <c r="AI969" s="754"/>
      <c r="AJ969" s="754"/>
      <c r="AK969" s="754"/>
      <c r="AL969" s="754"/>
      <c r="AM969" s="754"/>
      <c r="AN969" s="754"/>
      <c r="AO969" s="754"/>
      <c r="AP969" s="754"/>
      <c r="AQ969" s="754"/>
      <c r="AR969" s="754"/>
      <c r="AS969" s="754"/>
      <c r="AT969" s="754"/>
      <c r="AU969" s="754"/>
    </row>
    <row r="970" ht="15.75" customHeight="1">
      <c r="A970" s="784">
        <v>44741.0</v>
      </c>
      <c r="B970" s="840" t="s">
        <v>6151</v>
      </c>
      <c r="C970" s="841" t="s">
        <v>3642</v>
      </c>
      <c r="D970" s="842" t="s">
        <v>5903</v>
      </c>
      <c r="E970" s="843">
        <v>15000.0</v>
      </c>
      <c r="F970" s="842" t="s">
        <v>4591</v>
      </c>
      <c r="G970" s="842" t="s">
        <v>18</v>
      </c>
      <c r="H970" s="842" t="s">
        <v>19</v>
      </c>
      <c r="I970" s="842" t="s">
        <v>5891</v>
      </c>
      <c r="J970" s="844">
        <v>44679.0</v>
      </c>
      <c r="K970" s="841" t="s">
        <v>3651</v>
      </c>
      <c r="L970" s="754"/>
      <c r="M970" s="754"/>
      <c r="N970" s="754"/>
      <c r="O970" s="754"/>
      <c r="P970" s="754"/>
      <c r="Q970" s="754"/>
      <c r="R970" s="754"/>
      <c r="S970" s="754"/>
      <c r="T970" s="754"/>
      <c r="U970" s="754"/>
      <c r="V970" s="754"/>
      <c r="W970" s="754"/>
      <c r="X970" s="754"/>
      <c r="Y970" s="754"/>
      <c r="Z970" s="754"/>
      <c r="AA970" s="754"/>
      <c r="AB970" s="754"/>
      <c r="AC970" s="754"/>
      <c r="AD970" s="754"/>
      <c r="AE970" s="754"/>
      <c r="AF970" s="754"/>
      <c r="AG970" s="754"/>
      <c r="AH970" s="754"/>
      <c r="AI970" s="754"/>
      <c r="AJ970" s="754"/>
      <c r="AK970" s="754"/>
      <c r="AL970" s="754"/>
      <c r="AM970" s="754"/>
      <c r="AN970" s="754"/>
      <c r="AO970" s="754"/>
      <c r="AP970" s="754"/>
      <c r="AQ970" s="754"/>
      <c r="AR970" s="754"/>
      <c r="AS970" s="754"/>
      <c r="AT970" s="754"/>
      <c r="AU970" s="754"/>
    </row>
    <row r="971" ht="15.75" customHeight="1">
      <c r="A971" s="784">
        <v>44746.0</v>
      </c>
      <c r="B971" s="840" t="s">
        <v>3395</v>
      </c>
      <c r="C971" s="841" t="s">
        <v>2376</v>
      </c>
      <c r="D971" s="842" t="s">
        <v>5902</v>
      </c>
      <c r="E971" s="843">
        <v>53398.09</v>
      </c>
      <c r="F971" s="842" t="s">
        <v>3394</v>
      </c>
      <c r="G971" s="842" t="s">
        <v>18</v>
      </c>
      <c r="H971" s="842" t="s">
        <v>145</v>
      </c>
      <c r="I971" s="842" t="s">
        <v>171</v>
      </c>
      <c r="J971" s="844">
        <v>44335.0</v>
      </c>
      <c r="K971" s="841" t="s">
        <v>3651</v>
      </c>
      <c r="L971" s="754"/>
      <c r="M971" s="754"/>
      <c r="N971" s="754"/>
      <c r="O971" s="754"/>
      <c r="P971" s="754"/>
      <c r="Q971" s="754"/>
      <c r="R971" s="754"/>
      <c r="S971" s="754"/>
      <c r="T971" s="754"/>
      <c r="U971" s="754"/>
      <c r="V971" s="754"/>
      <c r="W971" s="754"/>
      <c r="X971" s="754"/>
      <c r="Y971" s="754"/>
      <c r="Z971" s="754"/>
      <c r="AA971" s="754"/>
      <c r="AB971" s="754"/>
      <c r="AC971" s="754"/>
      <c r="AD971" s="754"/>
      <c r="AE971" s="754"/>
      <c r="AF971" s="754"/>
      <c r="AG971" s="754"/>
      <c r="AH971" s="754"/>
      <c r="AI971" s="754"/>
      <c r="AJ971" s="754"/>
      <c r="AK971" s="754"/>
      <c r="AL971" s="754"/>
      <c r="AM971" s="754"/>
      <c r="AN971" s="754"/>
      <c r="AO971" s="754"/>
      <c r="AP971" s="754"/>
      <c r="AQ971" s="754"/>
      <c r="AR971" s="754"/>
      <c r="AS971" s="754"/>
      <c r="AT971" s="754"/>
      <c r="AU971" s="754"/>
    </row>
    <row r="972" ht="15.75" customHeight="1">
      <c r="A972" s="784">
        <v>44753.0</v>
      </c>
      <c r="B972" s="840" t="s">
        <v>6152</v>
      </c>
      <c r="C972" s="841" t="s">
        <v>3642</v>
      </c>
      <c r="D972" s="842" t="s">
        <v>5902</v>
      </c>
      <c r="E972" s="843">
        <v>102018.55</v>
      </c>
      <c r="F972" s="842" t="s">
        <v>6153</v>
      </c>
      <c r="G972" s="842" t="s">
        <v>18</v>
      </c>
      <c r="H972" s="842" t="s">
        <v>29</v>
      </c>
      <c r="I972" s="842" t="s">
        <v>110</v>
      </c>
      <c r="J972" s="844">
        <v>44655.0</v>
      </c>
      <c r="K972" s="841" t="s">
        <v>3651</v>
      </c>
      <c r="L972" s="754"/>
      <c r="M972" s="754"/>
      <c r="N972" s="754"/>
      <c r="O972" s="754"/>
      <c r="P972" s="754"/>
      <c r="Q972" s="754"/>
      <c r="R972" s="754"/>
      <c r="S972" s="754"/>
      <c r="T972" s="754"/>
      <c r="U972" s="754"/>
      <c r="V972" s="754"/>
      <c r="W972" s="754"/>
      <c r="X972" s="754"/>
      <c r="Y972" s="754"/>
      <c r="Z972" s="754"/>
      <c r="AA972" s="754"/>
      <c r="AB972" s="754"/>
      <c r="AC972" s="754"/>
      <c r="AD972" s="754"/>
      <c r="AE972" s="754"/>
      <c r="AF972" s="754"/>
      <c r="AG972" s="754"/>
      <c r="AH972" s="754"/>
      <c r="AI972" s="754"/>
      <c r="AJ972" s="754"/>
      <c r="AK972" s="754"/>
      <c r="AL972" s="754"/>
      <c r="AM972" s="754"/>
      <c r="AN972" s="754"/>
      <c r="AO972" s="754"/>
      <c r="AP972" s="754"/>
      <c r="AQ972" s="754"/>
      <c r="AR972" s="754"/>
      <c r="AS972" s="754"/>
      <c r="AT972" s="754"/>
      <c r="AU972" s="754"/>
    </row>
    <row r="973" ht="15.75" customHeight="1">
      <c r="A973" s="784">
        <v>44753.0</v>
      </c>
      <c r="B973" s="840" t="s">
        <v>5925</v>
      </c>
      <c r="C973" s="841" t="s">
        <v>3642</v>
      </c>
      <c r="D973" s="842" t="s">
        <v>5903</v>
      </c>
      <c r="E973" s="843">
        <v>5000.0</v>
      </c>
      <c r="F973" s="842" t="s">
        <v>4215</v>
      </c>
      <c r="G973" s="842" t="s">
        <v>18</v>
      </c>
      <c r="H973" s="842" t="s">
        <v>19</v>
      </c>
      <c r="I973" s="842" t="s">
        <v>3711</v>
      </c>
      <c r="J973" s="844">
        <v>44263.0</v>
      </c>
      <c r="K973" s="841" t="s">
        <v>3657</v>
      </c>
      <c r="L973" s="754"/>
      <c r="M973" s="754"/>
      <c r="N973" s="754"/>
      <c r="O973" s="754"/>
      <c r="P973" s="754"/>
      <c r="Q973" s="754"/>
      <c r="R973" s="754"/>
      <c r="S973" s="754"/>
      <c r="T973" s="754"/>
      <c r="U973" s="754"/>
      <c r="V973" s="754"/>
      <c r="W973" s="754"/>
      <c r="X973" s="754"/>
      <c r="Y973" s="754"/>
      <c r="Z973" s="754"/>
      <c r="AA973" s="754"/>
      <c r="AB973" s="754"/>
      <c r="AC973" s="754"/>
      <c r="AD973" s="754"/>
      <c r="AE973" s="754"/>
      <c r="AF973" s="754"/>
      <c r="AG973" s="754"/>
      <c r="AH973" s="754"/>
      <c r="AI973" s="754"/>
      <c r="AJ973" s="754"/>
      <c r="AK973" s="754"/>
      <c r="AL973" s="754"/>
      <c r="AM973" s="754"/>
      <c r="AN973" s="754"/>
      <c r="AO973" s="754"/>
      <c r="AP973" s="754"/>
      <c r="AQ973" s="754"/>
      <c r="AR973" s="754"/>
      <c r="AS973" s="754"/>
      <c r="AT973" s="754"/>
      <c r="AU973" s="754"/>
    </row>
    <row r="974" ht="15.75" customHeight="1">
      <c r="A974" s="784">
        <v>44754.0</v>
      </c>
      <c r="B974" s="840" t="s">
        <v>6144</v>
      </c>
      <c r="C974" s="841" t="s">
        <v>3642</v>
      </c>
      <c r="D974" s="842" t="s">
        <v>5903</v>
      </c>
      <c r="E974" s="843">
        <v>10000.0</v>
      </c>
      <c r="F974" s="842" t="s">
        <v>6145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3660</v>
      </c>
      <c r="L974" s="754"/>
      <c r="M974" s="754"/>
      <c r="N974" s="754"/>
      <c r="O974" s="754"/>
      <c r="P974" s="754"/>
      <c r="Q974" s="754"/>
      <c r="R974" s="754"/>
      <c r="S974" s="754"/>
      <c r="T974" s="754"/>
      <c r="U974" s="754"/>
      <c r="V974" s="754"/>
      <c r="W974" s="754"/>
      <c r="X974" s="754"/>
      <c r="Y974" s="754"/>
      <c r="Z974" s="754"/>
      <c r="AA974" s="754"/>
      <c r="AB974" s="754"/>
      <c r="AC974" s="754"/>
      <c r="AD974" s="754"/>
      <c r="AE974" s="754"/>
      <c r="AF974" s="754"/>
      <c r="AG974" s="754"/>
      <c r="AH974" s="754"/>
      <c r="AI974" s="754"/>
      <c r="AJ974" s="754"/>
      <c r="AK974" s="754"/>
      <c r="AL974" s="754"/>
      <c r="AM974" s="754"/>
      <c r="AN974" s="754"/>
      <c r="AO974" s="754"/>
      <c r="AP974" s="754"/>
      <c r="AQ974" s="754"/>
      <c r="AR974" s="754"/>
      <c r="AS974" s="754"/>
      <c r="AT974" s="754"/>
      <c r="AU974" s="754"/>
    </row>
    <row r="975" ht="15.75" customHeight="1">
      <c r="A975" s="784">
        <v>44754.0</v>
      </c>
      <c r="B975" s="840" t="s">
        <v>6144</v>
      </c>
      <c r="C975" s="841" t="s">
        <v>3642</v>
      </c>
      <c r="D975" s="842" t="s">
        <v>5903</v>
      </c>
      <c r="E975" s="843">
        <v>10000.0</v>
      </c>
      <c r="F975" s="842" t="s">
        <v>6145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3660</v>
      </c>
      <c r="L975" s="754"/>
      <c r="M975" s="754"/>
      <c r="N975" s="754"/>
      <c r="O975" s="754"/>
      <c r="P975" s="754"/>
      <c r="Q975" s="754"/>
      <c r="R975" s="754"/>
      <c r="S975" s="754"/>
      <c r="T975" s="754"/>
      <c r="U975" s="754"/>
      <c r="V975" s="754"/>
      <c r="W975" s="754"/>
      <c r="X975" s="754"/>
      <c r="Y975" s="754"/>
      <c r="Z975" s="754"/>
      <c r="AA975" s="754"/>
      <c r="AB975" s="754"/>
      <c r="AC975" s="754"/>
      <c r="AD975" s="754"/>
      <c r="AE975" s="754"/>
      <c r="AF975" s="754"/>
      <c r="AG975" s="754"/>
      <c r="AH975" s="754"/>
      <c r="AI975" s="754"/>
      <c r="AJ975" s="754"/>
      <c r="AK975" s="754"/>
      <c r="AL975" s="754"/>
      <c r="AM975" s="754"/>
      <c r="AN975" s="754"/>
      <c r="AO975" s="754"/>
      <c r="AP975" s="754"/>
      <c r="AQ975" s="754"/>
      <c r="AR975" s="754"/>
      <c r="AS975" s="754"/>
      <c r="AT975" s="754"/>
      <c r="AU975" s="754"/>
    </row>
    <row r="976" ht="15.75" customHeight="1">
      <c r="A976" s="784">
        <v>44756.0</v>
      </c>
      <c r="B976" s="840" t="s">
        <v>6108</v>
      </c>
      <c r="C976" s="841" t="s">
        <v>3642</v>
      </c>
      <c r="D976" s="842" t="s">
        <v>5903</v>
      </c>
      <c r="E976" s="843">
        <v>7141.5</v>
      </c>
      <c r="F976" s="842" t="s">
        <v>3663</v>
      </c>
      <c r="G976" s="842" t="s">
        <v>18</v>
      </c>
      <c r="H976" s="842" t="s">
        <v>19</v>
      </c>
      <c r="I976" s="842" t="s">
        <v>230</v>
      </c>
      <c r="J976" s="844">
        <v>44084.0</v>
      </c>
      <c r="K976" s="841" t="s">
        <v>3664</v>
      </c>
      <c r="L976" s="754"/>
      <c r="M976" s="754"/>
      <c r="N976" s="754"/>
      <c r="O976" s="754"/>
      <c r="P976" s="754"/>
      <c r="Q976" s="754"/>
      <c r="R976" s="754"/>
      <c r="S976" s="754"/>
      <c r="T976" s="754"/>
      <c r="U976" s="754"/>
      <c r="V976" s="754"/>
      <c r="W976" s="754"/>
      <c r="X976" s="754"/>
      <c r="Y976" s="754"/>
      <c r="Z976" s="754"/>
      <c r="AA976" s="754"/>
      <c r="AB976" s="754"/>
      <c r="AC976" s="754"/>
      <c r="AD976" s="754"/>
      <c r="AE976" s="754"/>
      <c r="AF976" s="754"/>
      <c r="AG976" s="754"/>
      <c r="AH976" s="754"/>
      <c r="AI976" s="754"/>
      <c r="AJ976" s="754"/>
      <c r="AK976" s="754"/>
      <c r="AL976" s="754"/>
      <c r="AM976" s="754"/>
      <c r="AN976" s="754"/>
      <c r="AO976" s="754"/>
      <c r="AP976" s="754"/>
      <c r="AQ976" s="754"/>
      <c r="AR976" s="754"/>
      <c r="AS976" s="754"/>
      <c r="AT976" s="754"/>
      <c r="AU976" s="754"/>
    </row>
    <row r="977" ht="15.75" customHeight="1">
      <c r="A977" s="784">
        <v>44760.0</v>
      </c>
      <c r="B977" s="840" t="s">
        <v>6154</v>
      </c>
      <c r="C977" s="841" t="s">
        <v>3642</v>
      </c>
      <c r="D977" s="842" t="s">
        <v>2387</v>
      </c>
      <c r="E977" s="843">
        <v>39350.99</v>
      </c>
      <c r="F977" s="842" t="s">
        <v>4243</v>
      </c>
      <c r="G977" s="842" t="s">
        <v>18</v>
      </c>
      <c r="H977" s="842" t="s">
        <v>29</v>
      </c>
      <c r="I977" s="842" t="s">
        <v>110</v>
      </c>
      <c r="J977" s="844">
        <v>44615.0</v>
      </c>
      <c r="K977" s="841" t="s">
        <v>3657</v>
      </c>
      <c r="L977" s="754"/>
      <c r="M977" s="754"/>
      <c r="N977" s="754"/>
      <c r="O977" s="754"/>
      <c r="P977" s="754"/>
      <c r="Q977" s="754"/>
      <c r="R977" s="754"/>
      <c r="S977" s="754"/>
      <c r="T977" s="754"/>
      <c r="U977" s="754"/>
      <c r="V977" s="754"/>
      <c r="W977" s="754"/>
      <c r="X977" s="754"/>
      <c r="Y977" s="754"/>
      <c r="Z977" s="754"/>
      <c r="AA977" s="754"/>
      <c r="AB977" s="754"/>
      <c r="AC977" s="754"/>
      <c r="AD977" s="754"/>
      <c r="AE977" s="754"/>
      <c r="AF977" s="754"/>
      <c r="AG977" s="754"/>
      <c r="AH977" s="754"/>
      <c r="AI977" s="754"/>
      <c r="AJ977" s="754"/>
      <c r="AK977" s="754"/>
      <c r="AL977" s="754"/>
      <c r="AM977" s="754"/>
      <c r="AN977" s="754"/>
      <c r="AO977" s="754"/>
      <c r="AP977" s="754"/>
      <c r="AQ977" s="754"/>
      <c r="AR977" s="754"/>
      <c r="AS977" s="754"/>
      <c r="AT977" s="754"/>
      <c r="AU977" s="754"/>
    </row>
    <row r="978" ht="15.75" customHeight="1">
      <c r="A978" s="784">
        <v>44760.0</v>
      </c>
      <c r="B978" s="840" t="s">
        <v>6129</v>
      </c>
      <c r="C978" s="841" t="s">
        <v>3642</v>
      </c>
      <c r="D978" s="842" t="s">
        <v>2387</v>
      </c>
      <c r="E978" s="843">
        <v>10000.0</v>
      </c>
      <c r="F978" s="842" t="s">
        <v>1542</v>
      </c>
      <c r="G978" s="842" t="s">
        <v>18</v>
      </c>
      <c r="H978" s="842" t="s">
        <v>19</v>
      </c>
      <c r="I978" s="842" t="s">
        <v>230</v>
      </c>
      <c r="J978" s="844">
        <v>44744.0</v>
      </c>
      <c r="K978" s="841" t="s">
        <v>3647</v>
      </c>
      <c r="L978" s="754"/>
      <c r="M978" s="754"/>
      <c r="N978" s="754"/>
      <c r="O978" s="754"/>
      <c r="P978" s="754"/>
      <c r="Q978" s="754"/>
      <c r="R978" s="754"/>
      <c r="S978" s="754"/>
      <c r="T978" s="754"/>
      <c r="U978" s="754"/>
      <c r="V978" s="754"/>
      <c r="W978" s="754"/>
      <c r="X978" s="754"/>
      <c r="Y978" s="754"/>
      <c r="Z978" s="754"/>
      <c r="AA978" s="754"/>
      <c r="AB978" s="754"/>
      <c r="AC978" s="754"/>
      <c r="AD978" s="754"/>
      <c r="AE978" s="754"/>
      <c r="AF978" s="754"/>
      <c r="AG978" s="754"/>
      <c r="AH978" s="754"/>
      <c r="AI978" s="754"/>
      <c r="AJ978" s="754"/>
      <c r="AK978" s="754"/>
      <c r="AL978" s="754"/>
      <c r="AM978" s="754"/>
      <c r="AN978" s="754"/>
      <c r="AO978" s="754"/>
      <c r="AP978" s="754"/>
      <c r="AQ978" s="754"/>
      <c r="AR978" s="754"/>
      <c r="AS978" s="754"/>
      <c r="AT978" s="754"/>
      <c r="AU978" s="754"/>
    </row>
    <row r="979" ht="15.75" customHeight="1">
      <c r="A979" s="784">
        <v>44760.0</v>
      </c>
      <c r="B979" s="840" t="s">
        <v>6129</v>
      </c>
      <c r="C979" s="841" t="s">
        <v>3642</v>
      </c>
      <c r="D979" s="842" t="s">
        <v>5903</v>
      </c>
      <c r="E979" s="843">
        <v>10000.0</v>
      </c>
      <c r="F979" s="842" t="s">
        <v>1542</v>
      </c>
      <c r="G979" s="842" t="s">
        <v>18</v>
      </c>
      <c r="H979" s="842" t="s">
        <v>19</v>
      </c>
      <c r="I979" s="842" t="s">
        <v>230</v>
      </c>
      <c r="J979" s="844" t="s">
        <v>6155</v>
      </c>
      <c r="K979" s="841" t="s">
        <v>3824</v>
      </c>
      <c r="L979" s="754"/>
      <c r="M979" s="754"/>
      <c r="N979" s="754"/>
      <c r="O979" s="754"/>
      <c r="P979" s="754"/>
      <c r="Q979" s="754"/>
      <c r="R979" s="754"/>
      <c r="S979" s="754"/>
      <c r="T979" s="754"/>
      <c r="U979" s="754"/>
      <c r="V979" s="754"/>
      <c r="W979" s="754"/>
      <c r="X979" s="754"/>
      <c r="Y979" s="754"/>
      <c r="Z979" s="754"/>
      <c r="AA979" s="754"/>
      <c r="AB979" s="754"/>
      <c r="AC979" s="754"/>
      <c r="AD979" s="754"/>
      <c r="AE979" s="754"/>
      <c r="AF979" s="754"/>
      <c r="AG979" s="754"/>
      <c r="AH979" s="754"/>
      <c r="AI979" s="754"/>
      <c r="AJ979" s="754"/>
      <c r="AK979" s="754"/>
      <c r="AL979" s="754"/>
      <c r="AM979" s="754"/>
      <c r="AN979" s="754"/>
      <c r="AO979" s="754"/>
      <c r="AP979" s="754"/>
      <c r="AQ979" s="754"/>
      <c r="AR979" s="754"/>
      <c r="AS979" s="754"/>
      <c r="AT979" s="754"/>
      <c r="AU979" s="754"/>
    </row>
    <row r="980" ht="15.75" customHeight="1">
      <c r="A980" s="784">
        <v>44760.0</v>
      </c>
      <c r="B980" s="840" t="s">
        <v>6156</v>
      </c>
      <c r="C980" s="841" t="s">
        <v>3642</v>
      </c>
      <c r="D980" s="842" t="s">
        <v>5903</v>
      </c>
      <c r="E980" s="843">
        <v>15000.0</v>
      </c>
      <c r="F980" s="842" t="s">
        <v>4029</v>
      </c>
      <c r="G980" s="842" t="s">
        <v>18</v>
      </c>
      <c r="H980" s="842" t="s">
        <v>29</v>
      </c>
      <c r="I980" s="842" t="s">
        <v>633</v>
      </c>
      <c r="J980" s="844">
        <v>44462.0</v>
      </c>
      <c r="K980" s="841" t="s">
        <v>3647</v>
      </c>
      <c r="L980" s="754"/>
      <c r="M980" s="754"/>
      <c r="N980" s="754"/>
      <c r="O980" s="754"/>
      <c r="P980" s="754"/>
      <c r="Q980" s="754"/>
      <c r="R980" s="754"/>
      <c r="S980" s="754"/>
      <c r="T980" s="754"/>
      <c r="U980" s="754"/>
      <c r="V980" s="754"/>
      <c r="W980" s="754"/>
      <c r="X980" s="754"/>
      <c r="Y980" s="754"/>
      <c r="Z980" s="754"/>
      <c r="AA980" s="754"/>
      <c r="AB980" s="754"/>
      <c r="AC980" s="754"/>
      <c r="AD980" s="754"/>
      <c r="AE980" s="754"/>
      <c r="AF980" s="754"/>
      <c r="AG980" s="754"/>
      <c r="AH980" s="754"/>
      <c r="AI980" s="754"/>
      <c r="AJ980" s="754"/>
      <c r="AK980" s="754"/>
      <c r="AL980" s="754"/>
      <c r="AM980" s="754"/>
      <c r="AN980" s="754"/>
      <c r="AO980" s="754"/>
      <c r="AP980" s="754"/>
      <c r="AQ980" s="754"/>
      <c r="AR980" s="754"/>
      <c r="AS980" s="754"/>
      <c r="AT980" s="754"/>
      <c r="AU980" s="754"/>
    </row>
    <row r="981" ht="15.75" customHeight="1">
      <c r="A981" s="784">
        <v>44761.0</v>
      </c>
      <c r="B981" s="840" t="s">
        <v>6059</v>
      </c>
      <c r="C981" s="841" t="s">
        <v>3642</v>
      </c>
      <c r="D981" s="842" t="s">
        <v>5903</v>
      </c>
      <c r="E981" s="843">
        <v>27000.0</v>
      </c>
      <c r="F981" s="842" t="s">
        <v>3797</v>
      </c>
      <c r="G981" s="842" t="s">
        <v>18</v>
      </c>
      <c r="H981" s="842" t="s">
        <v>29</v>
      </c>
      <c r="I981" s="842" t="s">
        <v>3798</v>
      </c>
      <c r="J981" s="844">
        <v>44061.0</v>
      </c>
      <c r="K981" s="841" t="s">
        <v>3651</v>
      </c>
      <c r="L981" s="754"/>
      <c r="M981" s="754"/>
      <c r="N981" s="754"/>
      <c r="O981" s="754"/>
      <c r="P981" s="754"/>
      <c r="Q981" s="754"/>
      <c r="R981" s="754"/>
      <c r="S981" s="754"/>
      <c r="T981" s="754"/>
      <c r="U981" s="754"/>
      <c r="V981" s="754"/>
      <c r="W981" s="754"/>
      <c r="X981" s="754"/>
      <c r="Y981" s="754"/>
      <c r="Z981" s="754"/>
      <c r="AA981" s="754"/>
      <c r="AB981" s="754"/>
      <c r="AC981" s="754"/>
      <c r="AD981" s="754"/>
      <c r="AE981" s="754"/>
      <c r="AF981" s="754"/>
      <c r="AG981" s="754"/>
      <c r="AH981" s="754"/>
      <c r="AI981" s="754"/>
      <c r="AJ981" s="754"/>
      <c r="AK981" s="754"/>
      <c r="AL981" s="754"/>
      <c r="AM981" s="754"/>
      <c r="AN981" s="754"/>
      <c r="AO981" s="754"/>
      <c r="AP981" s="754"/>
      <c r="AQ981" s="754"/>
      <c r="AR981" s="754"/>
      <c r="AS981" s="754"/>
      <c r="AT981" s="754"/>
      <c r="AU981" s="754"/>
    </row>
    <row r="982" ht="15.75" customHeight="1">
      <c r="A982" s="784">
        <v>44763.0</v>
      </c>
      <c r="B982" s="840" t="s">
        <v>5940</v>
      </c>
      <c r="C982" s="841" t="s">
        <v>3642</v>
      </c>
      <c r="D982" s="842" t="s">
        <v>5903</v>
      </c>
      <c r="E982" s="843">
        <v>120000.0</v>
      </c>
      <c r="F982" s="842" t="s">
        <v>5231</v>
      </c>
      <c r="G982" s="842" t="s">
        <v>86</v>
      </c>
      <c r="H982" s="842" t="s">
        <v>29</v>
      </c>
      <c r="I982" s="842" t="s">
        <v>3913</v>
      </c>
      <c r="J982" s="844">
        <v>44134.0</v>
      </c>
      <c r="K982" s="841" t="s">
        <v>3647</v>
      </c>
      <c r="L982" s="754"/>
      <c r="M982" s="754"/>
      <c r="N982" s="754"/>
      <c r="O982" s="754"/>
      <c r="P982" s="754"/>
      <c r="Q982" s="754"/>
      <c r="R982" s="754"/>
      <c r="S982" s="754"/>
      <c r="T982" s="754"/>
      <c r="U982" s="754"/>
      <c r="V982" s="754"/>
      <c r="W982" s="754"/>
      <c r="X982" s="754"/>
      <c r="Y982" s="754"/>
      <c r="Z982" s="754"/>
      <c r="AA982" s="754"/>
      <c r="AB982" s="754"/>
      <c r="AC982" s="754"/>
      <c r="AD982" s="754"/>
      <c r="AE982" s="754"/>
      <c r="AF982" s="754"/>
      <c r="AG982" s="754"/>
      <c r="AH982" s="754"/>
      <c r="AI982" s="754"/>
      <c r="AJ982" s="754"/>
      <c r="AK982" s="754"/>
      <c r="AL982" s="754"/>
      <c r="AM982" s="754"/>
      <c r="AN982" s="754"/>
      <c r="AO982" s="754"/>
      <c r="AP982" s="754"/>
      <c r="AQ982" s="754"/>
      <c r="AR982" s="754"/>
      <c r="AS982" s="754"/>
      <c r="AT982" s="754"/>
      <c r="AU982" s="754"/>
    </row>
    <row r="983" ht="15.75" customHeight="1">
      <c r="A983" s="784">
        <v>44763.0</v>
      </c>
      <c r="B983" s="840" t="s">
        <v>6144</v>
      </c>
      <c r="C983" s="841" t="s">
        <v>3642</v>
      </c>
      <c r="D983" s="842" t="s">
        <v>5903</v>
      </c>
      <c r="E983" s="843">
        <v>10000.0</v>
      </c>
      <c r="F983" s="842" t="s">
        <v>6145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3660</v>
      </c>
      <c r="L983" s="754"/>
      <c r="M983" s="754"/>
      <c r="N983" s="754"/>
      <c r="O983" s="754"/>
      <c r="P983" s="754"/>
      <c r="Q983" s="754"/>
      <c r="R983" s="754"/>
      <c r="S983" s="754"/>
      <c r="T983" s="754"/>
      <c r="U983" s="754"/>
      <c r="V983" s="754"/>
      <c r="W983" s="754"/>
      <c r="X983" s="754"/>
      <c r="Y983" s="754"/>
      <c r="Z983" s="754"/>
      <c r="AA983" s="754"/>
      <c r="AB983" s="754"/>
      <c r="AC983" s="754"/>
      <c r="AD983" s="754"/>
      <c r="AE983" s="754"/>
      <c r="AF983" s="754"/>
      <c r="AG983" s="754"/>
      <c r="AH983" s="754"/>
      <c r="AI983" s="754"/>
      <c r="AJ983" s="754"/>
      <c r="AK983" s="754"/>
      <c r="AL983" s="754"/>
      <c r="AM983" s="754"/>
      <c r="AN983" s="754"/>
      <c r="AO983" s="754"/>
      <c r="AP983" s="754"/>
      <c r="AQ983" s="754"/>
      <c r="AR983" s="754"/>
      <c r="AS983" s="754"/>
      <c r="AT983" s="754"/>
      <c r="AU983" s="754"/>
    </row>
    <row r="984" ht="15.75" customHeight="1">
      <c r="A984" s="784">
        <v>44764.0</v>
      </c>
      <c r="B984" s="840" t="s">
        <v>6157</v>
      </c>
      <c r="C984" s="841" t="s">
        <v>3642</v>
      </c>
      <c r="D984" s="842" t="s">
        <v>5902</v>
      </c>
      <c r="E984" s="843">
        <v>82162.42</v>
      </c>
      <c r="F984" s="842" t="s">
        <v>4184</v>
      </c>
      <c r="G984" s="842" t="s">
        <v>18</v>
      </c>
      <c r="H984" s="842" t="s">
        <v>29</v>
      </c>
      <c r="I984" s="842" t="s">
        <v>4185</v>
      </c>
      <c r="J984" s="844">
        <v>44623.0</v>
      </c>
      <c r="K984" s="841" t="s">
        <v>3657</v>
      </c>
      <c r="L984" s="754"/>
      <c r="M984" s="754"/>
      <c r="N984" s="754"/>
      <c r="O984" s="754"/>
      <c r="P984" s="754"/>
      <c r="Q984" s="754"/>
      <c r="R984" s="754"/>
      <c r="S984" s="754"/>
      <c r="T984" s="754"/>
      <c r="U984" s="754"/>
      <c r="V984" s="754"/>
      <c r="W984" s="754"/>
      <c r="X984" s="754"/>
      <c r="Y984" s="754"/>
      <c r="Z984" s="754"/>
      <c r="AA984" s="754"/>
      <c r="AB984" s="754"/>
      <c r="AC984" s="754"/>
      <c r="AD984" s="754"/>
      <c r="AE984" s="754"/>
      <c r="AF984" s="754"/>
      <c r="AG984" s="754"/>
      <c r="AH984" s="754"/>
      <c r="AI984" s="754"/>
      <c r="AJ984" s="754"/>
      <c r="AK984" s="754"/>
      <c r="AL984" s="754"/>
      <c r="AM984" s="754"/>
      <c r="AN984" s="754"/>
      <c r="AO984" s="754"/>
      <c r="AP984" s="754"/>
      <c r="AQ984" s="754"/>
      <c r="AR984" s="754"/>
      <c r="AS984" s="754"/>
      <c r="AT984" s="754"/>
      <c r="AU984" s="754"/>
    </row>
    <row r="985" ht="15.75" customHeight="1">
      <c r="A985" s="784">
        <v>44764.0</v>
      </c>
      <c r="B985" s="840" t="s">
        <v>6158</v>
      </c>
      <c r="C985" s="841" t="s">
        <v>3642</v>
      </c>
      <c r="D985" s="842" t="s">
        <v>5902</v>
      </c>
      <c r="E985" s="843">
        <v>545597.31</v>
      </c>
      <c r="F985" s="842" t="s">
        <v>4826</v>
      </c>
      <c r="G985" s="842" t="s">
        <v>18</v>
      </c>
      <c r="H985" s="842" t="s">
        <v>29</v>
      </c>
      <c r="I985" s="842" t="s">
        <v>4185</v>
      </c>
      <c r="J985" s="844">
        <v>44434.0</v>
      </c>
      <c r="K985" s="841" t="s">
        <v>3657</v>
      </c>
      <c r="L985" s="754"/>
      <c r="M985" s="754"/>
      <c r="N985" s="754"/>
      <c r="O985" s="754"/>
      <c r="P985" s="754"/>
      <c r="Q985" s="754"/>
      <c r="R985" s="754"/>
      <c r="S985" s="754"/>
      <c r="T985" s="754"/>
      <c r="U985" s="754"/>
      <c r="V985" s="754"/>
      <c r="W985" s="754"/>
      <c r="X985" s="754"/>
      <c r="Y985" s="754"/>
      <c r="Z985" s="754"/>
      <c r="AA985" s="754"/>
      <c r="AB985" s="754"/>
      <c r="AC985" s="754"/>
      <c r="AD985" s="754"/>
      <c r="AE985" s="754"/>
      <c r="AF985" s="754"/>
      <c r="AG985" s="754"/>
      <c r="AH985" s="754"/>
      <c r="AI985" s="754"/>
      <c r="AJ985" s="754"/>
      <c r="AK985" s="754"/>
      <c r="AL985" s="754"/>
      <c r="AM985" s="754"/>
      <c r="AN985" s="754"/>
      <c r="AO985" s="754"/>
      <c r="AP985" s="754"/>
      <c r="AQ985" s="754"/>
      <c r="AR985" s="754"/>
      <c r="AS985" s="754"/>
      <c r="AT985" s="754"/>
      <c r="AU985" s="754"/>
    </row>
    <row r="986" ht="15.75" customHeight="1">
      <c r="A986" s="784">
        <v>44764.0</v>
      </c>
      <c r="B986" s="840" t="s">
        <v>6075</v>
      </c>
      <c r="C986" s="841" t="s">
        <v>3642</v>
      </c>
      <c r="D986" s="842" t="s">
        <v>5903</v>
      </c>
      <c r="E986" s="843">
        <v>100000.0</v>
      </c>
      <c r="F986" s="842" t="s">
        <v>3691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3660</v>
      </c>
      <c r="L986" s="754"/>
      <c r="M986" s="754"/>
      <c r="N986" s="754"/>
      <c r="O986" s="754"/>
      <c r="P986" s="754"/>
      <c r="Q986" s="754"/>
      <c r="R986" s="754"/>
      <c r="S986" s="754"/>
      <c r="T986" s="754"/>
      <c r="U986" s="754"/>
      <c r="V986" s="754"/>
      <c r="W986" s="754"/>
      <c r="X986" s="754"/>
      <c r="Y986" s="754"/>
      <c r="Z986" s="754"/>
      <c r="AA986" s="754"/>
      <c r="AB986" s="754"/>
      <c r="AC986" s="754"/>
      <c r="AD986" s="754"/>
      <c r="AE986" s="754"/>
      <c r="AF986" s="754"/>
      <c r="AG986" s="754"/>
      <c r="AH986" s="754"/>
      <c r="AI986" s="754"/>
      <c r="AJ986" s="754"/>
      <c r="AK986" s="754"/>
      <c r="AL986" s="754"/>
      <c r="AM986" s="754"/>
      <c r="AN986" s="754"/>
      <c r="AO986" s="754"/>
      <c r="AP986" s="754"/>
      <c r="AQ986" s="754"/>
      <c r="AR986" s="754"/>
      <c r="AS986" s="754"/>
      <c r="AT986" s="754"/>
      <c r="AU986" s="754"/>
    </row>
    <row r="987" ht="15.75" customHeight="1">
      <c r="A987" s="784">
        <v>44765.0</v>
      </c>
      <c r="B987" s="840" t="s">
        <v>6159</v>
      </c>
      <c r="C987" s="841" t="s">
        <v>3642</v>
      </c>
      <c r="D987" s="842" t="s">
        <v>5902</v>
      </c>
      <c r="E987" s="843">
        <v>674420.41</v>
      </c>
      <c r="F987" s="842" t="s">
        <v>6160</v>
      </c>
      <c r="G987" s="842" t="s">
        <v>18</v>
      </c>
      <c r="H987" s="842" t="s">
        <v>29</v>
      </c>
      <c r="I987" s="842" t="s">
        <v>4185</v>
      </c>
      <c r="J987" s="844">
        <v>44370.0</v>
      </c>
      <c r="K987" s="841" t="s">
        <v>3657</v>
      </c>
      <c r="L987" s="754"/>
      <c r="M987" s="754"/>
      <c r="N987" s="754"/>
      <c r="O987" s="754"/>
      <c r="P987" s="754"/>
      <c r="Q987" s="754"/>
      <c r="R987" s="754"/>
      <c r="S987" s="754"/>
      <c r="T987" s="754"/>
      <c r="U987" s="754"/>
      <c r="V987" s="754"/>
      <c r="W987" s="754"/>
      <c r="X987" s="754"/>
      <c r="Y987" s="754"/>
      <c r="Z987" s="754"/>
      <c r="AA987" s="754"/>
      <c r="AB987" s="754"/>
      <c r="AC987" s="754"/>
      <c r="AD987" s="754"/>
      <c r="AE987" s="754"/>
      <c r="AF987" s="754"/>
      <c r="AG987" s="754"/>
      <c r="AH987" s="754"/>
      <c r="AI987" s="754"/>
      <c r="AJ987" s="754"/>
      <c r="AK987" s="754"/>
      <c r="AL987" s="754"/>
      <c r="AM987" s="754"/>
      <c r="AN987" s="754"/>
      <c r="AO987" s="754"/>
      <c r="AP987" s="754"/>
      <c r="AQ987" s="754"/>
      <c r="AR987" s="754"/>
      <c r="AS987" s="754"/>
      <c r="AT987" s="754"/>
      <c r="AU987" s="754"/>
    </row>
    <row r="988" ht="15.75" customHeight="1">
      <c r="A988" s="784">
        <v>44767.0</v>
      </c>
      <c r="B988" s="840" t="s">
        <v>6161</v>
      </c>
      <c r="C988" s="841" t="s">
        <v>3642</v>
      </c>
      <c r="D988" s="842" t="s">
        <v>2387</v>
      </c>
      <c r="E988" s="843">
        <v>152231.41</v>
      </c>
      <c r="F988" s="842" t="s">
        <v>4164</v>
      </c>
      <c r="G988" s="842" t="s">
        <v>18</v>
      </c>
      <c r="H988" s="842" t="s">
        <v>19</v>
      </c>
      <c r="I988" s="842" t="s">
        <v>230</v>
      </c>
      <c r="J988" s="844">
        <v>44251.0</v>
      </c>
      <c r="K988" s="841" t="s">
        <v>3664</v>
      </c>
      <c r="L988" s="754"/>
      <c r="M988" s="754"/>
      <c r="N988" s="754"/>
      <c r="O988" s="754"/>
      <c r="P988" s="754"/>
      <c r="Q988" s="754"/>
      <c r="R988" s="754"/>
      <c r="S988" s="754"/>
      <c r="T988" s="754"/>
      <c r="U988" s="754"/>
      <c r="V988" s="754"/>
      <c r="W988" s="754"/>
      <c r="X988" s="754"/>
      <c r="Y988" s="754"/>
      <c r="Z988" s="754"/>
      <c r="AA988" s="754"/>
      <c r="AB988" s="754"/>
      <c r="AC988" s="754"/>
      <c r="AD988" s="754"/>
      <c r="AE988" s="754"/>
      <c r="AF988" s="754"/>
      <c r="AG988" s="754"/>
      <c r="AH988" s="754"/>
      <c r="AI988" s="754"/>
      <c r="AJ988" s="754"/>
      <c r="AK988" s="754"/>
      <c r="AL988" s="754"/>
      <c r="AM988" s="754"/>
      <c r="AN988" s="754"/>
      <c r="AO988" s="754"/>
      <c r="AP988" s="754"/>
      <c r="AQ988" s="754"/>
      <c r="AR988" s="754"/>
      <c r="AS988" s="754"/>
      <c r="AT988" s="754"/>
      <c r="AU988" s="754"/>
    </row>
    <row r="989" ht="15.75" customHeight="1">
      <c r="A989" s="784">
        <v>44768.0</v>
      </c>
      <c r="B989" s="840" t="s">
        <v>6076</v>
      </c>
      <c r="C989" s="841" t="s">
        <v>3642</v>
      </c>
      <c r="D989" s="842" t="s">
        <v>5903</v>
      </c>
      <c r="E989" s="843">
        <v>10000.0</v>
      </c>
      <c r="F989" s="842" t="s">
        <v>4333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3651</v>
      </c>
      <c r="L989" s="754"/>
      <c r="M989" s="754"/>
      <c r="N989" s="754"/>
      <c r="O989" s="754"/>
      <c r="P989" s="754"/>
      <c r="Q989" s="754"/>
      <c r="R989" s="754"/>
      <c r="S989" s="754"/>
      <c r="T989" s="754"/>
      <c r="U989" s="754"/>
      <c r="V989" s="754"/>
      <c r="W989" s="754"/>
      <c r="X989" s="754"/>
      <c r="Y989" s="754"/>
      <c r="Z989" s="754"/>
      <c r="AA989" s="754"/>
      <c r="AB989" s="754"/>
      <c r="AC989" s="754"/>
      <c r="AD989" s="754"/>
      <c r="AE989" s="754"/>
      <c r="AF989" s="754"/>
      <c r="AG989" s="754"/>
      <c r="AH989" s="754"/>
      <c r="AI989" s="754"/>
      <c r="AJ989" s="754"/>
      <c r="AK989" s="754"/>
      <c r="AL989" s="754"/>
      <c r="AM989" s="754"/>
      <c r="AN989" s="754"/>
      <c r="AO989" s="754"/>
      <c r="AP989" s="754"/>
      <c r="AQ989" s="754"/>
      <c r="AR989" s="754"/>
      <c r="AS989" s="754"/>
      <c r="AT989" s="754"/>
      <c r="AU989" s="754"/>
    </row>
    <row r="990" ht="15.75" customHeight="1">
      <c r="A990" s="784">
        <v>44768.0</v>
      </c>
      <c r="B990" s="840" t="s">
        <v>6162</v>
      </c>
      <c r="C990" s="841" t="s">
        <v>3642</v>
      </c>
      <c r="D990" s="842" t="s">
        <v>5903</v>
      </c>
      <c r="E990" s="843">
        <v>20000.0</v>
      </c>
      <c r="F990" s="842" t="s">
        <v>6163</v>
      </c>
      <c r="G990" s="842" t="s">
        <v>18</v>
      </c>
      <c r="H990" s="842" t="s">
        <v>29</v>
      </c>
      <c r="I990" s="842" t="s">
        <v>633</v>
      </c>
      <c r="J990" s="844">
        <v>44460.0</v>
      </c>
      <c r="K990" s="841" t="s">
        <v>3657</v>
      </c>
      <c r="L990" s="754"/>
      <c r="M990" s="754"/>
      <c r="N990" s="754"/>
      <c r="O990" s="754"/>
      <c r="P990" s="754"/>
      <c r="Q990" s="754"/>
      <c r="R990" s="754"/>
      <c r="S990" s="754"/>
      <c r="T990" s="754"/>
      <c r="U990" s="754"/>
      <c r="V990" s="754"/>
      <c r="W990" s="754"/>
      <c r="X990" s="754"/>
      <c r="Y990" s="754"/>
      <c r="Z990" s="754"/>
      <c r="AA990" s="754"/>
      <c r="AB990" s="754"/>
      <c r="AC990" s="754"/>
      <c r="AD990" s="754"/>
      <c r="AE990" s="754"/>
      <c r="AF990" s="754"/>
      <c r="AG990" s="754"/>
      <c r="AH990" s="754"/>
      <c r="AI990" s="754"/>
      <c r="AJ990" s="754"/>
      <c r="AK990" s="754"/>
      <c r="AL990" s="754"/>
      <c r="AM990" s="754"/>
      <c r="AN990" s="754"/>
      <c r="AO990" s="754"/>
      <c r="AP990" s="754"/>
      <c r="AQ990" s="754"/>
      <c r="AR990" s="754"/>
      <c r="AS990" s="754"/>
      <c r="AT990" s="754"/>
      <c r="AU990" s="754"/>
    </row>
    <row r="991" ht="15.75" customHeight="1">
      <c r="A991" s="784">
        <v>44768.0</v>
      </c>
      <c r="B991" s="840" t="s">
        <v>6164</v>
      </c>
      <c r="C991" s="841" t="s">
        <v>3642</v>
      </c>
      <c r="D991" s="842" t="s">
        <v>5903</v>
      </c>
      <c r="E991" s="843">
        <v>3000.0</v>
      </c>
      <c r="F991" s="842" t="s">
        <v>4565</v>
      </c>
      <c r="G991" s="842" t="s">
        <v>18</v>
      </c>
      <c r="H991" s="842" t="s">
        <v>29</v>
      </c>
      <c r="I991" s="842" t="s">
        <v>2633</v>
      </c>
      <c r="J991" s="844">
        <v>44393.0</v>
      </c>
      <c r="K991" s="841" t="s">
        <v>3647</v>
      </c>
      <c r="L991" s="754"/>
      <c r="M991" s="754"/>
      <c r="N991" s="754"/>
      <c r="O991" s="754"/>
      <c r="P991" s="754"/>
      <c r="Q991" s="754"/>
      <c r="R991" s="754"/>
      <c r="S991" s="754"/>
      <c r="T991" s="754"/>
      <c r="U991" s="754"/>
      <c r="V991" s="754"/>
      <c r="W991" s="754"/>
      <c r="X991" s="754"/>
      <c r="Y991" s="754"/>
      <c r="Z991" s="754"/>
      <c r="AA991" s="754"/>
      <c r="AB991" s="754"/>
      <c r="AC991" s="754"/>
      <c r="AD991" s="754"/>
      <c r="AE991" s="754"/>
      <c r="AF991" s="754"/>
      <c r="AG991" s="754"/>
      <c r="AH991" s="754"/>
      <c r="AI991" s="754"/>
      <c r="AJ991" s="754"/>
      <c r="AK991" s="754"/>
      <c r="AL991" s="754"/>
      <c r="AM991" s="754"/>
      <c r="AN991" s="754"/>
      <c r="AO991" s="754"/>
      <c r="AP991" s="754"/>
      <c r="AQ991" s="754"/>
      <c r="AR991" s="754"/>
      <c r="AS991" s="754"/>
      <c r="AT991" s="754"/>
      <c r="AU991" s="754"/>
    </row>
    <row r="992" ht="15.75" customHeight="1">
      <c r="A992" s="784">
        <v>44768.0</v>
      </c>
      <c r="B992" s="840" t="s">
        <v>6165</v>
      </c>
      <c r="C992" s="841" t="s">
        <v>3642</v>
      </c>
      <c r="D992" s="842" t="s">
        <v>5903</v>
      </c>
      <c r="E992" s="843">
        <v>5000.0</v>
      </c>
      <c r="F992" s="842" t="s">
        <v>155</v>
      </c>
      <c r="G992" s="842" t="s">
        <v>18</v>
      </c>
      <c r="H992" s="842" t="s">
        <v>29</v>
      </c>
      <c r="I992" s="842" t="s">
        <v>2760</v>
      </c>
      <c r="J992" s="844">
        <v>44335.0</v>
      </c>
      <c r="K992" s="841" t="s">
        <v>3693</v>
      </c>
      <c r="L992" s="754"/>
      <c r="M992" s="754"/>
      <c r="N992" s="754"/>
      <c r="O992" s="754"/>
      <c r="P992" s="754"/>
      <c r="Q992" s="754"/>
      <c r="R992" s="754"/>
      <c r="S992" s="754"/>
      <c r="T992" s="754"/>
      <c r="U992" s="754"/>
      <c r="V992" s="754"/>
      <c r="W992" s="754"/>
      <c r="X992" s="754"/>
      <c r="Y992" s="754"/>
      <c r="Z992" s="754"/>
      <c r="AA992" s="754"/>
      <c r="AB992" s="754"/>
      <c r="AC992" s="754"/>
      <c r="AD992" s="754"/>
      <c r="AE992" s="754"/>
      <c r="AF992" s="754"/>
      <c r="AG992" s="754"/>
      <c r="AH992" s="754"/>
      <c r="AI992" s="754"/>
      <c r="AJ992" s="754"/>
      <c r="AK992" s="754"/>
      <c r="AL992" s="754"/>
      <c r="AM992" s="754"/>
      <c r="AN992" s="754"/>
      <c r="AO992" s="754"/>
      <c r="AP992" s="754"/>
      <c r="AQ992" s="754"/>
      <c r="AR992" s="754"/>
      <c r="AS992" s="754"/>
      <c r="AT992" s="754"/>
      <c r="AU992" s="754"/>
    </row>
    <row r="993" ht="15.75" customHeight="1">
      <c r="A993" s="784">
        <v>44768.0</v>
      </c>
      <c r="B993" s="840" t="s">
        <v>6166</v>
      </c>
      <c r="C993" s="841" t="s">
        <v>3642</v>
      </c>
      <c r="D993" s="842" t="s">
        <v>5903</v>
      </c>
      <c r="E993" s="843">
        <v>18000.0</v>
      </c>
      <c r="F993" s="842" t="s">
        <v>4139</v>
      </c>
      <c r="G993" s="842" t="s">
        <v>18</v>
      </c>
      <c r="H993" s="842" t="s">
        <v>19</v>
      </c>
      <c r="I993" s="842" t="s">
        <v>3978</v>
      </c>
      <c r="J993" s="844">
        <v>44503.0</v>
      </c>
      <c r="K993" s="841" t="s">
        <v>3693</v>
      </c>
      <c r="L993" s="754"/>
      <c r="M993" s="754"/>
      <c r="N993" s="754"/>
      <c r="O993" s="754"/>
      <c r="P993" s="754"/>
      <c r="Q993" s="754"/>
      <c r="R993" s="754"/>
      <c r="S993" s="754"/>
      <c r="T993" s="754"/>
      <c r="U993" s="754"/>
      <c r="V993" s="754"/>
      <c r="W993" s="754"/>
      <c r="X993" s="754"/>
      <c r="Y993" s="754"/>
      <c r="Z993" s="754"/>
      <c r="AA993" s="754"/>
      <c r="AB993" s="754"/>
      <c r="AC993" s="754"/>
      <c r="AD993" s="754"/>
      <c r="AE993" s="754"/>
      <c r="AF993" s="754"/>
      <c r="AG993" s="754"/>
      <c r="AH993" s="754"/>
      <c r="AI993" s="754"/>
      <c r="AJ993" s="754"/>
      <c r="AK993" s="754"/>
      <c r="AL993" s="754"/>
      <c r="AM993" s="754"/>
      <c r="AN993" s="754"/>
      <c r="AO993" s="754"/>
      <c r="AP993" s="754"/>
      <c r="AQ993" s="754"/>
      <c r="AR993" s="754"/>
      <c r="AS993" s="754"/>
      <c r="AT993" s="754"/>
      <c r="AU993" s="754"/>
    </row>
    <row r="994" ht="15.75" customHeight="1">
      <c r="A994" s="784">
        <v>44769.0</v>
      </c>
      <c r="B994" s="840" t="s">
        <v>6167</v>
      </c>
      <c r="C994" s="841" t="s">
        <v>3642</v>
      </c>
      <c r="D994" s="842" t="s">
        <v>5902</v>
      </c>
      <c r="E994" s="843">
        <v>101231.24</v>
      </c>
      <c r="F994" s="842" t="s">
        <v>4077</v>
      </c>
      <c r="G994" s="842" t="s">
        <v>18</v>
      </c>
      <c r="H994" s="842" t="s">
        <v>19</v>
      </c>
      <c r="I994" s="842" t="s">
        <v>3978</v>
      </c>
      <c r="J994" s="844">
        <v>44462.0</v>
      </c>
      <c r="K994" s="841" t="s">
        <v>3651</v>
      </c>
      <c r="L994" s="754"/>
      <c r="M994" s="754"/>
      <c r="N994" s="754"/>
      <c r="O994" s="754"/>
      <c r="P994" s="754"/>
      <c r="Q994" s="754"/>
      <c r="R994" s="754"/>
      <c r="S994" s="754"/>
      <c r="T994" s="754"/>
      <c r="U994" s="754"/>
      <c r="V994" s="754"/>
      <c r="W994" s="754"/>
      <c r="X994" s="754"/>
      <c r="Y994" s="754"/>
      <c r="Z994" s="754"/>
      <c r="AA994" s="754"/>
      <c r="AB994" s="754"/>
      <c r="AC994" s="754"/>
      <c r="AD994" s="754"/>
      <c r="AE994" s="754"/>
      <c r="AF994" s="754"/>
      <c r="AG994" s="754"/>
      <c r="AH994" s="754"/>
      <c r="AI994" s="754"/>
      <c r="AJ994" s="754"/>
      <c r="AK994" s="754"/>
      <c r="AL994" s="754"/>
      <c r="AM994" s="754"/>
      <c r="AN994" s="754"/>
      <c r="AO994" s="754"/>
      <c r="AP994" s="754"/>
      <c r="AQ994" s="754"/>
      <c r="AR994" s="754"/>
      <c r="AS994" s="754"/>
      <c r="AT994" s="754"/>
      <c r="AU994" s="754"/>
    </row>
    <row r="995" ht="15.75" customHeight="1">
      <c r="A995" s="784">
        <v>44769.0</v>
      </c>
      <c r="B995" s="840" t="s">
        <v>3482</v>
      </c>
      <c r="C995" s="841" t="s">
        <v>3458</v>
      </c>
      <c r="D995" s="842" t="s">
        <v>5903</v>
      </c>
      <c r="E995" s="843">
        <v>8500.0</v>
      </c>
      <c r="F995" s="842" t="s">
        <v>3481</v>
      </c>
      <c r="G995" s="842" t="s">
        <v>18</v>
      </c>
      <c r="H995" s="842" t="s">
        <v>29</v>
      </c>
      <c r="I995" s="842" t="s">
        <v>5810</v>
      </c>
      <c r="J995" s="844">
        <v>44062.0</v>
      </c>
      <c r="K995" s="841" t="s">
        <v>3651</v>
      </c>
      <c r="L995" s="754"/>
      <c r="M995" s="754"/>
      <c r="N995" s="754"/>
      <c r="O995" s="754"/>
      <c r="P995" s="754"/>
      <c r="Q995" s="754"/>
      <c r="R995" s="754"/>
      <c r="S995" s="754"/>
      <c r="T995" s="754"/>
      <c r="U995" s="754"/>
      <c r="V995" s="754"/>
      <c r="W995" s="754"/>
      <c r="X995" s="754"/>
      <c r="Y995" s="754"/>
      <c r="Z995" s="754"/>
      <c r="AA995" s="754"/>
      <c r="AB995" s="754"/>
      <c r="AC995" s="754"/>
      <c r="AD995" s="754"/>
      <c r="AE995" s="754"/>
      <c r="AF995" s="754"/>
      <c r="AG995" s="754"/>
      <c r="AH995" s="754"/>
      <c r="AI995" s="754"/>
      <c r="AJ995" s="754"/>
      <c r="AK995" s="754"/>
      <c r="AL995" s="754"/>
      <c r="AM995" s="754"/>
      <c r="AN995" s="754"/>
      <c r="AO995" s="754"/>
      <c r="AP995" s="754"/>
      <c r="AQ995" s="754"/>
      <c r="AR995" s="754"/>
      <c r="AS995" s="754"/>
      <c r="AT995" s="754"/>
      <c r="AU995" s="754"/>
    </row>
    <row r="996" ht="15.75" customHeight="1">
      <c r="A996" s="784">
        <v>44769.0</v>
      </c>
      <c r="B996" s="840" t="s">
        <v>6086</v>
      </c>
      <c r="C996" s="841" t="s">
        <v>3642</v>
      </c>
      <c r="D996" s="842" t="s">
        <v>5903</v>
      </c>
      <c r="E996" s="843">
        <v>90000.0</v>
      </c>
      <c r="F996" s="842" t="s">
        <v>6087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3651</v>
      </c>
      <c r="L996" s="754"/>
      <c r="M996" s="754"/>
      <c r="N996" s="754"/>
      <c r="O996" s="754"/>
      <c r="P996" s="754"/>
      <c r="Q996" s="754"/>
      <c r="R996" s="754"/>
      <c r="S996" s="754"/>
      <c r="T996" s="754"/>
      <c r="U996" s="754"/>
      <c r="V996" s="754"/>
      <c r="W996" s="754"/>
      <c r="X996" s="754"/>
      <c r="Y996" s="754"/>
      <c r="Z996" s="754"/>
      <c r="AA996" s="754"/>
      <c r="AB996" s="754"/>
      <c r="AC996" s="754"/>
      <c r="AD996" s="754"/>
      <c r="AE996" s="754"/>
      <c r="AF996" s="754"/>
      <c r="AG996" s="754"/>
      <c r="AH996" s="754"/>
      <c r="AI996" s="754"/>
      <c r="AJ996" s="754"/>
      <c r="AK996" s="754"/>
      <c r="AL996" s="754"/>
      <c r="AM996" s="754"/>
      <c r="AN996" s="754"/>
      <c r="AO996" s="754"/>
      <c r="AP996" s="754"/>
      <c r="AQ996" s="754"/>
      <c r="AR996" s="754"/>
      <c r="AS996" s="754"/>
      <c r="AT996" s="754"/>
      <c r="AU996" s="754"/>
    </row>
    <row r="997" ht="15.75" customHeight="1">
      <c r="A997" s="784">
        <v>44769.0</v>
      </c>
      <c r="B997" s="840" t="s">
        <v>6168</v>
      </c>
      <c r="C997" s="841" t="s">
        <v>3642</v>
      </c>
      <c r="D997" s="842" t="s">
        <v>5902</v>
      </c>
      <c r="E997" s="843">
        <v>5000.0</v>
      </c>
      <c r="F997" s="842" t="s">
        <v>4746</v>
      </c>
      <c r="G997" s="842" t="s">
        <v>18</v>
      </c>
      <c r="H997" s="842" t="s">
        <v>19</v>
      </c>
      <c r="I997" s="842" t="s">
        <v>230</v>
      </c>
      <c r="J997" s="844">
        <v>44619.0</v>
      </c>
      <c r="K997" s="841" t="s">
        <v>3664</v>
      </c>
      <c r="L997" s="754"/>
      <c r="M997" s="754"/>
      <c r="N997" s="754"/>
      <c r="O997" s="754"/>
      <c r="P997" s="754"/>
      <c r="Q997" s="754"/>
      <c r="R997" s="754"/>
      <c r="S997" s="754"/>
      <c r="T997" s="754"/>
      <c r="U997" s="754"/>
      <c r="V997" s="754"/>
      <c r="W997" s="754"/>
      <c r="X997" s="754"/>
      <c r="Y997" s="754"/>
      <c r="Z997" s="754"/>
      <c r="AA997" s="754"/>
      <c r="AB997" s="754"/>
      <c r="AC997" s="754"/>
      <c r="AD997" s="754"/>
      <c r="AE997" s="754"/>
      <c r="AF997" s="754"/>
      <c r="AG997" s="754"/>
      <c r="AH997" s="754"/>
      <c r="AI997" s="754"/>
      <c r="AJ997" s="754"/>
      <c r="AK997" s="754"/>
      <c r="AL997" s="754"/>
      <c r="AM997" s="754"/>
      <c r="AN997" s="754"/>
      <c r="AO997" s="754"/>
      <c r="AP997" s="754"/>
      <c r="AQ997" s="754"/>
      <c r="AR997" s="754"/>
      <c r="AS997" s="754"/>
      <c r="AT997" s="754"/>
      <c r="AU997" s="754"/>
    </row>
    <row r="998" ht="15.75" customHeight="1">
      <c r="A998" s="768">
        <v>44769.0</v>
      </c>
      <c r="B998" s="845" t="s">
        <v>6169</v>
      </c>
      <c r="C998" s="846" t="s">
        <v>3642</v>
      </c>
      <c r="D998" s="830" t="s">
        <v>5903</v>
      </c>
      <c r="E998" s="847">
        <v>55000.0</v>
      </c>
      <c r="F998" s="830" t="s">
        <v>1729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3860</v>
      </c>
      <c r="L998" s="754"/>
      <c r="M998" s="754"/>
      <c r="N998" s="754"/>
      <c r="O998" s="754"/>
      <c r="P998" s="754"/>
      <c r="Q998" s="754"/>
      <c r="R998" s="754"/>
      <c r="S998" s="754"/>
      <c r="T998" s="754"/>
      <c r="U998" s="754"/>
      <c r="V998" s="754"/>
      <c r="W998" s="754"/>
      <c r="X998" s="754"/>
      <c r="Y998" s="754"/>
      <c r="Z998" s="754"/>
      <c r="AA998" s="754"/>
      <c r="AB998" s="754"/>
      <c r="AC998" s="754"/>
      <c r="AD998" s="754"/>
      <c r="AE998" s="754"/>
      <c r="AF998" s="754"/>
      <c r="AG998" s="754"/>
      <c r="AH998" s="754"/>
      <c r="AI998" s="754"/>
      <c r="AJ998" s="754"/>
      <c r="AK998" s="754"/>
      <c r="AL998" s="754"/>
      <c r="AM998" s="754"/>
      <c r="AN998" s="754"/>
      <c r="AO998" s="754"/>
      <c r="AP998" s="754"/>
      <c r="AQ998" s="754"/>
      <c r="AR998" s="754"/>
      <c r="AS998" s="754"/>
      <c r="AT998" s="754"/>
      <c r="AU998" s="754"/>
    </row>
    <row r="999" ht="15.75" customHeight="1">
      <c r="A999" s="768">
        <v>44769.0</v>
      </c>
      <c r="B999" s="845" t="s">
        <v>6170</v>
      </c>
      <c r="C999" s="846" t="s">
        <v>3642</v>
      </c>
      <c r="D999" s="830" t="s">
        <v>5903</v>
      </c>
      <c r="E999" s="847">
        <v>10000.0</v>
      </c>
      <c r="F999" s="830" t="s">
        <v>6171</v>
      </c>
      <c r="G999" s="832" t="s">
        <v>18</v>
      </c>
      <c r="H999" s="832" t="s">
        <v>19</v>
      </c>
      <c r="I999" s="832" t="s">
        <v>230</v>
      </c>
      <c r="J999" s="832">
        <v>44824.0</v>
      </c>
      <c r="K999" s="832" t="s">
        <v>3657</v>
      </c>
      <c r="L999" s="754"/>
      <c r="M999" s="754"/>
      <c r="N999" s="754"/>
      <c r="O999" s="754"/>
      <c r="P999" s="754"/>
      <c r="Q999" s="754"/>
      <c r="R999" s="754"/>
      <c r="S999" s="754"/>
      <c r="T999" s="754"/>
      <c r="U999" s="754"/>
      <c r="V999" s="754"/>
      <c r="W999" s="754"/>
      <c r="X999" s="754"/>
      <c r="Y999" s="754"/>
      <c r="Z999" s="754"/>
      <c r="AA999" s="754"/>
      <c r="AB999" s="754"/>
      <c r="AC999" s="754"/>
      <c r="AD999" s="754"/>
      <c r="AE999" s="754"/>
      <c r="AF999" s="754"/>
      <c r="AG999" s="754"/>
      <c r="AH999" s="754"/>
      <c r="AI999" s="754"/>
      <c r="AJ999" s="754"/>
      <c r="AK999" s="754"/>
      <c r="AL999" s="754"/>
      <c r="AM999" s="754"/>
      <c r="AN999" s="754"/>
      <c r="AO999" s="754"/>
      <c r="AP999" s="754"/>
      <c r="AQ999" s="754"/>
      <c r="AR999" s="754"/>
      <c r="AS999" s="754"/>
      <c r="AT999" s="754"/>
      <c r="AU999" s="754"/>
    </row>
    <row r="1000" ht="15.75" customHeight="1">
      <c r="A1000" s="784">
        <v>44774.0</v>
      </c>
      <c r="B1000" s="840" t="s">
        <v>5925</v>
      </c>
      <c r="C1000" s="841" t="s">
        <v>3642</v>
      </c>
      <c r="D1000" s="842" t="s">
        <v>5903</v>
      </c>
      <c r="E1000" s="843">
        <v>25000.0</v>
      </c>
      <c r="F1000" s="842" t="s">
        <v>4215</v>
      </c>
      <c r="G1000" s="842" t="s">
        <v>86</v>
      </c>
      <c r="H1000" s="842" t="s">
        <v>29</v>
      </c>
      <c r="I1000" s="842" t="s">
        <v>3711</v>
      </c>
      <c r="J1000" s="844">
        <v>44263.0</v>
      </c>
      <c r="K1000" s="841" t="s">
        <v>3651</v>
      </c>
      <c r="L1000" s="754"/>
      <c r="M1000" s="754"/>
      <c r="N1000" s="754"/>
      <c r="O1000" s="754"/>
      <c r="P1000" s="754"/>
      <c r="Q1000" s="754"/>
      <c r="R1000" s="754"/>
      <c r="S1000" s="754"/>
      <c r="T1000" s="754"/>
      <c r="U1000" s="754"/>
      <c r="V1000" s="754"/>
      <c r="W1000" s="754"/>
      <c r="X1000" s="754"/>
      <c r="Y1000" s="754"/>
      <c r="Z1000" s="754"/>
      <c r="AA1000" s="754"/>
      <c r="AB1000" s="754"/>
      <c r="AC1000" s="754"/>
      <c r="AD1000" s="754"/>
      <c r="AE1000" s="754"/>
      <c r="AF1000" s="754"/>
      <c r="AG1000" s="754"/>
      <c r="AH1000" s="754"/>
      <c r="AI1000" s="754"/>
      <c r="AJ1000" s="754"/>
      <c r="AK1000" s="754"/>
      <c r="AL1000" s="754"/>
      <c r="AM1000" s="754"/>
      <c r="AN1000" s="754"/>
      <c r="AO1000" s="754"/>
      <c r="AP1000" s="754"/>
      <c r="AQ1000" s="754"/>
      <c r="AR1000" s="754"/>
      <c r="AS1000" s="754"/>
      <c r="AT1000" s="754"/>
      <c r="AU1000" s="754"/>
    </row>
    <row r="1001" ht="15.75" customHeight="1">
      <c r="A1001" s="784">
        <v>44774.0</v>
      </c>
      <c r="B1001" s="840" t="s">
        <v>6172</v>
      </c>
      <c r="C1001" s="841" t="s">
        <v>3642</v>
      </c>
      <c r="D1001" s="842" t="s">
        <v>5902</v>
      </c>
      <c r="E1001" s="843">
        <v>120608.02</v>
      </c>
      <c r="F1001" s="842" t="s">
        <v>6173</v>
      </c>
      <c r="G1001" s="842" t="s">
        <v>18</v>
      </c>
      <c r="H1001" s="842" t="s">
        <v>29</v>
      </c>
      <c r="I1001" s="842" t="s">
        <v>4185</v>
      </c>
      <c r="J1001" s="844">
        <v>44623.0</v>
      </c>
      <c r="K1001" s="841" t="s">
        <v>3657</v>
      </c>
      <c r="L1001" s="754"/>
      <c r="M1001" s="754"/>
      <c r="N1001" s="754"/>
      <c r="O1001" s="754"/>
      <c r="P1001" s="754"/>
      <c r="Q1001" s="754"/>
      <c r="R1001" s="754"/>
      <c r="S1001" s="754"/>
      <c r="T1001" s="754"/>
      <c r="U1001" s="754"/>
      <c r="V1001" s="754"/>
      <c r="W1001" s="754"/>
      <c r="X1001" s="754"/>
      <c r="Y1001" s="754"/>
      <c r="Z1001" s="754"/>
      <c r="AA1001" s="754"/>
      <c r="AB1001" s="754"/>
      <c r="AC1001" s="754"/>
      <c r="AD1001" s="754"/>
      <c r="AE1001" s="754"/>
      <c r="AF1001" s="754"/>
      <c r="AG1001" s="754"/>
      <c r="AH1001" s="754"/>
      <c r="AI1001" s="754"/>
      <c r="AJ1001" s="754"/>
      <c r="AK1001" s="754"/>
      <c r="AL1001" s="754"/>
      <c r="AM1001" s="754"/>
      <c r="AN1001" s="754"/>
      <c r="AO1001" s="754"/>
      <c r="AP1001" s="754"/>
      <c r="AQ1001" s="754"/>
      <c r="AR1001" s="754"/>
      <c r="AS1001" s="754"/>
      <c r="AT1001" s="754"/>
      <c r="AU1001" s="754"/>
    </row>
    <row r="1002" ht="15.75" customHeight="1">
      <c r="A1002" s="784">
        <v>44775.0</v>
      </c>
      <c r="B1002" s="840" t="s">
        <v>6174</v>
      </c>
      <c r="C1002" s="841" t="s">
        <v>3642</v>
      </c>
      <c r="D1002" s="842" t="s">
        <v>5902</v>
      </c>
      <c r="E1002" s="843">
        <v>181532.44</v>
      </c>
      <c r="F1002" s="842" t="s">
        <v>4637</v>
      </c>
      <c r="G1002" s="842" t="s">
        <v>18</v>
      </c>
      <c r="H1002" s="842" t="s">
        <v>19</v>
      </c>
      <c r="I1002" s="842" t="s">
        <v>4638</v>
      </c>
      <c r="J1002" s="844">
        <v>44376.0</v>
      </c>
      <c r="K1002" s="841" t="s">
        <v>3664</v>
      </c>
      <c r="L1002" s="754"/>
      <c r="M1002" s="754"/>
      <c r="N1002" s="754"/>
      <c r="O1002" s="754"/>
      <c r="P1002" s="754"/>
      <c r="Q1002" s="754"/>
      <c r="R1002" s="754"/>
      <c r="S1002" s="754"/>
      <c r="T1002" s="754"/>
      <c r="U1002" s="754"/>
      <c r="V1002" s="754"/>
      <c r="W1002" s="754"/>
      <c r="X1002" s="754"/>
      <c r="Y1002" s="754"/>
      <c r="Z1002" s="754"/>
      <c r="AA1002" s="754"/>
      <c r="AB1002" s="754"/>
      <c r="AC1002" s="754"/>
      <c r="AD1002" s="754"/>
      <c r="AE1002" s="754"/>
      <c r="AF1002" s="754"/>
      <c r="AG1002" s="754"/>
      <c r="AH1002" s="754"/>
      <c r="AI1002" s="754"/>
      <c r="AJ1002" s="754"/>
      <c r="AK1002" s="754"/>
      <c r="AL1002" s="754"/>
      <c r="AM1002" s="754"/>
      <c r="AN1002" s="754"/>
      <c r="AO1002" s="754"/>
      <c r="AP1002" s="754"/>
      <c r="AQ1002" s="754"/>
      <c r="AR1002" s="754"/>
      <c r="AS1002" s="754"/>
      <c r="AT1002" s="754"/>
      <c r="AU1002" s="754"/>
    </row>
    <row r="1003" ht="15.75" customHeight="1">
      <c r="A1003" s="784">
        <v>44776.0</v>
      </c>
      <c r="B1003" s="840" t="s">
        <v>6112</v>
      </c>
      <c r="C1003" s="841" t="s">
        <v>3642</v>
      </c>
      <c r="D1003" s="842" t="s">
        <v>5903</v>
      </c>
      <c r="E1003" s="843">
        <v>200000.0</v>
      </c>
      <c r="F1003" s="842" t="s">
        <v>6113</v>
      </c>
      <c r="G1003" s="842" t="s">
        <v>18</v>
      </c>
      <c r="H1003" s="842" t="s">
        <v>19</v>
      </c>
      <c r="I1003" s="842" t="s">
        <v>5891</v>
      </c>
      <c r="J1003" s="844">
        <v>44454.0</v>
      </c>
      <c r="K1003" s="841" t="s">
        <v>3651</v>
      </c>
      <c r="L1003" s="754"/>
      <c r="M1003" s="754"/>
      <c r="N1003" s="754"/>
      <c r="O1003" s="754"/>
      <c r="P1003" s="754"/>
      <c r="Q1003" s="754"/>
      <c r="R1003" s="754"/>
      <c r="S1003" s="754"/>
      <c r="T1003" s="754"/>
      <c r="U1003" s="754"/>
      <c r="V1003" s="754"/>
      <c r="W1003" s="754"/>
      <c r="X1003" s="754"/>
      <c r="Y1003" s="754"/>
      <c r="Z1003" s="754"/>
      <c r="AA1003" s="754"/>
      <c r="AB1003" s="754"/>
      <c r="AC1003" s="754"/>
      <c r="AD1003" s="754"/>
      <c r="AE1003" s="754"/>
      <c r="AF1003" s="754"/>
      <c r="AG1003" s="754"/>
      <c r="AH1003" s="754"/>
      <c r="AI1003" s="754"/>
      <c r="AJ1003" s="754"/>
      <c r="AK1003" s="754"/>
      <c r="AL1003" s="754"/>
      <c r="AM1003" s="754"/>
      <c r="AN1003" s="754"/>
      <c r="AO1003" s="754"/>
      <c r="AP1003" s="754"/>
      <c r="AQ1003" s="754"/>
      <c r="AR1003" s="754"/>
      <c r="AS1003" s="754"/>
      <c r="AT1003" s="754"/>
      <c r="AU1003" s="754"/>
    </row>
    <row r="1004" ht="15.75" customHeight="1">
      <c r="A1004" s="784">
        <v>44777.0</v>
      </c>
      <c r="B1004" s="840" t="s">
        <v>6175</v>
      </c>
      <c r="C1004" s="841" t="s">
        <v>3642</v>
      </c>
      <c r="D1004" s="842" t="s">
        <v>5903</v>
      </c>
      <c r="E1004" s="843">
        <v>25000.0</v>
      </c>
      <c r="F1004" s="842" t="s">
        <v>4776</v>
      </c>
      <c r="G1004" s="842" t="s">
        <v>18</v>
      </c>
      <c r="H1004" s="842" t="s">
        <v>29</v>
      </c>
      <c r="I1004" s="842" t="s">
        <v>137</v>
      </c>
      <c r="J1004" s="844">
        <v>44385.0</v>
      </c>
      <c r="K1004" s="841" t="s">
        <v>3693</v>
      </c>
      <c r="L1004" s="754"/>
      <c r="M1004" s="754"/>
      <c r="N1004" s="754"/>
      <c r="O1004" s="754"/>
      <c r="P1004" s="754"/>
      <c r="Q1004" s="754"/>
      <c r="R1004" s="754"/>
      <c r="S1004" s="754"/>
      <c r="T1004" s="754"/>
      <c r="U1004" s="754"/>
      <c r="V1004" s="754"/>
      <c r="W1004" s="754"/>
      <c r="X1004" s="754"/>
      <c r="Y1004" s="754"/>
      <c r="Z1004" s="754"/>
      <c r="AA1004" s="754"/>
      <c r="AB1004" s="754"/>
      <c r="AC1004" s="754"/>
      <c r="AD1004" s="754"/>
      <c r="AE1004" s="754"/>
      <c r="AF1004" s="754"/>
      <c r="AG1004" s="754"/>
      <c r="AH1004" s="754"/>
      <c r="AI1004" s="754"/>
      <c r="AJ1004" s="754"/>
      <c r="AK1004" s="754"/>
      <c r="AL1004" s="754"/>
      <c r="AM1004" s="754"/>
      <c r="AN1004" s="754"/>
      <c r="AO1004" s="754"/>
      <c r="AP1004" s="754"/>
      <c r="AQ1004" s="754"/>
      <c r="AR1004" s="754"/>
      <c r="AS1004" s="754"/>
      <c r="AT1004" s="754"/>
      <c r="AU1004" s="754"/>
    </row>
    <row r="1005" ht="15.75" customHeight="1">
      <c r="A1005" s="784">
        <v>44777.0</v>
      </c>
      <c r="B1005" s="840" t="s">
        <v>6161</v>
      </c>
      <c r="C1005" s="841" t="s">
        <v>3642</v>
      </c>
      <c r="D1005" s="842" t="s">
        <v>5902</v>
      </c>
      <c r="E1005" s="843">
        <v>1473.07</v>
      </c>
      <c r="F1005" s="842" t="s">
        <v>4164</v>
      </c>
      <c r="G1005" s="842" t="s">
        <v>18</v>
      </c>
      <c r="H1005" s="842" t="s">
        <v>19</v>
      </c>
      <c r="I1005" s="842" t="s">
        <v>230</v>
      </c>
      <c r="J1005" s="844">
        <v>44251.0</v>
      </c>
      <c r="K1005" s="841" t="s">
        <v>3664</v>
      </c>
      <c r="L1005" s="754"/>
      <c r="M1005" s="754"/>
      <c r="N1005" s="754"/>
      <c r="O1005" s="754"/>
      <c r="P1005" s="754"/>
      <c r="Q1005" s="754"/>
      <c r="R1005" s="754"/>
      <c r="S1005" s="754"/>
      <c r="T1005" s="754"/>
      <c r="U1005" s="754"/>
      <c r="V1005" s="754"/>
      <c r="W1005" s="754"/>
      <c r="X1005" s="754"/>
      <c r="Y1005" s="754"/>
      <c r="Z1005" s="754"/>
      <c r="AA1005" s="754"/>
      <c r="AB1005" s="754"/>
      <c r="AC1005" s="754"/>
      <c r="AD1005" s="754"/>
      <c r="AE1005" s="754"/>
      <c r="AF1005" s="754"/>
      <c r="AG1005" s="754"/>
      <c r="AH1005" s="754"/>
      <c r="AI1005" s="754"/>
      <c r="AJ1005" s="754"/>
      <c r="AK1005" s="754"/>
      <c r="AL1005" s="754"/>
      <c r="AM1005" s="754"/>
      <c r="AN1005" s="754"/>
      <c r="AO1005" s="754"/>
      <c r="AP1005" s="754"/>
      <c r="AQ1005" s="754"/>
      <c r="AR1005" s="754"/>
      <c r="AS1005" s="754"/>
      <c r="AT1005" s="754"/>
      <c r="AU1005" s="754"/>
    </row>
    <row r="1006" ht="15.75" customHeight="1">
      <c r="A1006" s="784">
        <v>44777.0</v>
      </c>
      <c r="B1006" s="840" t="s">
        <v>6119</v>
      </c>
      <c r="C1006" s="841" t="s">
        <v>2376</v>
      </c>
      <c r="D1006" s="842" t="s">
        <v>5902</v>
      </c>
      <c r="E1006" s="843">
        <v>74385.52</v>
      </c>
      <c r="F1006" s="842" t="s">
        <v>3031</v>
      </c>
      <c r="G1006" s="842" t="s">
        <v>18</v>
      </c>
      <c r="H1006" s="842" t="s">
        <v>145</v>
      </c>
      <c r="I1006" s="842" t="s">
        <v>2464</v>
      </c>
      <c r="J1006" s="844">
        <v>44568.0</v>
      </c>
      <c r="K1006" s="841" t="s">
        <v>3657</v>
      </c>
      <c r="L1006" s="754"/>
      <c r="M1006" s="754"/>
      <c r="N1006" s="754"/>
      <c r="O1006" s="754"/>
      <c r="P1006" s="754"/>
      <c r="Q1006" s="754"/>
      <c r="R1006" s="754"/>
      <c r="S1006" s="754"/>
      <c r="T1006" s="754"/>
      <c r="U1006" s="754"/>
      <c r="V1006" s="754"/>
      <c r="W1006" s="754"/>
      <c r="X1006" s="754"/>
      <c r="Y1006" s="754"/>
      <c r="Z1006" s="754"/>
      <c r="AA1006" s="754"/>
      <c r="AB1006" s="754"/>
      <c r="AC1006" s="754"/>
      <c r="AD1006" s="754"/>
      <c r="AE1006" s="754"/>
      <c r="AF1006" s="754"/>
      <c r="AG1006" s="754"/>
      <c r="AH1006" s="754"/>
      <c r="AI1006" s="754"/>
      <c r="AJ1006" s="754"/>
      <c r="AK1006" s="754"/>
      <c r="AL1006" s="754"/>
      <c r="AM1006" s="754"/>
      <c r="AN1006" s="754"/>
      <c r="AO1006" s="754"/>
      <c r="AP1006" s="754"/>
      <c r="AQ1006" s="754"/>
      <c r="AR1006" s="754"/>
      <c r="AS1006" s="754"/>
      <c r="AT1006" s="754"/>
      <c r="AU1006" s="754"/>
    </row>
    <row r="1007" ht="15.75" customHeight="1">
      <c r="A1007" s="784">
        <v>44781.0</v>
      </c>
      <c r="B1007" s="840" t="s">
        <v>6176</v>
      </c>
      <c r="C1007" s="841" t="s">
        <v>3642</v>
      </c>
      <c r="D1007" s="842" t="s">
        <v>5903</v>
      </c>
      <c r="E1007" s="843">
        <v>7000.0</v>
      </c>
      <c r="F1007" s="842" t="s">
        <v>6177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3660</v>
      </c>
      <c r="L1007" s="754"/>
      <c r="M1007" s="754"/>
      <c r="N1007" s="754"/>
      <c r="O1007" s="754"/>
      <c r="P1007" s="754"/>
      <c r="Q1007" s="754"/>
      <c r="R1007" s="754"/>
      <c r="S1007" s="754"/>
      <c r="T1007" s="754"/>
      <c r="U1007" s="754"/>
      <c r="V1007" s="754"/>
      <c r="W1007" s="754"/>
      <c r="X1007" s="754"/>
      <c r="Y1007" s="754"/>
      <c r="Z1007" s="754"/>
      <c r="AA1007" s="754"/>
      <c r="AB1007" s="754"/>
      <c r="AC1007" s="754"/>
      <c r="AD1007" s="754"/>
      <c r="AE1007" s="754"/>
      <c r="AF1007" s="754"/>
      <c r="AG1007" s="754"/>
      <c r="AH1007" s="754"/>
      <c r="AI1007" s="754"/>
      <c r="AJ1007" s="754"/>
      <c r="AK1007" s="754"/>
      <c r="AL1007" s="754"/>
      <c r="AM1007" s="754"/>
      <c r="AN1007" s="754"/>
      <c r="AO1007" s="754"/>
      <c r="AP1007" s="754"/>
      <c r="AQ1007" s="754"/>
      <c r="AR1007" s="754"/>
      <c r="AS1007" s="754"/>
      <c r="AT1007" s="754"/>
      <c r="AU1007" s="754"/>
    </row>
    <row r="1008" ht="15.75" customHeight="1">
      <c r="A1008" s="784">
        <v>44781.0</v>
      </c>
      <c r="B1008" s="840" t="s">
        <v>6178</v>
      </c>
      <c r="C1008" s="841" t="s">
        <v>3642</v>
      </c>
      <c r="D1008" s="842" t="s">
        <v>5902</v>
      </c>
      <c r="E1008" s="843">
        <v>157156.82</v>
      </c>
      <c r="F1008" s="842" t="s">
        <v>6179</v>
      </c>
      <c r="G1008" s="842" t="s">
        <v>18</v>
      </c>
      <c r="H1008" s="842" t="s">
        <v>29</v>
      </c>
      <c r="I1008" s="842" t="s">
        <v>761</v>
      </c>
      <c r="J1008" s="844">
        <v>44277.0</v>
      </c>
      <c r="K1008" s="841" t="s">
        <v>3660</v>
      </c>
      <c r="L1008" s="754"/>
      <c r="M1008" s="754"/>
      <c r="N1008" s="754"/>
      <c r="O1008" s="754"/>
      <c r="P1008" s="754"/>
      <c r="Q1008" s="754"/>
      <c r="R1008" s="754"/>
      <c r="S1008" s="754"/>
      <c r="T1008" s="754"/>
      <c r="U1008" s="754"/>
      <c r="V1008" s="754"/>
      <c r="W1008" s="754"/>
      <c r="X1008" s="754"/>
      <c r="Y1008" s="754"/>
      <c r="Z1008" s="754"/>
      <c r="AA1008" s="754"/>
      <c r="AB1008" s="754"/>
      <c r="AC1008" s="754"/>
      <c r="AD1008" s="754"/>
      <c r="AE1008" s="754"/>
      <c r="AF1008" s="754"/>
      <c r="AG1008" s="754"/>
      <c r="AH1008" s="754"/>
      <c r="AI1008" s="754"/>
      <c r="AJ1008" s="754"/>
      <c r="AK1008" s="754"/>
      <c r="AL1008" s="754"/>
      <c r="AM1008" s="754"/>
      <c r="AN1008" s="754"/>
      <c r="AO1008" s="754"/>
      <c r="AP1008" s="754"/>
      <c r="AQ1008" s="754"/>
      <c r="AR1008" s="754"/>
      <c r="AS1008" s="754"/>
      <c r="AT1008" s="754"/>
      <c r="AU1008" s="754"/>
    </row>
    <row r="1009" ht="15.75" customHeight="1">
      <c r="A1009" s="784">
        <v>44781.0</v>
      </c>
      <c r="B1009" s="840" t="s">
        <v>2709</v>
      </c>
      <c r="C1009" s="841" t="s">
        <v>2376</v>
      </c>
      <c r="D1009" s="842" t="s">
        <v>5902</v>
      </c>
      <c r="E1009" s="843">
        <v>101893.24</v>
      </c>
      <c r="F1009" s="842" t="s">
        <v>2708</v>
      </c>
      <c r="G1009" s="842" t="s">
        <v>18</v>
      </c>
      <c r="H1009" s="842" t="s">
        <v>145</v>
      </c>
      <c r="I1009" s="842" t="s">
        <v>146</v>
      </c>
      <c r="J1009" s="844">
        <v>44365.0</v>
      </c>
      <c r="K1009" s="841" t="s">
        <v>3651</v>
      </c>
      <c r="L1009" s="754"/>
      <c r="M1009" s="754"/>
      <c r="N1009" s="754"/>
      <c r="O1009" s="754"/>
      <c r="P1009" s="754"/>
      <c r="Q1009" s="754"/>
      <c r="R1009" s="754"/>
      <c r="S1009" s="754"/>
      <c r="T1009" s="754"/>
      <c r="U1009" s="754"/>
      <c r="V1009" s="754"/>
      <c r="W1009" s="754"/>
      <c r="X1009" s="754"/>
      <c r="Y1009" s="754"/>
      <c r="Z1009" s="754"/>
      <c r="AA1009" s="754"/>
      <c r="AB1009" s="754"/>
      <c r="AC1009" s="754"/>
      <c r="AD1009" s="754"/>
      <c r="AE1009" s="754"/>
      <c r="AF1009" s="754"/>
      <c r="AG1009" s="754"/>
      <c r="AH1009" s="754"/>
      <c r="AI1009" s="754"/>
      <c r="AJ1009" s="754"/>
      <c r="AK1009" s="754"/>
      <c r="AL1009" s="754"/>
      <c r="AM1009" s="754"/>
      <c r="AN1009" s="754"/>
      <c r="AO1009" s="754"/>
      <c r="AP1009" s="754"/>
      <c r="AQ1009" s="754"/>
      <c r="AR1009" s="754"/>
      <c r="AS1009" s="754"/>
      <c r="AT1009" s="754"/>
      <c r="AU1009" s="754"/>
    </row>
    <row r="1010" ht="15.75" customHeight="1">
      <c r="A1010" s="784">
        <v>44783.0</v>
      </c>
      <c r="B1010" s="840" t="s">
        <v>6045</v>
      </c>
      <c r="C1010" s="841" t="s">
        <v>3642</v>
      </c>
      <c r="D1010" s="842" t="s">
        <v>5903</v>
      </c>
      <c r="E1010" s="843">
        <v>5500.0</v>
      </c>
      <c r="F1010" s="842" t="s">
        <v>1998</v>
      </c>
      <c r="G1010" s="842" t="s">
        <v>18</v>
      </c>
      <c r="H1010" s="842" t="s">
        <v>29</v>
      </c>
      <c r="I1010" s="842" t="s">
        <v>2633</v>
      </c>
      <c r="J1010" s="844">
        <v>44293.0</v>
      </c>
      <c r="K1010" s="841" t="s">
        <v>3647</v>
      </c>
      <c r="L1010" s="754"/>
      <c r="M1010" s="754"/>
      <c r="N1010" s="754"/>
      <c r="O1010" s="754"/>
      <c r="P1010" s="754"/>
      <c r="Q1010" s="754"/>
      <c r="R1010" s="754"/>
      <c r="S1010" s="754"/>
      <c r="T1010" s="754"/>
      <c r="U1010" s="754"/>
      <c r="V1010" s="754"/>
      <c r="W1010" s="754"/>
      <c r="X1010" s="754"/>
      <c r="Y1010" s="754"/>
      <c r="Z1010" s="754"/>
      <c r="AA1010" s="754"/>
      <c r="AB1010" s="754"/>
      <c r="AC1010" s="754"/>
      <c r="AD1010" s="754"/>
      <c r="AE1010" s="754"/>
      <c r="AF1010" s="754"/>
      <c r="AG1010" s="754"/>
      <c r="AH1010" s="754"/>
      <c r="AI1010" s="754"/>
      <c r="AJ1010" s="754"/>
      <c r="AK1010" s="754"/>
      <c r="AL1010" s="754"/>
      <c r="AM1010" s="754"/>
      <c r="AN1010" s="754"/>
      <c r="AO1010" s="754"/>
      <c r="AP1010" s="754"/>
      <c r="AQ1010" s="754"/>
      <c r="AR1010" s="754"/>
      <c r="AS1010" s="754"/>
      <c r="AT1010" s="754"/>
      <c r="AU1010" s="754"/>
    </row>
    <row r="1011" ht="15.75" customHeight="1">
      <c r="A1011" s="784">
        <v>44783.0</v>
      </c>
      <c r="B1011" s="840" t="s">
        <v>3004</v>
      </c>
      <c r="C1011" s="841" t="s">
        <v>2376</v>
      </c>
      <c r="D1011" s="842" t="s">
        <v>5902</v>
      </c>
      <c r="E1011" s="843">
        <v>111338.29</v>
      </c>
      <c r="F1011" s="842" t="s">
        <v>3003</v>
      </c>
      <c r="G1011" s="842" t="s">
        <v>18</v>
      </c>
      <c r="H1011" s="842" t="s">
        <v>145</v>
      </c>
      <c r="I1011" s="842" t="s">
        <v>171</v>
      </c>
      <c r="J1011" s="844">
        <v>44600.0</v>
      </c>
      <c r="K1011" s="841" t="s">
        <v>3660</v>
      </c>
      <c r="L1011" s="754"/>
      <c r="M1011" s="754"/>
      <c r="N1011" s="754"/>
      <c r="O1011" s="754"/>
      <c r="P1011" s="754"/>
      <c r="Q1011" s="754"/>
      <c r="R1011" s="754"/>
      <c r="S1011" s="754"/>
      <c r="T1011" s="754"/>
      <c r="U1011" s="754"/>
      <c r="V1011" s="754"/>
      <c r="W1011" s="754"/>
      <c r="X1011" s="754"/>
      <c r="Y1011" s="754"/>
      <c r="Z1011" s="754"/>
      <c r="AA1011" s="754"/>
      <c r="AB1011" s="754"/>
      <c r="AC1011" s="754"/>
      <c r="AD1011" s="754"/>
      <c r="AE1011" s="754"/>
      <c r="AF1011" s="754"/>
      <c r="AG1011" s="754"/>
      <c r="AH1011" s="754"/>
      <c r="AI1011" s="754"/>
      <c r="AJ1011" s="754"/>
      <c r="AK1011" s="754"/>
      <c r="AL1011" s="754"/>
      <c r="AM1011" s="754"/>
      <c r="AN1011" s="754"/>
      <c r="AO1011" s="754"/>
      <c r="AP1011" s="754"/>
      <c r="AQ1011" s="754"/>
      <c r="AR1011" s="754"/>
      <c r="AS1011" s="754"/>
      <c r="AT1011" s="754"/>
      <c r="AU1011" s="754"/>
    </row>
    <row r="1012" ht="15.75" customHeight="1">
      <c r="A1012" s="784">
        <v>44784.0</v>
      </c>
      <c r="B1012" s="840" t="s">
        <v>6180</v>
      </c>
      <c r="C1012" s="841" t="s">
        <v>3642</v>
      </c>
      <c r="D1012" s="842" t="s">
        <v>5902</v>
      </c>
      <c r="E1012" s="843" t="s">
        <v>6181</v>
      </c>
      <c r="F1012" s="842" t="s">
        <v>4292</v>
      </c>
      <c r="G1012" s="842" t="s">
        <v>86</v>
      </c>
      <c r="H1012" s="842" t="s">
        <v>29</v>
      </c>
      <c r="I1012" s="842" t="s">
        <v>4293</v>
      </c>
      <c r="J1012" s="844">
        <v>44211.0</v>
      </c>
      <c r="K1012" s="841" t="s">
        <v>3664</v>
      </c>
      <c r="L1012" s="754"/>
      <c r="M1012" s="754"/>
      <c r="N1012" s="754"/>
      <c r="O1012" s="754"/>
      <c r="P1012" s="754"/>
      <c r="Q1012" s="754"/>
      <c r="R1012" s="754"/>
      <c r="S1012" s="754"/>
      <c r="T1012" s="754"/>
      <c r="U1012" s="754"/>
      <c r="V1012" s="754"/>
      <c r="W1012" s="754"/>
      <c r="X1012" s="754"/>
      <c r="Y1012" s="754"/>
      <c r="Z1012" s="754"/>
      <c r="AA1012" s="754"/>
      <c r="AB1012" s="754"/>
      <c r="AC1012" s="754"/>
      <c r="AD1012" s="754"/>
      <c r="AE1012" s="754"/>
      <c r="AF1012" s="754"/>
      <c r="AG1012" s="754"/>
      <c r="AH1012" s="754"/>
      <c r="AI1012" s="754"/>
      <c r="AJ1012" s="754"/>
      <c r="AK1012" s="754"/>
      <c r="AL1012" s="754"/>
      <c r="AM1012" s="754"/>
      <c r="AN1012" s="754"/>
      <c r="AO1012" s="754"/>
      <c r="AP1012" s="754"/>
      <c r="AQ1012" s="754"/>
      <c r="AR1012" s="754"/>
      <c r="AS1012" s="754"/>
      <c r="AT1012" s="754"/>
      <c r="AU1012" s="754"/>
    </row>
    <row r="1013" ht="15.75" customHeight="1">
      <c r="A1013" s="784">
        <v>44784.0</v>
      </c>
      <c r="B1013" s="840" t="s">
        <v>6068</v>
      </c>
      <c r="C1013" s="841" t="s">
        <v>3642</v>
      </c>
      <c r="D1013" s="842" t="s">
        <v>5903</v>
      </c>
      <c r="E1013" s="843">
        <v>30000.0</v>
      </c>
      <c r="F1013" s="842" t="s">
        <v>1426</v>
      </c>
      <c r="G1013" s="842" t="s">
        <v>18</v>
      </c>
      <c r="H1013" s="842" t="s">
        <v>29</v>
      </c>
      <c r="I1013" s="842" t="s">
        <v>4877</v>
      </c>
      <c r="J1013" s="844">
        <v>44594.0</v>
      </c>
      <c r="K1013" s="841" t="s">
        <v>3657</v>
      </c>
      <c r="L1013" s="754"/>
      <c r="M1013" s="754"/>
      <c r="N1013" s="754"/>
      <c r="O1013" s="754"/>
      <c r="P1013" s="754"/>
      <c r="Q1013" s="754"/>
      <c r="R1013" s="754"/>
      <c r="S1013" s="754"/>
      <c r="T1013" s="754"/>
      <c r="U1013" s="754"/>
      <c r="V1013" s="754"/>
      <c r="W1013" s="754"/>
      <c r="X1013" s="754"/>
      <c r="Y1013" s="754"/>
      <c r="Z1013" s="754"/>
      <c r="AA1013" s="754"/>
      <c r="AB1013" s="754"/>
      <c r="AC1013" s="754"/>
      <c r="AD1013" s="754"/>
      <c r="AE1013" s="754"/>
      <c r="AF1013" s="754"/>
      <c r="AG1013" s="754"/>
      <c r="AH1013" s="754"/>
      <c r="AI1013" s="754"/>
      <c r="AJ1013" s="754"/>
      <c r="AK1013" s="754"/>
      <c r="AL1013" s="754"/>
      <c r="AM1013" s="754"/>
      <c r="AN1013" s="754"/>
      <c r="AO1013" s="754"/>
      <c r="AP1013" s="754"/>
      <c r="AQ1013" s="754"/>
      <c r="AR1013" s="754"/>
      <c r="AS1013" s="754"/>
      <c r="AT1013" s="754"/>
      <c r="AU1013" s="754"/>
    </row>
    <row r="1014" ht="15.75" customHeight="1">
      <c r="A1014" s="768">
        <v>44784.0</v>
      </c>
      <c r="B1014" s="800" t="s">
        <v>6112</v>
      </c>
      <c r="C1014" s="770" t="s">
        <v>3642</v>
      </c>
      <c r="D1014" s="745" t="s">
        <v>5903</v>
      </c>
      <c r="E1014" s="771">
        <v>125000.0</v>
      </c>
      <c r="F1014" s="745" t="s">
        <v>6113</v>
      </c>
      <c r="G1014" s="755" t="s">
        <v>18</v>
      </c>
      <c r="H1014" s="755" t="s">
        <v>19</v>
      </c>
      <c r="I1014" s="755" t="s">
        <v>5891</v>
      </c>
      <c r="J1014" s="755">
        <v>44454.0</v>
      </c>
      <c r="K1014" s="755" t="s">
        <v>3651</v>
      </c>
      <c r="L1014" s="754"/>
      <c r="M1014" s="754"/>
      <c r="N1014" s="754"/>
      <c r="O1014" s="754"/>
      <c r="P1014" s="754"/>
      <c r="Q1014" s="754"/>
      <c r="R1014" s="754"/>
      <c r="S1014" s="754"/>
      <c r="T1014" s="754"/>
      <c r="U1014" s="754"/>
      <c r="V1014" s="754"/>
      <c r="W1014" s="754"/>
      <c r="X1014" s="754"/>
      <c r="Y1014" s="754"/>
      <c r="Z1014" s="754"/>
      <c r="AA1014" s="754"/>
      <c r="AB1014" s="754"/>
      <c r="AC1014" s="754"/>
      <c r="AD1014" s="754"/>
      <c r="AE1014" s="754"/>
      <c r="AF1014" s="754"/>
      <c r="AG1014" s="754"/>
      <c r="AH1014" s="754"/>
      <c r="AI1014" s="754"/>
      <c r="AJ1014" s="754"/>
      <c r="AK1014" s="754"/>
      <c r="AL1014" s="754"/>
      <c r="AM1014" s="754"/>
      <c r="AN1014" s="754"/>
      <c r="AO1014" s="754"/>
      <c r="AP1014" s="754"/>
      <c r="AQ1014" s="754"/>
      <c r="AR1014" s="754"/>
      <c r="AS1014" s="754"/>
      <c r="AT1014" s="754"/>
      <c r="AU1014" s="754"/>
    </row>
    <row r="1015" ht="15.75" customHeight="1">
      <c r="A1015" s="768">
        <v>44786.0</v>
      </c>
      <c r="B1015" s="800" t="s">
        <v>6182</v>
      </c>
      <c r="C1015" s="770" t="s">
        <v>3642</v>
      </c>
      <c r="D1015" s="745" t="s">
        <v>5902</v>
      </c>
      <c r="E1015" s="771">
        <v>444418.17</v>
      </c>
      <c r="F1015" s="745" t="s">
        <v>4965</v>
      </c>
      <c r="G1015" s="755" t="s">
        <v>18</v>
      </c>
      <c r="H1015" s="755" t="s">
        <v>19</v>
      </c>
      <c r="I1015" s="755" t="s">
        <v>3978</v>
      </c>
      <c r="J1015" s="755">
        <v>44421.0</v>
      </c>
      <c r="K1015" s="755" t="s">
        <v>3657</v>
      </c>
      <c r="L1015" s="754"/>
      <c r="M1015" s="754"/>
      <c r="N1015" s="754"/>
      <c r="O1015" s="754"/>
      <c r="P1015" s="754"/>
      <c r="Q1015" s="754"/>
      <c r="R1015" s="754"/>
      <c r="S1015" s="754"/>
      <c r="T1015" s="754"/>
      <c r="U1015" s="754"/>
      <c r="V1015" s="754"/>
      <c r="W1015" s="754"/>
      <c r="X1015" s="754"/>
      <c r="Y1015" s="754"/>
      <c r="Z1015" s="754"/>
      <c r="AA1015" s="754"/>
      <c r="AB1015" s="754"/>
      <c r="AC1015" s="754"/>
      <c r="AD1015" s="754"/>
      <c r="AE1015" s="754"/>
      <c r="AF1015" s="754"/>
      <c r="AG1015" s="754"/>
      <c r="AH1015" s="754"/>
      <c r="AI1015" s="754"/>
      <c r="AJ1015" s="754"/>
      <c r="AK1015" s="754"/>
      <c r="AL1015" s="754"/>
      <c r="AM1015" s="754"/>
      <c r="AN1015" s="754"/>
      <c r="AO1015" s="754"/>
      <c r="AP1015" s="754"/>
      <c r="AQ1015" s="754"/>
      <c r="AR1015" s="754"/>
      <c r="AS1015" s="754"/>
      <c r="AT1015" s="754"/>
      <c r="AU1015" s="754"/>
    </row>
    <row r="1016" ht="15.75" customHeight="1">
      <c r="A1016" s="784">
        <v>44788.0</v>
      </c>
      <c r="B1016" s="785" t="s">
        <v>6109</v>
      </c>
      <c r="C1016" s="786" t="s">
        <v>3642</v>
      </c>
      <c r="D1016" s="787" t="s">
        <v>5903</v>
      </c>
      <c r="E1016" s="788">
        <v>10000.0</v>
      </c>
      <c r="F1016" s="787" t="s">
        <v>6183</v>
      </c>
      <c r="G1016" s="787" t="s">
        <v>18</v>
      </c>
      <c r="H1016" s="787" t="s">
        <v>19</v>
      </c>
      <c r="I1016" s="787" t="s">
        <v>201</v>
      </c>
      <c r="J1016" s="789">
        <v>44645.0</v>
      </c>
      <c r="K1016" s="786" t="s">
        <v>3657</v>
      </c>
      <c r="L1016" s="754"/>
      <c r="M1016" s="754"/>
      <c r="N1016" s="754"/>
      <c r="O1016" s="754"/>
      <c r="P1016" s="754"/>
      <c r="Q1016" s="754"/>
      <c r="R1016" s="754"/>
      <c r="S1016" s="754"/>
      <c r="T1016" s="754"/>
      <c r="U1016" s="754"/>
      <c r="V1016" s="754"/>
      <c r="W1016" s="754"/>
      <c r="X1016" s="754"/>
      <c r="Y1016" s="754"/>
      <c r="Z1016" s="754"/>
      <c r="AA1016" s="754"/>
      <c r="AB1016" s="754"/>
      <c r="AC1016" s="754"/>
      <c r="AD1016" s="754"/>
      <c r="AE1016" s="754"/>
      <c r="AF1016" s="754"/>
      <c r="AG1016" s="754"/>
      <c r="AH1016" s="754"/>
      <c r="AI1016" s="754"/>
      <c r="AJ1016" s="754"/>
      <c r="AK1016" s="754"/>
      <c r="AL1016" s="754"/>
      <c r="AM1016" s="754"/>
      <c r="AN1016" s="754"/>
      <c r="AO1016" s="754"/>
      <c r="AP1016" s="754"/>
      <c r="AQ1016" s="754"/>
      <c r="AR1016" s="754"/>
      <c r="AS1016" s="754"/>
      <c r="AT1016" s="754"/>
      <c r="AU1016" s="754"/>
    </row>
    <row r="1017" ht="15.75" customHeight="1">
      <c r="A1017" s="784">
        <v>44788.0</v>
      </c>
      <c r="B1017" s="785" t="s">
        <v>6184</v>
      </c>
      <c r="C1017" s="786" t="s">
        <v>3642</v>
      </c>
      <c r="D1017" s="787" t="s">
        <v>5902</v>
      </c>
      <c r="E1017" s="788">
        <v>608381.09</v>
      </c>
      <c r="F1017" s="787" t="s">
        <v>4662</v>
      </c>
      <c r="G1017" s="787" t="s">
        <v>18</v>
      </c>
      <c r="H1017" s="787" t="s">
        <v>29</v>
      </c>
      <c r="I1017" s="787" t="s">
        <v>3533</v>
      </c>
      <c r="J1017" s="789">
        <v>44341.0</v>
      </c>
      <c r="K1017" s="786" t="s">
        <v>4663</v>
      </c>
      <c r="L1017" s="754"/>
      <c r="M1017" s="754"/>
      <c r="N1017" s="754"/>
      <c r="O1017" s="754"/>
      <c r="P1017" s="754"/>
      <c r="Q1017" s="754"/>
      <c r="R1017" s="754"/>
      <c r="S1017" s="754"/>
      <c r="T1017" s="754"/>
      <c r="U1017" s="754"/>
      <c r="V1017" s="754"/>
      <c r="W1017" s="754"/>
      <c r="X1017" s="754"/>
      <c r="Y1017" s="754"/>
      <c r="Z1017" s="754"/>
      <c r="AA1017" s="754"/>
      <c r="AB1017" s="754"/>
      <c r="AC1017" s="754"/>
      <c r="AD1017" s="754"/>
      <c r="AE1017" s="754"/>
      <c r="AF1017" s="754"/>
      <c r="AG1017" s="754"/>
      <c r="AH1017" s="754"/>
      <c r="AI1017" s="754"/>
      <c r="AJ1017" s="754"/>
      <c r="AK1017" s="754"/>
      <c r="AL1017" s="754"/>
      <c r="AM1017" s="754"/>
      <c r="AN1017" s="754"/>
      <c r="AO1017" s="754"/>
      <c r="AP1017" s="754"/>
      <c r="AQ1017" s="754"/>
      <c r="AR1017" s="754"/>
      <c r="AS1017" s="754"/>
      <c r="AT1017" s="754"/>
      <c r="AU1017" s="754"/>
    </row>
    <row r="1018" ht="15.75" customHeight="1">
      <c r="A1018" s="784">
        <v>44789.0</v>
      </c>
      <c r="B1018" s="785" t="s">
        <v>6143</v>
      </c>
      <c r="C1018" s="786" t="s">
        <v>3642</v>
      </c>
      <c r="D1018" s="787" t="s">
        <v>5903</v>
      </c>
      <c r="E1018" s="788">
        <v>5000.0</v>
      </c>
      <c r="F1018" s="787" t="s">
        <v>1170</v>
      </c>
      <c r="G1018" s="787" t="s">
        <v>86</v>
      </c>
      <c r="H1018" s="787" t="s">
        <v>29</v>
      </c>
      <c r="I1018" s="787" t="s">
        <v>3486</v>
      </c>
      <c r="J1018" s="789">
        <v>44138.0</v>
      </c>
      <c r="K1018" s="786" t="s">
        <v>3660</v>
      </c>
      <c r="L1018" s="754"/>
      <c r="M1018" s="754"/>
      <c r="N1018" s="754"/>
      <c r="O1018" s="754"/>
      <c r="P1018" s="754"/>
      <c r="Q1018" s="754"/>
      <c r="R1018" s="754"/>
      <c r="S1018" s="754"/>
      <c r="T1018" s="754"/>
      <c r="U1018" s="754"/>
      <c r="V1018" s="754"/>
      <c r="W1018" s="754"/>
      <c r="X1018" s="754"/>
      <c r="Y1018" s="754"/>
      <c r="Z1018" s="754"/>
      <c r="AA1018" s="754"/>
      <c r="AB1018" s="754"/>
      <c r="AC1018" s="754"/>
      <c r="AD1018" s="754"/>
      <c r="AE1018" s="754"/>
      <c r="AF1018" s="754"/>
      <c r="AG1018" s="754"/>
      <c r="AH1018" s="754"/>
      <c r="AI1018" s="754"/>
      <c r="AJ1018" s="754"/>
      <c r="AK1018" s="754"/>
      <c r="AL1018" s="754"/>
      <c r="AM1018" s="754"/>
      <c r="AN1018" s="754"/>
      <c r="AO1018" s="754"/>
      <c r="AP1018" s="754"/>
      <c r="AQ1018" s="754"/>
      <c r="AR1018" s="754"/>
      <c r="AS1018" s="754"/>
      <c r="AT1018" s="754"/>
      <c r="AU1018" s="754"/>
    </row>
    <row r="1019" ht="15.75" customHeight="1">
      <c r="A1019" s="784">
        <v>44790.0</v>
      </c>
      <c r="B1019" s="785" t="s">
        <v>6109</v>
      </c>
      <c r="C1019" s="786" t="s">
        <v>3642</v>
      </c>
      <c r="D1019" s="787" t="s">
        <v>5903</v>
      </c>
      <c r="E1019" s="788">
        <v>5000.0</v>
      </c>
      <c r="F1019" s="787" t="s">
        <v>6183</v>
      </c>
      <c r="G1019" s="787" t="s">
        <v>18</v>
      </c>
      <c r="H1019" s="787" t="s">
        <v>19</v>
      </c>
      <c r="I1019" s="787" t="s">
        <v>201</v>
      </c>
      <c r="J1019" s="789">
        <v>44645.0</v>
      </c>
      <c r="K1019" s="786" t="s">
        <v>3657</v>
      </c>
      <c r="L1019" s="754"/>
      <c r="M1019" s="754"/>
      <c r="N1019" s="754"/>
      <c r="O1019" s="754"/>
      <c r="P1019" s="754"/>
      <c r="Q1019" s="754"/>
      <c r="R1019" s="754"/>
      <c r="S1019" s="754"/>
      <c r="T1019" s="754"/>
      <c r="U1019" s="754"/>
      <c r="V1019" s="754"/>
      <c r="W1019" s="754"/>
      <c r="X1019" s="754"/>
      <c r="Y1019" s="754"/>
      <c r="Z1019" s="754"/>
      <c r="AA1019" s="754"/>
      <c r="AB1019" s="754"/>
      <c r="AC1019" s="754"/>
      <c r="AD1019" s="754"/>
      <c r="AE1019" s="754"/>
      <c r="AF1019" s="754"/>
      <c r="AG1019" s="754"/>
      <c r="AH1019" s="754"/>
      <c r="AI1019" s="754"/>
      <c r="AJ1019" s="754"/>
      <c r="AK1019" s="754"/>
      <c r="AL1019" s="754"/>
      <c r="AM1019" s="754"/>
      <c r="AN1019" s="754"/>
      <c r="AO1019" s="754"/>
      <c r="AP1019" s="754"/>
      <c r="AQ1019" s="754"/>
      <c r="AR1019" s="754"/>
      <c r="AS1019" s="754"/>
      <c r="AT1019" s="754"/>
      <c r="AU1019" s="754"/>
    </row>
    <row r="1020" ht="15.75" customHeight="1">
      <c r="A1020" s="784">
        <v>44791.0</v>
      </c>
      <c r="B1020" s="785" t="s">
        <v>6059</v>
      </c>
      <c r="C1020" s="786" t="s">
        <v>3642</v>
      </c>
      <c r="D1020" s="787" t="s">
        <v>5903</v>
      </c>
      <c r="E1020" s="788">
        <v>25000.0</v>
      </c>
      <c r="F1020" s="787" t="s">
        <v>3797</v>
      </c>
      <c r="G1020" s="787" t="s">
        <v>18</v>
      </c>
      <c r="H1020" s="787" t="s">
        <v>29</v>
      </c>
      <c r="I1020" s="787" t="s">
        <v>3798</v>
      </c>
      <c r="J1020" s="789">
        <v>44061.0</v>
      </c>
      <c r="K1020" s="786" t="s">
        <v>3651</v>
      </c>
      <c r="L1020" s="754"/>
      <c r="M1020" s="754"/>
      <c r="N1020" s="754"/>
      <c r="O1020" s="754"/>
      <c r="P1020" s="754"/>
      <c r="Q1020" s="754"/>
      <c r="R1020" s="754"/>
      <c r="S1020" s="754"/>
      <c r="T1020" s="754"/>
      <c r="U1020" s="754"/>
      <c r="V1020" s="754"/>
      <c r="W1020" s="754"/>
      <c r="X1020" s="754"/>
      <c r="Y1020" s="754"/>
      <c r="Z1020" s="754"/>
      <c r="AA1020" s="754"/>
      <c r="AB1020" s="754"/>
      <c r="AC1020" s="754"/>
      <c r="AD1020" s="754"/>
      <c r="AE1020" s="754"/>
      <c r="AF1020" s="754"/>
      <c r="AG1020" s="754"/>
      <c r="AH1020" s="754"/>
      <c r="AI1020" s="754"/>
      <c r="AJ1020" s="754"/>
      <c r="AK1020" s="754"/>
      <c r="AL1020" s="754"/>
      <c r="AM1020" s="754"/>
      <c r="AN1020" s="754"/>
      <c r="AO1020" s="754"/>
      <c r="AP1020" s="754"/>
      <c r="AQ1020" s="754"/>
      <c r="AR1020" s="754"/>
      <c r="AS1020" s="754"/>
      <c r="AT1020" s="754"/>
      <c r="AU1020" s="754"/>
    </row>
    <row r="1021" ht="15.75" customHeight="1">
      <c r="A1021" s="768">
        <v>44796.0</v>
      </c>
      <c r="B1021" s="800" t="s">
        <v>6185</v>
      </c>
      <c r="C1021" s="770" t="s">
        <v>3642</v>
      </c>
      <c r="D1021" s="745" t="s">
        <v>5902</v>
      </c>
      <c r="E1021" s="771">
        <v>835364.29</v>
      </c>
      <c r="F1021" s="745" t="s">
        <v>3956</v>
      </c>
      <c r="G1021" s="755" t="s">
        <v>18</v>
      </c>
      <c r="H1021" s="755" t="s">
        <v>19</v>
      </c>
      <c r="I1021" s="755" t="s">
        <v>20</v>
      </c>
      <c r="J1021" s="755">
        <v>44648.0</v>
      </c>
      <c r="K1021" s="755" t="s">
        <v>3651</v>
      </c>
      <c r="L1021" s="754"/>
      <c r="M1021" s="754"/>
      <c r="N1021" s="754"/>
      <c r="O1021" s="754"/>
      <c r="P1021" s="754"/>
      <c r="Q1021" s="754"/>
      <c r="R1021" s="754"/>
      <c r="S1021" s="754"/>
      <c r="T1021" s="754"/>
      <c r="U1021" s="754"/>
      <c r="V1021" s="754"/>
      <c r="W1021" s="754"/>
      <c r="X1021" s="754"/>
      <c r="Y1021" s="754"/>
      <c r="Z1021" s="754"/>
      <c r="AA1021" s="754"/>
      <c r="AB1021" s="754"/>
      <c r="AC1021" s="754"/>
      <c r="AD1021" s="754"/>
      <c r="AE1021" s="754"/>
      <c r="AF1021" s="754"/>
      <c r="AG1021" s="754"/>
      <c r="AH1021" s="754"/>
      <c r="AI1021" s="754"/>
      <c r="AJ1021" s="754"/>
      <c r="AK1021" s="754"/>
      <c r="AL1021" s="754"/>
      <c r="AM1021" s="754"/>
      <c r="AN1021" s="754"/>
      <c r="AO1021" s="754"/>
      <c r="AP1021" s="754"/>
      <c r="AQ1021" s="754"/>
      <c r="AR1021" s="754"/>
      <c r="AS1021" s="754"/>
      <c r="AT1021" s="754"/>
      <c r="AU1021" s="754"/>
    </row>
    <row r="1022" ht="15.75" customHeight="1">
      <c r="A1022" s="768">
        <v>44796.0</v>
      </c>
      <c r="B1022" s="800" t="s">
        <v>6186</v>
      </c>
      <c r="C1022" s="770" t="s">
        <v>3642</v>
      </c>
      <c r="D1022" s="745" t="s">
        <v>5902</v>
      </c>
      <c r="E1022" s="771">
        <v>1652454.72</v>
      </c>
      <c r="F1022" s="745" t="s">
        <v>3956</v>
      </c>
      <c r="G1022" s="755" t="s">
        <v>18</v>
      </c>
      <c r="H1022" s="755" t="s">
        <v>19</v>
      </c>
      <c r="I1022" s="755" t="s">
        <v>20</v>
      </c>
      <c r="J1022" s="755">
        <v>44648.0</v>
      </c>
      <c r="K1022" s="755" t="s">
        <v>3651</v>
      </c>
      <c r="L1022" s="754"/>
      <c r="M1022" s="754"/>
      <c r="N1022" s="754"/>
      <c r="O1022" s="754"/>
      <c r="P1022" s="754"/>
      <c r="Q1022" s="754"/>
      <c r="R1022" s="754"/>
      <c r="S1022" s="754"/>
      <c r="T1022" s="754"/>
      <c r="U1022" s="754"/>
      <c r="V1022" s="754"/>
      <c r="W1022" s="754"/>
      <c r="X1022" s="754"/>
      <c r="Y1022" s="754"/>
      <c r="Z1022" s="754"/>
      <c r="AA1022" s="754"/>
      <c r="AB1022" s="754"/>
      <c r="AC1022" s="754"/>
      <c r="AD1022" s="754"/>
      <c r="AE1022" s="754"/>
      <c r="AF1022" s="754"/>
      <c r="AG1022" s="754"/>
      <c r="AH1022" s="754"/>
      <c r="AI1022" s="754"/>
      <c r="AJ1022" s="754"/>
      <c r="AK1022" s="754"/>
      <c r="AL1022" s="754"/>
      <c r="AM1022" s="754"/>
      <c r="AN1022" s="754"/>
      <c r="AO1022" s="754"/>
      <c r="AP1022" s="754"/>
      <c r="AQ1022" s="754"/>
      <c r="AR1022" s="754"/>
      <c r="AS1022" s="754"/>
      <c r="AT1022" s="754"/>
      <c r="AU1022" s="754"/>
    </row>
    <row r="1023" ht="15.75" customHeight="1">
      <c r="A1023" s="768">
        <v>44796.0</v>
      </c>
      <c r="B1023" s="800" t="s">
        <v>6187</v>
      </c>
      <c r="C1023" s="770" t="s">
        <v>3642</v>
      </c>
      <c r="D1023" s="745" t="s">
        <v>5903</v>
      </c>
      <c r="E1023" s="771">
        <v>10000.0</v>
      </c>
      <c r="F1023" s="745" t="s">
        <v>4541</v>
      </c>
      <c r="G1023" s="755" t="s">
        <v>18</v>
      </c>
      <c r="H1023" s="755" t="s">
        <v>19</v>
      </c>
      <c r="I1023" s="755" t="s">
        <v>6188</v>
      </c>
      <c r="J1023" s="755"/>
      <c r="K1023" s="755"/>
      <c r="L1023" s="754"/>
      <c r="M1023" s="754"/>
      <c r="N1023" s="754"/>
      <c r="O1023" s="754"/>
      <c r="P1023" s="754"/>
      <c r="Q1023" s="754"/>
      <c r="R1023" s="754"/>
      <c r="S1023" s="754"/>
      <c r="T1023" s="754"/>
      <c r="U1023" s="754"/>
      <c r="V1023" s="754"/>
      <c r="W1023" s="754"/>
      <c r="X1023" s="754"/>
      <c r="Y1023" s="754"/>
      <c r="Z1023" s="754"/>
      <c r="AA1023" s="754"/>
      <c r="AB1023" s="754"/>
      <c r="AC1023" s="754"/>
      <c r="AD1023" s="754"/>
      <c r="AE1023" s="754"/>
      <c r="AF1023" s="754"/>
      <c r="AG1023" s="754"/>
      <c r="AH1023" s="754"/>
      <c r="AI1023" s="754"/>
      <c r="AJ1023" s="754"/>
      <c r="AK1023" s="754"/>
      <c r="AL1023" s="754"/>
      <c r="AM1023" s="754"/>
      <c r="AN1023" s="754"/>
      <c r="AO1023" s="754"/>
      <c r="AP1023" s="754"/>
      <c r="AQ1023" s="754"/>
      <c r="AR1023" s="754"/>
      <c r="AS1023" s="754"/>
      <c r="AT1023" s="754"/>
      <c r="AU1023" s="754"/>
    </row>
    <row r="1024" ht="15.75" customHeight="1">
      <c r="A1024" s="768">
        <v>44803.0</v>
      </c>
      <c r="B1024" s="800" t="s">
        <v>6189</v>
      </c>
      <c r="C1024" s="770" t="s">
        <v>3642</v>
      </c>
      <c r="D1024" s="745" t="s">
        <v>5902</v>
      </c>
      <c r="E1024" s="771">
        <v>352012.79</v>
      </c>
      <c r="F1024" s="745" t="s">
        <v>3960</v>
      </c>
      <c r="G1024" s="755" t="s">
        <v>86</v>
      </c>
      <c r="H1024" s="755" t="s">
        <v>29</v>
      </c>
      <c r="I1024" s="755" t="s">
        <v>3910</v>
      </c>
      <c r="J1024" s="755">
        <v>44186.0</v>
      </c>
      <c r="K1024" s="755" t="s">
        <v>3660</v>
      </c>
      <c r="L1024" s="754"/>
      <c r="M1024" s="754"/>
      <c r="N1024" s="754"/>
      <c r="O1024" s="754"/>
      <c r="P1024" s="754"/>
      <c r="Q1024" s="754"/>
      <c r="R1024" s="754"/>
      <c r="S1024" s="754"/>
      <c r="T1024" s="754"/>
      <c r="U1024" s="754"/>
      <c r="V1024" s="754"/>
      <c r="W1024" s="754"/>
      <c r="X1024" s="754"/>
      <c r="Y1024" s="754"/>
      <c r="Z1024" s="754"/>
      <c r="AA1024" s="754"/>
      <c r="AB1024" s="754"/>
      <c r="AC1024" s="754"/>
      <c r="AD1024" s="754"/>
      <c r="AE1024" s="754"/>
      <c r="AF1024" s="754"/>
      <c r="AG1024" s="754"/>
      <c r="AH1024" s="754"/>
      <c r="AI1024" s="754"/>
      <c r="AJ1024" s="754"/>
      <c r="AK1024" s="754"/>
      <c r="AL1024" s="754"/>
      <c r="AM1024" s="754"/>
      <c r="AN1024" s="754"/>
      <c r="AO1024" s="754"/>
      <c r="AP1024" s="754"/>
      <c r="AQ1024" s="754"/>
      <c r="AR1024" s="754"/>
      <c r="AS1024" s="754"/>
      <c r="AT1024" s="754"/>
      <c r="AU1024" s="754"/>
    </row>
    <row r="1025" ht="15.75" customHeight="1">
      <c r="A1025" s="768">
        <v>44803.0</v>
      </c>
      <c r="B1025" s="800" t="s">
        <v>6190</v>
      </c>
      <c r="C1025" s="770" t="s">
        <v>3642</v>
      </c>
      <c r="D1025" s="745" t="s">
        <v>5902</v>
      </c>
      <c r="E1025" s="771">
        <v>130273.59</v>
      </c>
      <c r="F1025" s="745" t="s">
        <v>4131</v>
      </c>
      <c r="G1025" s="755" t="s">
        <v>86</v>
      </c>
      <c r="H1025" s="755" t="s">
        <v>29</v>
      </c>
      <c r="I1025" s="755" t="s">
        <v>3486</v>
      </c>
      <c r="J1025" s="755">
        <v>44211.0</v>
      </c>
      <c r="K1025" s="755" t="s">
        <v>3651</v>
      </c>
      <c r="L1025" s="754"/>
      <c r="M1025" s="754"/>
      <c r="N1025" s="754"/>
      <c r="O1025" s="754"/>
      <c r="P1025" s="754"/>
      <c r="Q1025" s="754"/>
      <c r="R1025" s="754"/>
      <c r="S1025" s="754"/>
      <c r="T1025" s="754"/>
      <c r="U1025" s="754"/>
      <c r="V1025" s="754"/>
      <c r="W1025" s="754"/>
      <c r="X1025" s="754"/>
      <c r="Y1025" s="754"/>
      <c r="Z1025" s="754"/>
      <c r="AA1025" s="754"/>
      <c r="AB1025" s="754"/>
      <c r="AC1025" s="754"/>
      <c r="AD1025" s="754"/>
      <c r="AE1025" s="754"/>
      <c r="AF1025" s="754"/>
      <c r="AG1025" s="754"/>
      <c r="AH1025" s="754"/>
      <c r="AI1025" s="754"/>
      <c r="AJ1025" s="754"/>
      <c r="AK1025" s="754"/>
      <c r="AL1025" s="754"/>
      <c r="AM1025" s="754"/>
      <c r="AN1025" s="754"/>
      <c r="AO1025" s="754"/>
      <c r="AP1025" s="754"/>
      <c r="AQ1025" s="754"/>
      <c r="AR1025" s="754"/>
      <c r="AS1025" s="754"/>
      <c r="AT1025" s="754"/>
      <c r="AU1025" s="754"/>
    </row>
    <row r="1026" ht="15.75" customHeight="1">
      <c r="A1026" s="768">
        <v>44803.0</v>
      </c>
      <c r="B1026" s="800" t="s">
        <v>6191</v>
      </c>
      <c r="C1026" s="770" t="s">
        <v>3642</v>
      </c>
      <c r="D1026" s="745" t="s">
        <v>5903</v>
      </c>
      <c r="E1026" s="771">
        <v>10000.0</v>
      </c>
      <c r="F1026" s="745" t="s">
        <v>3924</v>
      </c>
      <c r="G1026" s="755" t="s">
        <v>18</v>
      </c>
      <c r="H1026" s="755" t="s">
        <v>19</v>
      </c>
      <c r="I1026" s="755" t="s">
        <v>20</v>
      </c>
      <c r="J1026" s="755">
        <v>44762.0</v>
      </c>
      <c r="K1026" s="755" t="s">
        <v>3660</v>
      </c>
      <c r="L1026" s="754"/>
      <c r="M1026" s="754"/>
      <c r="N1026" s="754"/>
      <c r="O1026" s="754"/>
      <c r="P1026" s="754"/>
      <c r="Q1026" s="754"/>
      <c r="R1026" s="754"/>
      <c r="S1026" s="754"/>
      <c r="T1026" s="754"/>
      <c r="U1026" s="754"/>
      <c r="V1026" s="754"/>
      <c r="W1026" s="754"/>
      <c r="X1026" s="754"/>
      <c r="Y1026" s="754"/>
      <c r="Z1026" s="754"/>
      <c r="AA1026" s="754"/>
      <c r="AB1026" s="754"/>
      <c r="AC1026" s="754"/>
      <c r="AD1026" s="754"/>
      <c r="AE1026" s="754"/>
      <c r="AF1026" s="754"/>
      <c r="AG1026" s="754"/>
      <c r="AH1026" s="754"/>
      <c r="AI1026" s="754"/>
      <c r="AJ1026" s="754"/>
      <c r="AK1026" s="754"/>
      <c r="AL1026" s="754"/>
      <c r="AM1026" s="754"/>
      <c r="AN1026" s="754"/>
      <c r="AO1026" s="754"/>
      <c r="AP1026" s="754"/>
      <c r="AQ1026" s="754"/>
      <c r="AR1026" s="754"/>
      <c r="AS1026" s="754"/>
      <c r="AT1026" s="754"/>
      <c r="AU1026" s="754"/>
    </row>
    <row r="1027" ht="15.75" customHeight="1">
      <c r="A1027" s="768">
        <v>44806.0</v>
      </c>
      <c r="B1027" s="800" t="s">
        <v>5950</v>
      </c>
      <c r="C1027" s="770" t="s">
        <v>3642</v>
      </c>
      <c r="D1027" s="745" t="s">
        <v>5902</v>
      </c>
      <c r="E1027" s="771">
        <v>41167.95</v>
      </c>
      <c r="F1027" s="745" t="s">
        <v>3873</v>
      </c>
      <c r="G1027" s="755" t="s">
        <v>86</v>
      </c>
      <c r="H1027" s="755" t="s">
        <v>29</v>
      </c>
      <c r="I1027" s="755" t="s">
        <v>3486</v>
      </c>
      <c r="J1027" s="755">
        <v>44160.0</v>
      </c>
      <c r="K1027" s="755"/>
      <c r="L1027" s="754"/>
      <c r="M1027" s="754"/>
      <c r="N1027" s="754"/>
      <c r="O1027" s="754"/>
      <c r="P1027" s="754"/>
      <c r="Q1027" s="754"/>
      <c r="R1027" s="754"/>
      <c r="S1027" s="754"/>
      <c r="T1027" s="754"/>
      <c r="U1027" s="754"/>
      <c r="V1027" s="754"/>
      <c r="W1027" s="754"/>
      <c r="X1027" s="754"/>
      <c r="Y1027" s="754"/>
      <c r="Z1027" s="754"/>
      <c r="AA1027" s="754"/>
      <c r="AB1027" s="754"/>
      <c r="AC1027" s="754"/>
      <c r="AD1027" s="754"/>
      <c r="AE1027" s="754"/>
      <c r="AF1027" s="754"/>
      <c r="AG1027" s="754"/>
      <c r="AH1027" s="754"/>
      <c r="AI1027" s="754"/>
      <c r="AJ1027" s="754"/>
      <c r="AK1027" s="754"/>
      <c r="AL1027" s="754"/>
      <c r="AM1027" s="754"/>
      <c r="AN1027" s="754"/>
      <c r="AO1027" s="754"/>
      <c r="AP1027" s="754"/>
      <c r="AQ1027" s="754"/>
      <c r="AR1027" s="754"/>
      <c r="AS1027" s="754"/>
      <c r="AT1027" s="754"/>
      <c r="AU1027" s="754"/>
    </row>
    <row r="1028" ht="15.75" customHeight="1">
      <c r="A1028" s="768">
        <v>44810.0</v>
      </c>
      <c r="B1028" s="800" t="s">
        <v>6191</v>
      </c>
      <c r="C1028" s="770" t="s">
        <v>3642</v>
      </c>
      <c r="D1028" s="745" t="s">
        <v>5903</v>
      </c>
      <c r="E1028" s="771">
        <v>10000.0</v>
      </c>
      <c r="F1028" s="745" t="s">
        <v>3924</v>
      </c>
      <c r="G1028" s="755" t="s">
        <v>18</v>
      </c>
      <c r="H1028" s="755" t="s">
        <v>19</v>
      </c>
      <c r="I1028" s="755" t="s">
        <v>20</v>
      </c>
      <c r="J1028" s="755">
        <v>44762.0</v>
      </c>
      <c r="K1028" s="755" t="s">
        <v>3660</v>
      </c>
      <c r="L1028" s="754"/>
      <c r="M1028" s="754"/>
      <c r="N1028" s="754"/>
      <c r="O1028" s="754"/>
      <c r="P1028" s="754"/>
      <c r="Q1028" s="754"/>
      <c r="R1028" s="754"/>
      <c r="S1028" s="754"/>
      <c r="T1028" s="754"/>
      <c r="U1028" s="754"/>
      <c r="V1028" s="754"/>
      <c r="W1028" s="754"/>
      <c r="X1028" s="754"/>
      <c r="Y1028" s="754"/>
      <c r="Z1028" s="754"/>
      <c r="AA1028" s="754"/>
      <c r="AB1028" s="754"/>
      <c r="AC1028" s="754"/>
      <c r="AD1028" s="754"/>
      <c r="AE1028" s="754"/>
      <c r="AF1028" s="754"/>
      <c r="AG1028" s="754"/>
      <c r="AH1028" s="754"/>
      <c r="AI1028" s="754"/>
      <c r="AJ1028" s="754"/>
      <c r="AK1028" s="754"/>
      <c r="AL1028" s="754"/>
      <c r="AM1028" s="754"/>
      <c r="AN1028" s="754"/>
      <c r="AO1028" s="754"/>
      <c r="AP1028" s="754"/>
      <c r="AQ1028" s="754"/>
      <c r="AR1028" s="754"/>
      <c r="AS1028" s="754"/>
      <c r="AT1028" s="754"/>
      <c r="AU1028" s="754"/>
    </row>
    <row r="1029" ht="15.75" customHeight="1">
      <c r="A1029" s="768">
        <v>44810.0</v>
      </c>
      <c r="B1029" s="800" t="s">
        <v>6192</v>
      </c>
      <c r="C1029" s="770" t="s">
        <v>3642</v>
      </c>
      <c r="D1029" s="745" t="s">
        <v>5903</v>
      </c>
      <c r="E1029" s="771">
        <v>4000.0</v>
      </c>
      <c r="F1029" s="745" t="s">
        <v>3893</v>
      </c>
      <c r="G1029" s="755" t="s">
        <v>18</v>
      </c>
      <c r="H1029" s="755" t="s">
        <v>19</v>
      </c>
      <c r="I1029" s="755" t="s">
        <v>230</v>
      </c>
      <c r="J1029" s="755">
        <v>44497.0</v>
      </c>
      <c r="K1029" s="755" t="s">
        <v>3660</v>
      </c>
      <c r="L1029" s="754"/>
      <c r="M1029" s="754"/>
      <c r="N1029" s="754"/>
      <c r="O1029" s="754"/>
      <c r="P1029" s="754"/>
      <c r="Q1029" s="754"/>
      <c r="R1029" s="754"/>
      <c r="S1029" s="754"/>
      <c r="T1029" s="754"/>
      <c r="U1029" s="754"/>
      <c r="V1029" s="754"/>
      <c r="W1029" s="754"/>
      <c r="X1029" s="754"/>
      <c r="Y1029" s="754"/>
      <c r="Z1029" s="754"/>
      <c r="AA1029" s="754"/>
      <c r="AB1029" s="754"/>
      <c r="AC1029" s="754"/>
      <c r="AD1029" s="754"/>
      <c r="AE1029" s="754"/>
      <c r="AF1029" s="754"/>
      <c r="AG1029" s="754"/>
      <c r="AH1029" s="754"/>
      <c r="AI1029" s="754"/>
      <c r="AJ1029" s="754"/>
      <c r="AK1029" s="754"/>
      <c r="AL1029" s="754"/>
      <c r="AM1029" s="754"/>
      <c r="AN1029" s="754"/>
      <c r="AO1029" s="754"/>
      <c r="AP1029" s="754"/>
      <c r="AQ1029" s="754"/>
      <c r="AR1029" s="754"/>
      <c r="AS1029" s="754"/>
      <c r="AT1029" s="754"/>
      <c r="AU1029" s="754"/>
    </row>
    <row r="1030" ht="15.75" customHeight="1">
      <c r="A1030" s="768">
        <v>44810.0</v>
      </c>
      <c r="B1030" s="800" t="s">
        <v>6193</v>
      </c>
      <c r="C1030" s="770" t="s">
        <v>3642</v>
      </c>
      <c r="D1030" s="745" t="s">
        <v>5902</v>
      </c>
      <c r="E1030" s="771">
        <v>160322.21</v>
      </c>
      <c r="F1030" s="745" t="s">
        <v>4619</v>
      </c>
      <c r="G1030" s="755" t="s">
        <v>18</v>
      </c>
      <c r="H1030" s="755" t="s">
        <v>19</v>
      </c>
      <c r="I1030" s="755" t="s">
        <v>3978</v>
      </c>
      <c r="J1030" s="755">
        <v>44487.0</v>
      </c>
      <c r="K1030" s="755" t="s">
        <v>3651</v>
      </c>
      <c r="L1030" s="754"/>
      <c r="M1030" s="754"/>
      <c r="N1030" s="754"/>
      <c r="O1030" s="754"/>
      <c r="P1030" s="754"/>
      <c r="Q1030" s="754"/>
      <c r="R1030" s="754"/>
      <c r="S1030" s="754"/>
      <c r="T1030" s="754"/>
      <c r="U1030" s="754"/>
      <c r="V1030" s="754"/>
      <c r="W1030" s="754"/>
      <c r="X1030" s="754"/>
      <c r="Y1030" s="754"/>
      <c r="Z1030" s="754"/>
      <c r="AA1030" s="754"/>
      <c r="AB1030" s="754"/>
      <c r="AC1030" s="754"/>
      <c r="AD1030" s="754"/>
      <c r="AE1030" s="754"/>
      <c r="AF1030" s="754"/>
      <c r="AG1030" s="754"/>
      <c r="AH1030" s="754"/>
      <c r="AI1030" s="754"/>
      <c r="AJ1030" s="754"/>
      <c r="AK1030" s="754"/>
      <c r="AL1030" s="754"/>
      <c r="AM1030" s="754"/>
      <c r="AN1030" s="754"/>
      <c r="AO1030" s="754"/>
      <c r="AP1030" s="754"/>
      <c r="AQ1030" s="754"/>
      <c r="AR1030" s="754"/>
      <c r="AS1030" s="754"/>
      <c r="AT1030" s="754"/>
      <c r="AU1030" s="754"/>
    </row>
    <row r="1031" ht="15.75" customHeight="1">
      <c r="A1031" s="768">
        <v>44812.0</v>
      </c>
      <c r="B1031" s="800" t="s">
        <v>6194</v>
      </c>
      <c r="C1031" s="770" t="s">
        <v>3642</v>
      </c>
      <c r="D1031" s="745" t="s">
        <v>5903</v>
      </c>
      <c r="E1031" s="771">
        <v>96000.0</v>
      </c>
      <c r="F1031" s="745" t="s">
        <v>4697</v>
      </c>
      <c r="G1031" s="755" t="s">
        <v>18</v>
      </c>
      <c r="H1031" s="755" t="s">
        <v>19</v>
      </c>
      <c r="I1031" s="755" t="s">
        <v>52</v>
      </c>
      <c r="J1031" s="755">
        <v>44698.0</v>
      </c>
      <c r="K1031" s="755" t="s">
        <v>3664</v>
      </c>
      <c r="L1031" s="754"/>
      <c r="M1031" s="754"/>
      <c r="N1031" s="754"/>
      <c r="O1031" s="754"/>
      <c r="P1031" s="754"/>
      <c r="Q1031" s="754"/>
      <c r="R1031" s="754"/>
      <c r="S1031" s="754"/>
      <c r="T1031" s="754"/>
      <c r="U1031" s="754"/>
      <c r="V1031" s="754"/>
      <c r="W1031" s="754"/>
      <c r="X1031" s="754"/>
      <c r="Y1031" s="754"/>
      <c r="Z1031" s="754"/>
      <c r="AA1031" s="754"/>
      <c r="AB1031" s="754"/>
      <c r="AC1031" s="754"/>
      <c r="AD1031" s="754"/>
      <c r="AE1031" s="754"/>
      <c r="AF1031" s="754"/>
      <c r="AG1031" s="754"/>
      <c r="AH1031" s="754"/>
      <c r="AI1031" s="754"/>
      <c r="AJ1031" s="754"/>
      <c r="AK1031" s="754"/>
      <c r="AL1031" s="754"/>
      <c r="AM1031" s="754"/>
      <c r="AN1031" s="754"/>
      <c r="AO1031" s="754"/>
      <c r="AP1031" s="754"/>
      <c r="AQ1031" s="754"/>
      <c r="AR1031" s="754"/>
      <c r="AS1031" s="754"/>
      <c r="AT1031" s="754"/>
      <c r="AU1031" s="754"/>
    </row>
    <row r="1032" ht="15.75" customHeight="1">
      <c r="A1032" s="768">
        <v>44812.0</v>
      </c>
      <c r="B1032" s="800" t="s">
        <v>6195</v>
      </c>
      <c r="C1032" s="770" t="s">
        <v>3642</v>
      </c>
      <c r="D1032" s="745" t="s">
        <v>5902</v>
      </c>
      <c r="E1032" s="771">
        <v>217697.33</v>
      </c>
      <c r="F1032" s="745" t="s">
        <v>5177</v>
      </c>
      <c r="G1032" s="755" t="s">
        <v>18</v>
      </c>
      <c r="H1032" s="755" t="s">
        <v>19</v>
      </c>
      <c r="I1032" s="755" t="s">
        <v>3978</v>
      </c>
      <c r="J1032" s="755">
        <v>44426.0</v>
      </c>
      <c r="K1032" s="755" t="s">
        <v>3660</v>
      </c>
      <c r="L1032" s="754"/>
      <c r="M1032" s="754"/>
      <c r="N1032" s="754"/>
      <c r="O1032" s="754"/>
      <c r="P1032" s="754"/>
      <c r="Q1032" s="754"/>
      <c r="R1032" s="754"/>
      <c r="S1032" s="754"/>
      <c r="T1032" s="754"/>
      <c r="U1032" s="754"/>
      <c r="V1032" s="754"/>
      <c r="W1032" s="754"/>
      <c r="X1032" s="754"/>
      <c r="Y1032" s="754"/>
      <c r="Z1032" s="754"/>
      <c r="AA1032" s="754"/>
      <c r="AB1032" s="754"/>
      <c r="AC1032" s="754"/>
      <c r="AD1032" s="754"/>
      <c r="AE1032" s="754"/>
      <c r="AF1032" s="754"/>
      <c r="AG1032" s="754"/>
      <c r="AH1032" s="754"/>
      <c r="AI1032" s="754"/>
      <c r="AJ1032" s="754"/>
      <c r="AK1032" s="754"/>
      <c r="AL1032" s="754"/>
      <c r="AM1032" s="754"/>
      <c r="AN1032" s="754"/>
      <c r="AO1032" s="754"/>
      <c r="AP1032" s="754"/>
      <c r="AQ1032" s="754"/>
      <c r="AR1032" s="754"/>
      <c r="AS1032" s="754"/>
      <c r="AT1032" s="754"/>
      <c r="AU1032" s="754"/>
    </row>
    <row r="1033" ht="15.75" customHeight="1">
      <c r="A1033" s="768">
        <v>44812.0</v>
      </c>
      <c r="B1033" s="800" t="s">
        <v>2511</v>
      </c>
      <c r="C1033" s="770" t="s">
        <v>2376</v>
      </c>
      <c r="D1033" s="745" t="s">
        <v>5902</v>
      </c>
      <c r="E1033" s="771">
        <v>865757.17</v>
      </c>
      <c r="F1033" s="745" t="s">
        <v>2510</v>
      </c>
      <c r="G1033" s="755" t="s">
        <v>18</v>
      </c>
      <c r="H1033" s="755" t="s">
        <v>145</v>
      </c>
      <c r="I1033" s="755" t="s">
        <v>2464</v>
      </c>
      <c r="J1033" s="755">
        <v>44263.0</v>
      </c>
      <c r="K1033" s="755" t="s">
        <v>3657</v>
      </c>
      <c r="L1033" s="754"/>
      <c r="M1033" s="754"/>
      <c r="N1033" s="754"/>
      <c r="O1033" s="754"/>
      <c r="P1033" s="754"/>
      <c r="Q1033" s="754"/>
      <c r="R1033" s="754"/>
      <c r="S1033" s="754"/>
      <c r="T1033" s="754"/>
      <c r="U1033" s="754"/>
      <c r="V1033" s="754"/>
      <c r="W1033" s="754"/>
      <c r="X1033" s="754"/>
      <c r="Y1033" s="754"/>
      <c r="Z1033" s="754"/>
      <c r="AA1033" s="754"/>
      <c r="AB1033" s="754"/>
      <c r="AC1033" s="754"/>
      <c r="AD1033" s="754"/>
      <c r="AE1033" s="754"/>
      <c r="AF1033" s="754"/>
      <c r="AG1033" s="754"/>
      <c r="AH1033" s="754"/>
      <c r="AI1033" s="754"/>
      <c r="AJ1033" s="754"/>
      <c r="AK1033" s="754"/>
      <c r="AL1033" s="754"/>
      <c r="AM1033" s="754"/>
      <c r="AN1033" s="754"/>
      <c r="AO1033" s="754"/>
      <c r="AP1033" s="754"/>
      <c r="AQ1033" s="754"/>
      <c r="AR1033" s="754"/>
      <c r="AS1033" s="754"/>
      <c r="AT1033" s="754"/>
      <c r="AU1033" s="754"/>
    </row>
    <row r="1034" ht="15.75" customHeight="1">
      <c r="A1034" s="768">
        <v>44816.0</v>
      </c>
      <c r="B1034" s="800" t="s">
        <v>6196</v>
      </c>
      <c r="C1034" s="770" t="s">
        <v>3642</v>
      </c>
      <c r="D1034" s="745" t="s">
        <v>5902</v>
      </c>
      <c r="E1034" s="771">
        <v>662610.46</v>
      </c>
      <c r="F1034" s="745" t="s">
        <v>4718</v>
      </c>
      <c r="G1034" s="755" t="s">
        <v>18</v>
      </c>
      <c r="H1034" s="755" t="s">
        <v>19</v>
      </c>
      <c r="I1034" s="755" t="s">
        <v>3978</v>
      </c>
      <c r="J1034" s="755">
        <v>44517.0</v>
      </c>
      <c r="K1034" s="745" t="s">
        <v>3693</v>
      </c>
      <c r="L1034" s="754"/>
      <c r="M1034" s="754"/>
      <c r="N1034" s="754"/>
      <c r="O1034" s="754"/>
      <c r="P1034" s="754"/>
      <c r="Q1034" s="754"/>
      <c r="R1034" s="754"/>
      <c r="S1034" s="754"/>
      <c r="T1034" s="754"/>
      <c r="U1034" s="754"/>
      <c r="V1034" s="754"/>
      <c r="W1034" s="754"/>
      <c r="X1034" s="754"/>
      <c r="Y1034" s="754"/>
      <c r="Z1034" s="754"/>
      <c r="AA1034" s="754"/>
      <c r="AB1034" s="754"/>
      <c r="AC1034" s="754"/>
      <c r="AD1034" s="754"/>
      <c r="AE1034" s="754"/>
      <c r="AF1034" s="754"/>
      <c r="AG1034" s="754"/>
      <c r="AH1034" s="754"/>
      <c r="AI1034" s="754"/>
      <c r="AJ1034" s="754"/>
      <c r="AK1034" s="754"/>
      <c r="AL1034" s="754"/>
      <c r="AM1034" s="754"/>
      <c r="AN1034" s="754"/>
      <c r="AO1034" s="754"/>
      <c r="AP1034" s="754"/>
      <c r="AQ1034" s="754"/>
      <c r="AR1034" s="754"/>
      <c r="AS1034" s="754"/>
      <c r="AT1034" s="754"/>
      <c r="AU1034" s="754"/>
    </row>
    <row r="1035" ht="15.75" customHeight="1">
      <c r="A1035" s="768">
        <v>44816.0</v>
      </c>
      <c r="B1035" s="800" t="s">
        <v>6197</v>
      </c>
      <c r="C1035" s="770" t="s">
        <v>3642</v>
      </c>
      <c r="D1035" s="745" t="s">
        <v>5903</v>
      </c>
      <c r="E1035" s="771">
        <v>17000.0</v>
      </c>
      <c r="F1035" s="745" t="s">
        <v>5139</v>
      </c>
      <c r="G1035" s="755" t="s">
        <v>86</v>
      </c>
      <c r="H1035" s="755" t="s">
        <v>29</v>
      </c>
      <c r="I1035" s="755" t="s">
        <v>3913</v>
      </c>
      <c r="J1035" s="755">
        <v>44147.0</v>
      </c>
      <c r="K1035" s="755" t="s">
        <v>3664</v>
      </c>
      <c r="L1035" s="754"/>
      <c r="M1035" s="754"/>
      <c r="N1035" s="754"/>
      <c r="O1035" s="754"/>
      <c r="P1035" s="754"/>
      <c r="Q1035" s="754"/>
      <c r="R1035" s="754"/>
      <c r="S1035" s="754"/>
      <c r="T1035" s="754"/>
      <c r="U1035" s="754"/>
      <c r="V1035" s="754"/>
      <c r="W1035" s="754"/>
      <c r="X1035" s="754"/>
      <c r="Y1035" s="754"/>
      <c r="Z1035" s="754"/>
      <c r="AA1035" s="754"/>
      <c r="AB1035" s="754"/>
      <c r="AC1035" s="754"/>
      <c r="AD1035" s="754"/>
      <c r="AE1035" s="754"/>
      <c r="AF1035" s="754"/>
      <c r="AG1035" s="754"/>
      <c r="AH1035" s="754"/>
      <c r="AI1035" s="754"/>
      <c r="AJ1035" s="754"/>
      <c r="AK1035" s="754"/>
      <c r="AL1035" s="754"/>
      <c r="AM1035" s="754"/>
      <c r="AN1035" s="754"/>
      <c r="AO1035" s="754"/>
      <c r="AP1035" s="754"/>
      <c r="AQ1035" s="754"/>
      <c r="AR1035" s="754"/>
      <c r="AS1035" s="754"/>
      <c r="AT1035" s="754"/>
      <c r="AU1035" s="754"/>
    </row>
    <row r="1036" ht="15.75" customHeight="1">
      <c r="A1036" s="768">
        <v>44817.0</v>
      </c>
      <c r="B1036" s="800" t="s">
        <v>6143</v>
      </c>
      <c r="C1036" s="770" t="s">
        <v>3642</v>
      </c>
      <c r="D1036" s="745" t="s">
        <v>5903</v>
      </c>
      <c r="E1036" s="771">
        <v>20000.0</v>
      </c>
      <c r="F1036" s="745" t="s">
        <v>1170</v>
      </c>
      <c r="G1036" s="755" t="s">
        <v>86</v>
      </c>
      <c r="H1036" s="755" t="s">
        <v>29</v>
      </c>
      <c r="I1036" s="755" t="s">
        <v>3486</v>
      </c>
      <c r="J1036" s="755">
        <v>44138.0</v>
      </c>
      <c r="K1036" s="755" t="s">
        <v>3660</v>
      </c>
      <c r="L1036" s="754"/>
      <c r="M1036" s="754"/>
      <c r="N1036" s="754"/>
      <c r="O1036" s="754"/>
      <c r="P1036" s="754"/>
      <c r="Q1036" s="754"/>
      <c r="R1036" s="754"/>
      <c r="S1036" s="754"/>
      <c r="T1036" s="754"/>
      <c r="U1036" s="754"/>
      <c r="V1036" s="754"/>
      <c r="W1036" s="754"/>
      <c r="X1036" s="754"/>
      <c r="Y1036" s="754"/>
      <c r="Z1036" s="754"/>
      <c r="AA1036" s="754"/>
      <c r="AB1036" s="754"/>
      <c r="AC1036" s="754"/>
      <c r="AD1036" s="754"/>
      <c r="AE1036" s="754"/>
      <c r="AF1036" s="754"/>
      <c r="AG1036" s="754"/>
      <c r="AH1036" s="754"/>
      <c r="AI1036" s="754"/>
      <c r="AJ1036" s="754"/>
      <c r="AK1036" s="754"/>
      <c r="AL1036" s="754"/>
      <c r="AM1036" s="754"/>
      <c r="AN1036" s="754"/>
      <c r="AO1036" s="754"/>
      <c r="AP1036" s="754"/>
      <c r="AQ1036" s="754"/>
      <c r="AR1036" s="754"/>
      <c r="AS1036" s="754"/>
      <c r="AT1036" s="754"/>
      <c r="AU1036" s="754"/>
    </row>
    <row r="1037" ht="15.75" customHeight="1">
      <c r="A1037" s="768">
        <v>44817.0</v>
      </c>
      <c r="B1037" s="800" t="s">
        <v>6059</v>
      </c>
      <c r="C1037" s="770" t="s">
        <v>3642</v>
      </c>
      <c r="D1037" s="745" t="s">
        <v>5903</v>
      </c>
      <c r="E1037" s="771">
        <v>25000.0</v>
      </c>
      <c r="F1037" s="745" t="s">
        <v>3797</v>
      </c>
      <c r="G1037" s="755" t="s">
        <v>18</v>
      </c>
      <c r="H1037" s="755" t="s">
        <v>29</v>
      </c>
      <c r="I1037" s="755" t="s">
        <v>3798</v>
      </c>
      <c r="J1037" s="755">
        <v>44061.0</v>
      </c>
      <c r="K1037" s="755" t="s">
        <v>3651</v>
      </c>
      <c r="L1037" s="754"/>
      <c r="M1037" s="754"/>
      <c r="N1037" s="754"/>
      <c r="O1037" s="754"/>
      <c r="P1037" s="754"/>
      <c r="Q1037" s="754"/>
      <c r="R1037" s="754"/>
      <c r="S1037" s="754"/>
      <c r="T1037" s="754"/>
      <c r="U1037" s="754"/>
      <c r="V1037" s="754"/>
      <c r="W1037" s="754"/>
      <c r="X1037" s="754"/>
      <c r="Y1037" s="754"/>
      <c r="Z1037" s="754"/>
      <c r="AA1037" s="754"/>
      <c r="AB1037" s="754"/>
      <c r="AC1037" s="754"/>
      <c r="AD1037" s="754"/>
      <c r="AE1037" s="754"/>
      <c r="AF1037" s="754"/>
      <c r="AG1037" s="754"/>
      <c r="AH1037" s="754"/>
      <c r="AI1037" s="754"/>
      <c r="AJ1037" s="754"/>
      <c r="AK1037" s="754"/>
      <c r="AL1037" s="754"/>
      <c r="AM1037" s="754"/>
      <c r="AN1037" s="754"/>
      <c r="AO1037" s="754"/>
      <c r="AP1037" s="754"/>
      <c r="AQ1037" s="754"/>
      <c r="AR1037" s="754"/>
      <c r="AS1037" s="754"/>
      <c r="AT1037" s="754"/>
      <c r="AU1037" s="754"/>
    </row>
    <row r="1038" ht="15.75" customHeight="1">
      <c r="A1038" s="768">
        <v>44818.0</v>
      </c>
      <c r="B1038" s="800" t="s">
        <v>6198</v>
      </c>
      <c r="C1038" s="770" t="s">
        <v>3642</v>
      </c>
      <c r="D1038" s="745" t="s">
        <v>5902</v>
      </c>
      <c r="E1038" s="771">
        <v>384533.87</v>
      </c>
      <c r="F1038" s="745" t="s">
        <v>5121</v>
      </c>
      <c r="G1038" s="755" t="s">
        <v>18</v>
      </c>
      <c r="H1038" s="755" t="s">
        <v>19</v>
      </c>
      <c r="I1038" s="755" t="s">
        <v>3978</v>
      </c>
      <c r="J1038" s="755">
        <v>44421.0</v>
      </c>
      <c r="K1038" s="755" t="s">
        <v>3660</v>
      </c>
      <c r="L1038" s="754"/>
      <c r="M1038" s="754"/>
      <c r="N1038" s="754"/>
      <c r="O1038" s="754"/>
      <c r="P1038" s="754"/>
      <c r="Q1038" s="754"/>
      <c r="R1038" s="754"/>
      <c r="S1038" s="754"/>
      <c r="T1038" s="754"/>
      <c r="U1038" s="754"/>
      <c r="V1038" s="754"/>
      <c r="W1038" s="754"/>
      <c r="X1038" s="754"/>
      <c r="Y1038" s="754"/>
      <c r="Z1038" s="754"/>
      <c r="AA1038" s="754"/>
      <c r="AB1038" s="754"/>
      <c r="AC1038" s="754"/>
      <c r="AD1038" s="754"/>
      <c r="AE1038" s="754"/>
      <c r="AF1038" s="754"/>
      <c r="AG1038" s="754"/>
      <c r="AH1038" s="754"/>
      <c r="AI1038" s="754"/>
      <c r="AJ1038" s="754"/>
      <c r="AK1038" s="754"/>
      <c r="AL1038" s="754"/>
      <c r="AM1038" s="754"/>
      <c r="AN1038" s="754"/>
      <c r="AO1038" s="754"/>
      <c r="AP1038" s="754"/>
      <c r="AQ1038" s="754"/>
      <c r="AR1038" s="754"/>
      <c r="AS1038" s="754"/>
      <c r="AT1038" s="754"/>
      <c r="AU1038" s="754"/>
    </row>
    <row r="1039" ht="15.75" customHeight="1">
      <c r="A1039" s="768">
        <v>44819.0</v>
      </c>
      <c r="B1039" s="800" t="s">
        <v>6068</v>
      </c>
      <c r="C1039" s="770" t="s">
        <v>3642</v>
      </c>
      <c r="D1039" s="745" t="s">
        <v>5903</v>
      </c>
      <c r="E1039" s="771">
        <v>30000.0</v>
      </c>
      <c r="F1039" s="745" t="s">
        <v>1426</v>
      </c>
      <c r="G1039" s="755" t="s">
        <v>18</v>
      </c>
      <c r="H1039" s="755" t="s">
        <v>29</v>
      </c>
      <c r="I1039" s="755" t="s">
        <v>5895</v>
      </c>
      <c r="J1039" s="755">
        <v>44594.0</v>
      </c>
      <c r="K1039" s="755" t="s">
        <v>3657</v>
      </c>
      <c r="L1039" s="754"/>
      <c r="M1039" s="754"/>
      <c r="N1039" s="754"/>
      <c r="O1039" s="754"/>
      <c r="P1039" s="754"/>
      <c r="Q1039" s="754"/>
      <c r="R1039" s="754"/>
      <c r="S1039" s="754"/>
      <c r="T1039" s="754"/>
      <c r="U1039" s="754"/>
      <c r="V1039" s="754"/>
      <c r="W1039" s="754"/>
      <c r="X1039" s="754"/>
      <c r="Y1039" s="754"/>
      <c r="Z1039" s="754"/>
      <c r="AA1039" s="754"/>
      <c r="AB1039" s="754"/>
      <c r="AC1039" s="754"/>
      <c r="AD1039" s="754"/>
      <c r="AE1039" s="754"/>
      <c r="AF1039" s="754"/>
      <c r="AG1039" s="754"/>
      <c r="AH1039" s="754"/>
      <c r="AI1039" s="754"/>
      <c r="AJ1039" s="754"/>
      <c r="AK1039" s="754"/>
      <c r="AL1039" s="754"/>
      <c r="AM1039" s="754"/>
      <c r="AN1039" s="754"/>
      <c r="AO1039" s="754"/>
      <c r="AP1039" s="754"/>
      <c r="AQ1039" s="754"/>
      <c r="AR1039" s="754"/>
      <c r="AS1039" s="754"/>
      <c r="AT1039" s="754"/>
      <c r="AU1039" s="754"/>
    </row>
    <row r="1040" ht="15.75" customHeight="1">
      <c r="A1040" s="768">
        <v>44820.0</v>
      </c>
      <c r="B1040" s="800" t="s">
        <v>6199</v>
      </c>
      <c r="C1040" s="770" t="s">
        <v>3642</v>
      </c>
      <c r="D1040" s="745" t="s">
        <v>2387</v>
      </c>
      <c r="E1040" s="771">
        <v>190943.67</v>
      </c>
      <c r="F1040" s="745" t="s">
        <v>6200</v>
      </c>
      <c r="G1040" s="755" t="s">
        <v>2379</v>
      </c>
      <c r="H1040" s="755" t="s">
        <v>29</v>
      </c>
      <c r="I1040" s="755" t="s">
        <v>2379</v>
      </c>
      <c r="J1040" s="755">
        <v>44361.0</v>
      </c>
      <c r="K1040" s="755" t="s">
        <v>3660</v>
      </c>
      <c r="L1040" s="754"/>
      <c r="M1040" s="754"/>
      <c r="N1040" s="754"/>
      <c r="O1040" s="754"/>
      <c r="P1040" s="754"/>
      <c r="Q1040" s="754"/>
      <c r="R1040" s="754"/>
      <c r="S1040" s="754"/>
      <c r="T1040" s="754"/>
      <c r="U1040" s="754"/>
      <c r="V1040" s="754"/>
      <c r="W1040" s="754"/>
      <c r="X1040" s="754"/>
      <c r="Y1040" s="754"/>
      <c r="Z1040" s="754"/>
      <c r="AA1040" s="754"/>
      <c r="AB1040" s="754"/>
      <c r="AC1040" s="754"/>
      <c r="AD1040" s="754"/>
      <c r="AE1040" s="754"/>
      <c r="AF1040" s="754"/>
      <c r="AG1040" s="754"/>
      <c r="AH1040" s="754"/>
      <c r="AI1040" s="754"/>
      <c r="AJ1040" s="754"/>
      <c r="AK1040" s="754"/>
      <c r="AL1040" s="754"/>
      <c r="AM1040" s="754"/>
      <c r="AN1040" s="754"/>
      <c r="AO1040" s="754"/>
      <c r="AP1040" s="754"/>
      <c r="AQ1040" s="754"/>
      <c r="AR1040" s="754"/>
      <c r="AS1040" s="754"/>
      <c r="AT1040" s="754"/>
      <c r="AU1040" s="754"/>
    </row>
    <row r="1041" ht="15.75" customHeight="1">
      <c r="A1041" s="768">
        <v>44820.0</v>
      </c>
      <c r="B1041" s="800" t="s">
        <v>6201</v>
      </c>
      <c r="C1041" s="770" t="s">
        <v>3642</v>
      </c>
      <c r="D1041" s="745" t="s">
        <v>5902</v>
      </c>
      <c r="E1041" s="771">
        <v>32923.57</v>
      </c>
      <c r="F1041" s="745" t="s">
        <v>4858</v>
      </c>
      <c r="G1041" s="755" t="s">
        <v>18</v>
      </c>
      <c r="H1041" s="755" t="s">
        <v>19</v>
      </c>
      <c r="I1041" s="755" t="s">
        <v>4859</v>
      </c>
      <c r="J1041" s="755">
        <v>44623.0</v>
      </c>
      <c r="K1041" s="745" t="s">
        <v>6202</v>
      </c>
      <c r="L1041" s="754"/>
      <c r="M1041" s="754"/>
      <c r="N1041" s="754"/>
      <c r="O1041" s="754"/>
      <c r="P1041" s="754"/>
      <c r="Q1041" s="754"/>
      <c r="R1041" s="754"/>
      <c r="S1041" s="754"/>
      <c r="T1041" s="754"/>
      <c r="U1041" s="754"/>
      <c r="V1041" s="754"/>
      <c r="W1041" s="754"/>
      <c r="X1041" s="754"/>
      <c r="Y1041" s="754"/>
      <c r="Z1041" s="754"/>
      <c r="AA1041" s="754"/>
      <c r="AB1041" s="754"/>
      <c r="AC1041" s="754"/>
      <c r="AD1041" s="754"/>
      <c r="AE1041" s="754"/>
      <c r="AF1041" s="754"/>
      <c r="AG1041" s="754"/>
      <c r="AH1041" s="754"/>
      <c r="AI1041" s="754"/>
      <c r="AJ1041" s="754"/>
      <c r="AK1041" s="754"/>
      <c r="AL1041" s="754"/>
      <c r="AM1041" s="754"/>
      <c r="AN1041" s="754"/>
      <c r="AO1041" s="754"/>
      <c r="AP1041" s="754"/>
      <c r="AQ1041" s="754"/>
      <c r="AR1041" s="754"/>
      <c r="AS1041" s="754"/>
      <c r="AT1041" s="754"/>
      <c r="AU1041" s="754"/>
    </row>
    <row r="1042" ht="15.75" customHeight="1">
      <c r="A1042" s="768">
        <v>44824.0</v>
      </c>
      <c r="B1042" s="800" t="s">
        <v>6191</v>
      </c>
      <c r="C1042" s="770" t="s">
        <v>3642</v>
      </c>
      <c r="D1042" s="745" t="s">
        <v>5903</v>
      </c>
      <c r="E1042" s="771">
        <v>10000.0</v>
      </c>
      <c r="F1042" s="745" t="s">
        <v>3924</v>
      </c>
      <c r="G1042" s="755" t="s">
        <v>18</v>
      </c>
      <c r="H1042" s="755" t="s">
        <v>19</v>
      </c>
      <c r="I1042" s="755" t="s">
        <v>20</v>
      </c>
      <c r="J1042" s="755">
        <v>44762.0</v>
      </c>
      <c r="K1042" s="755" t="s">
        <v>3660</v>
      </c>
      <c r="L1042" s="754"/>
      <c r="M1042" s="754"/>
      <c r="N1042" s="754"/>
      <c r="O1042" s="754"/>
      <c r="P1042" s="754"/>
      <c r="Q1042" s="754"/>
      <c r="R1042" s="754"/>
      <c r="S1042" s="754"/>
      <c r="T1042" s="754"/>
      <c r="U1042" s="754"/>
      <c r="V1042" s="754"/>
      <c r="W1042" s="754"/>
      <c r="X1042" s="754"/>
      <c r="Y1042" s="754"/>
      <c r="Z1042" s="754"/>
      <c r="AA1042" s="754"/>
      <c r="AB1042" s="754"/>
      <c r="AC1042" s="754"/>
      <c r="AD1042" s="754"/>
      <c r="AE1042" s="754"/>
      <c r="AF1042" s="754"/>
      <c r="AG1042" s="754"/>
      <c r="AH1042" s="754"/>
      <c r="AI1042" s="754"/>
      <c r="AJ1042" s="754"/>
      <c r="AK1042" s="754"/>
      <c r="AL1042" s="754"/>
      <c r="AM1042" s="754"/>
      <c r="AN1042" s="754"/>
      <c r="AO1042" s="754"/>
      <c r="AP1042" s="754"/>
      <c r="AQ1042" s="754"/>
      <c r="AR1042" s="754"/>
      <c r="AS1042" s="754"/>
      <c r="AT1042" s="754"/>
      <c r="AU1042" s="754"/>
    </row>
    <row r="1043" ht="15.75" customHeight="1">
      <c r="A1043" s="768">
        <v>44824.0</v>
      </c>
      <c r="B1043" s="800" t="s">
        <v>6203</v>
      </c>
      <c r="C1043" s="770" t="s">
        <v>3642</v>
      </c>
      <c r="D1043" s="745" t="s">
        <v>5903</v>
      </c>
      <c r="E1043" s="771">
        <v>96196.0</v>
      </c>
      <c r="F1043" s="745" t="s">
        <v>4356</v>
      </c>
      <c r="G1043" s="755" t="s">
        <v>18</v>
      </c>
      <c r="H1043" s="755" t="s">
        <v>29</v>
      </c>
      <c r="I1043" s="755" t="s">
        <v>3972</v>
      </c>
      <c r="J1043" s="755">
        <v>44218.0</v>
      </c>
      <c r="K1043" s="755" t="s">
        <v>3647</v>
      </c>
      <c r="L1043" s="754"/>
      <c r="M1043" s="754"/>
      <c r="N1043" s="754"/>
      <c r="O1043" s="754"/>
      <c r="P1043" s="754"/>
      <c r="Q1043" s="754"/>
      <c r="R1043" s="754"/>
      <c r="S1043" s="754"/>
      <c r="T1043" s="754"/>
      <c r="U1043" s="754"/>
      <c r="V1043" s="754"/>
      <c r="W1043" s="754"/>
      <c r="X1043" s="754"/>
      <c r="Y1043" s="754"/>
      <c r="Z1043" s="754"/>
      <c r="AA1043" s="754"/>
      <c r="AB1043" s="754"/>
      <c r="AC1043" s="754"/>
      <c r="AD1043" s="754"/>
      <c r="AE1043" s="754"/>
      <c r="AF1043" s="754"/>
      <c r="AG1043" s="754"/>
      <c r="AH1043" s="754"/>
      <c r="AI1043" s="754"/>
      <c r="AJ1043" s="754"/>
      <c r="AK1043" s="754"/>
      <c r="AL1043" s="754"/>
      <c r="AM1043" s="754"/>
      <c r="AN1043" s="754"/>
      <c r="AO1043" s="754"/>
      <c r="AP1043" s="754"/>
      <c r="AQ1043" s="754"/>
      <c r="AR1043" s="754"/>
      <c r="AS1043" s="754"/>
      <c r="AT1043" s="754"/>
      <c r="AU1043" s="754"/>
    </row>
    <row r="1044" ht="15.75" customHeight="1">
      <c r="A1044" s="768">
        <v>44825.0</v>
      </c>
      <c r="B1044" s="800">
        <v>5663320.0</v>
      </c>
      <c r="C1044" s="770" t="s">
        <v>3642</v>
      </c>
      <c r="D1044" s="745" t="s">
        <v>5903</v>
      </c>
      <c r="E1044" s="771">
        <v>21000.0</v>
      </c>
      <c r="F1044" s="745" t="s">
        <v>4776</v>
      </c>
      <c r="G1044" s="755" t="s">
        <v>18</v>
      </c>
      <c r="H1044" s="755" t="s">
        <v>29</v>
      </c>
      <c r="I1044" s="755" t="s">
        <v>137</v>
      </c>
      <c r="J1044" s="755">
        <v>44385.0</v>
      </c>
      <c r="K1044" s="755" t="s">
        <v>3693</v>
      </c>
      <c r="L1044" s="754"/>
      <c r="M1044" s="754"/>
      <c r="N1044" s="754"/>
      <c r="O1044" s="754"/>
      <c r="P1044" s="754"/>
      <c r="Q1044" s="754"/>
      <c r="R1044" s="754"/>
      <c r="S1044" s="754"/>
      <c r="T1044" s="754"/>
      <c r="U1044" s="754"/>
      <c r="V1044" s="754"/>
      <c r="W1044" s="754"/>
      <c r="X1044" s="754"/>
      <c r="Y1044" s="754"/>
      <c r="Z1044" s="754"/>
      <c r="AA1044" s="754"/>
      <c r="AB1044" s="754"/>
      <c r="AC1044" s="754"/>
      <c r="AD1044" s="754"/>
      <c r="AE1044" s="754"/>
      <c r="AF1044" s="754"/>
      <c r="AG1044" s="754"/>
      <c r="AH1044" s="754"/>
      <c r="AI1044" s="754"/>
      <c r="AJ1044" s="754"/>
      <c r="AK1044" s="754"/>
      <c r="AL1044" s="754"/>
      <c r="AM1044" s="754"/>
      <c r="AN1044" s="754"/>
      <c r="AO1044" s="754"/>
      <c r="AP1044" s="754"/>
      <c r="AQ1044" s="754"/>
      <c r="AR1044" s="754"/>
      <c r="AS1044" s="754"/>
      <c r="AT1044" s="754"/>
      <c r="AU1044" s="754"/>
    </row>
    <row r="1045" ht="15.75" customHeight="1">
      <c r="A1045" s="768">
        <v>44826.0</v>
      </c>
      <c r="B1045" s="800" t="s">
        <v>6204</v>
      </c>
      <c r="C1045" s="770" t="s">
        <v>3642</v>
      </c>
      <c r="D1045" s="745" t="s">
        <v>5902</v>
      </c>
      <c r="E1045" s="771" t="s">
        <v>2430</v>
      </c>
      <c r="F1045" s="745" t="s">
        <v>6205</v>
      </c>
      <c r="G1045" s="755" t="s">
        <v>18</v>
      </c>
      <c r="H1045" s="755" t="s">
        <v>145</v>
      </c>
      <c r="I1045" s="755" t="s">
        <v>171</v>
      </c>
      <c r="J1045" s="755">
        <v>44824.0</v>
      </c>
      <c r="K1045" s="755" t="s">
        <v>3664</v>
      </c>
      <c r="L1045" s="754"/>
      <c r="M1045" s="754"/>
      <c r="N1045" s="754"/>
      <c r="O1045" s="754"/>
      <c r="P1045" s="754"/>
      <c r="Q1045" s="754"/>
      <c r="R1045" s="754"/>
      <c r="S1045" s="754"/>
      <c r="T1045" s="754"/>
      <c r="U1045" s="754"/>
      <c r="V1045" s="754"/>
      <c r="W1045" s="754"/>
      <c r="X1045" s="754"/>
      <c r="Y1045" s="754"/>
      <c r="Z1045" s="754"/>
      <c r="AA1045" s="754"/>
      <c r="AB1045" s="754"/>
      <c r="AC1045" s="754"/>
      <c r="AD1045" s="754"/>
      <c r="AE1045" s="754"/>
      <c r="AF1045" s="754"/>
      <c r="AG1045" s="754"/>
      <c r="AH1045" s="754"/>
      <c r="AI1045" s="754"/>
      <c r="AJ1045" s="754"/>
      <c r="AK1045" s="754"/>
      <c r="AL1045" s="754"/>
      <c r="AM1045" s="754"/>
      <c r="AN1045" s="754"/>
      <c r="AO1045" s="754"/>
      <c r="AP1045" s="754"/>
      <c r="AQ1045" s="754"/>
      <c r="AR1045" s="754"/>
      <c r="AS1045" s="754"/>
      <c r="AT1045" s="754"/>
      <c r="AU1045" s="754"/>
    </row>
    <row r="1046" ht="15.75" customHeight="1">
      <c r="A1046" s="768">
        <v>44827.0</v>
      </c>
      <c r="B1046" s="800" t="s">
        <v>6206</v>
      </c>
      <c r="C1046" s="770" t="s">
        <v>3642</v>
      </c>
      <c r="D1046" s="745" t="s">
        <v>5903</v>
      </c>
      <c r="E1046" s="771">
        <v>60000.0</v>
      </c>
      <c r="F1046" s="745" t="s">
        <v>3689</v>
      </c>
      <c r="G1046" s="755" t="s">
        <v>18</v>
      </c>
      <c r="H1046" s="755" t="s">
        <v>29</v>
      </c>
      <c r="I1046" s="755" t="s">
        <v>137</v>
      </c>
      <c r="J1046" s="755">
        <v>44652.0</v>
      </c>
      <c r="K1046" s="755" t="s">
        <v>3657</v>
      </c>
      <c r="L1046" s="754"/>
      <c r="M1046" s="754"/>
      <c r="N1046" s="754"/>
      <c r="O1046" s="754"/>
      <c r="P1046" s="754"/>
      <c r="Q1046" s="754"/>
      <c r="R1046" s="754"/>
      <c r="S1046" s="754"/>
      <c r="T1046" s="754"/>
      <c r="U1046" s="754"/>
      <c r="V1046" s="754"/>
      <c r="W1046" s="754"/>
      <c r="X1046" s="754"/>
      <c r="Y1046" s="754"/>
      <c r="Z1046" s="754"/>
      <c r="AA1046" s="754"/>
      <c r="AB1046" s="754"/>
      <c r="AC1046" s="754"/>
      <c r="AD1046" s="754"/>
      <c r="AE1046" s="754"/>
      <c r="AF1046" s="754"/>
      <c r="AG1046" s="754"/>
      <c r="AH1046" s="754"/>
      <c r="AI1046" s="754"/>
      <c r="AJ1046" s="754"/>
      <c r="AK1046" s="754"/>
      <c r="AL1046" s="754"/>
      <c r="AM1046" s="754"/>
      <c r="AN1046" s="754"/>
      <c r="AO1046" s="754"/>
      <c r="AP1046" s="754"/>
      <c r="AQ1046" s="754"/>
      <c r="AR1046" s="754"/>
      <c r="AS1046" s="754"/>
      <c r="AT1046" s="754"/>
      <c r="AU1046" s="754"/>
    </row>
    <row r="1047" ht="15.75" customHeight="1">
      <c r="A1047" s="768">
        <v>44827.0</v>
      </c>
      <c r="B1047" s="800" t="s">
        <v>6187</v>
      </c>
      <c r="C1047" s="770" t="s">
        <v>3642</v>
      </c>
      <c r="D1047" s="745" t="s">
        <v>5903</v>
      </c>
      <c r="E1047" s="771">
        <v>18000.0</v>
      </c>
      <c r="F1047" s="745" t="s">
        <v>4541</v>
      </c>
      <c r="G1047" s="755" t="s">
        <v>18</v>
      </c>
      <c r="H1047" s="755" t="s">
        <v>19</v>
      </c>
      <c r="I1047" s="755" t="s">
        <v>6188</v>
      </c>
      <c r="J1047" s="755">
        <v>44776.0</v>
      </c>
      <c r="K1047" s="755" t="s">
        <v>3664</v>
      </c>
      <c r="L1047" s="754"/>
      <c r="M1047" s="754"/>
      <c r="N1047" s="754"/>
      <c r="O1047" s="754"/>
      <c r="P1047" s="754"/>
      <c r="Q1047" s="754"/>
      <c r="R1047" s="754"/>
      <c r="S1047" s="754"/>
      <c r="T1047" s="754"/>
      <c r="U1047" s="754"/>
      <c r="V1047" s="754"/>
      <c r="W1047" s="754"/>
      <c r="X1047" s="754"/>
      <c r="Y1047" s="754"/>
      <c r="Z1047" s="754"/>
      <c r="AA1047" s="754"/>
      <c r="AB1047" s="754"/>
      <c r="AC1047" s="754"/>
      <c r="AD1047" s="754"/>
      <c r="AE1047" s="754"/>
      <c r="AF1047" s="754"/>
      <c r="AG1047" s="754"/>
      <c r="AH1047" s="754"/>
      <c r="AI1047" s="754"/>
      <c r="AJ1047" s="754"/>
      <c r="AK1047" s="754"/>
      <c r="AL1047" s="754"/>
      <c r="AM1047" s="754"/>
      <c r="AN1047" s="754"/>
      <c r="AO1047" s="754"/>
      <c r="AP1047" s="754"/>
      <c r="AQ1047" s="754"/>
      <c r="AR1047" s="754"/>
      <c r="AS1047" s="754"/>
      <c r="AT1047" s="754"/>
      <c r="AU1047" s="754"/>
    </row>
    <row r="1048" ht="15.75" customHeight="1">
      <c r="A1048" s="768">
        <v>44830.0</v>
      </c>
      <c r="B1048" s="800" t="s">
        <v>6207</v>
      </c>
      <c r="C1048" s="770" t="s">
        <v>3642</v>
      </c>
      <c r="D1048" s="745" t="s">
        <v>5902</v>
      </c>
      <c r="E1048" s="771">
        <v>156696.82</v>
      </c>
      <c r="F1048" s="745" t="s">
        <v>6208</v>
      </c>
      <c r="G1048" s="755" t="s">
        <v>18</v>
      </c>
      <c r="H1048" s="755" t="s">
        <v>19</v>
      </c>
      <c r="I1048" s="755" t="s">
        <v>3978</v>
      </c>
      <c r="J1048" s="755">
        <v>44461.0</v>
      </c>
      <c r="K1048" s="755" t="s">
        <v>3657</v>
      </c>
      <c r="L1048" s="754"/>
      <c r="M1048" s="754"/>
      <c r="N1048" s="754"/>
      <c r="O1048" s="754"/>
      <c r="P1048" s="754"/>
      <c r="Q1048" s="754"/>
      <c r="R1048" s="754"/>
      <c r="S1048" s="754"/>
      <c r="T1048" s="754"/>
      <c r="U1048" s="754"/>
      <c r="V1048" s="754"/>
      <c r="W1048" s="754"/>
      <c r="X1048" s="754"/>
      <c r="Y1048" s="754"/>
      <c r="Z1048" s="754"/>
      <c r="AA1048" s="754"/>
      <c r="AB1048" s="754"/>
      <c r="AC1048" s="754"/>
      <c r="AD1048" s="754"/>
      <c r="AE1048" s="754"/>
      <c r="AF1048" s="754"/>
      <c r="AG1048" s="754"/>
      <c r="AH1048" s="754"/>
      <c r="AI1048" s="754"/>
      <c r="AJ1048" s="754"/>
      <c r="AK1048" s="754"/>
      <c r="AL1048" s="754"/>
      <c r="AM1048" s="754"/>
      <c r="AN1048" s="754"/>
      <c r="AO1048" s="754"/>
      <c r="AP1048" s="754"/>
      <c r="AQ1048" s="754"/>
      <c r="AR1048" s="754"/>
      <c r="AS1048" s="754"/>
      <c r="AT1048" s="754"/>
      <c r="AU1048" s="754"/>
    </row>
    <row r="1049" ht="15.75" customHeight="1">
      <c r="A1049" s="768">
        <v>44837.0</v>
      </c>
      <c r="B1049" s="800" t="s">
        <v>6209</v>
      </c>
      <c r="C1049" s="770" t="s">
        <v>3642</v>
      </c>
      <c r="D1049" s="745" t="s">
        <v>5903</v>
      </c>
      <c r="E1049" s="771">
        <v>4800.0</v>
      </c>
      <c r="F1049" s="745" t="s">
        <v>492</v>
      </c>
      <c r="G1049" s="755" t="s">
        <v>18</v>
      </c>
      <c r="H1049" s="755" t="s">
        <v>29</v>
      </c>
      <c r="I1049" s="755" t="s">
        <v>110</v>
      </c>
      <c r="J1049" s="755">
        <v>44819.0</v>
      </c>
      <c r="K1049" s="755" t="s">
        <v>3660</v>
      </c>
      <c r="L1049" s="754"/>
      <c r="M1049" s="754"/>
      <c r="N1049" s="754"/>
      <c r="O1049" s="754"/>
      <c r="P1049" s="754"/>
      <c r="Q1049" s="754"/>
      <c r="R1049" s="754"/>
      <c r="S1049" s="754"/>
      <c r="T1049" s="754"/>
      <c r="U1049" s="754"/>
      <c r="V1049" s="754"/>
      <c r="W1049" s="754"/>
      <c r="X1049" s="754"/>
      <c r="Y1049" s="754"/>
      <c r="Z1049" s="754"/>
      <c r="AA1049" s="754"/>
      <c r="AB1049" s="754"/>
      <c r="AC1049" s="754"/>
      <c r="AD1049" s="754"/>
      <c r="AE1049" s="754"/>
      <c r="AF1049" s="754"/>
      <c r="AG1049" s="754"/>
      <c r="AH1049" s="754"/>
      <c r="AI1049" s="754"/>
      <c r="AJ1049" s="754"/>
      <c r="AK1049" s="754"/>
      <c r="AL1049" s="754"/>
      <c r="AM1049" s="754"/>
      <c r="AN1049" s="754"/>
      <c r="AO1049" s="754"/>
      <c r="AP1049" s="754"/>
      <c r="AQ1049" s="754"/>
      <c r="AR1049" s="754"/>
      <c r="AS1049" s="754"/>
      <c r="AT1049" s="754"/>
      <c r="AU1049" s="754"/>
    </row>
    <row r="1050" ht="15.75" customHeight="1">
      <c r="A1050" s="768">
        <v>44837.0</v>
      </c>
      <c r="B1050" s="800" t="s">
        <v>6209</v>
      </c>
      <c r="C1050" s="770" t="s">
        <v>3642</v>
      </c>
      <c r="D1050" s="745" t="s">
        <v>5903</v>
      </c>
      <c r="E1050" s="771">
        <v>7477.76</v>
      </c>
      <c r="F1050" s="745" t="s">
        <v>492</v>
      </c>
      <c r="G1050" s="755" t="s">
        <v>18</v>
      </c>
      <c r="H1050" s="755" t="s">
        <v>29</v>
      </c>
      <c r="I1050" s="755" t="s">
        <v>110</v>
      </c>
      <c r="J1050" s="755">
        <v>44819.0</v>
      </c>
      <c r="K1050" s="755" t="s">
        <v>3660</v>
      </c>
      <c r="L1050" s="754"/>
      <c r="M1050" s="754"/>
      <c r="N1050" s="754"/>
      <c r="O1050" s="754"/>
      <c r="P1050" s="754"/>
      <c r="Q1050" s="754"/>
      <c r="R1050" s="754"/>
      <c r="S1050" s="754"/>
      <c r="T1050" s="754"/>
      <c r="U1050" s="754"/>
      <c r="V1050" s="754"/>
      <c r="W1050" s="754"/>
      <c r="X1050" s="754"/>
      <c r="Y1050" s="754"/>
      <c r="Z1050" s="754"/>
      <c r="AA1050" s="754"/>
      <c r="AB1050" s="754"/>
      <c r="AC1050" s="754"/>
      <c r="AD1050" s="754"/>
      <c r="AE1050" s="754"/>
      <c r="AF1050" s="754"/>
      <c r="AG1050" s="754"/>
      <c r="AH1050" s="754"/>
      <c r="AI1050" s="754"/>
      <c r="AJ1050" s="754"/>
      <c r="AK1050" s="754"/>
      <c r="AL1050" s="754"/>
      <c r="AM1050" s="754"/>
      <c r="AN1050" s="754"/>
      <c r="AO1050" s="754"/>
      <c r="AP1050" s="754"/>
      <c r="AQ1050" s="754"/>
      <c r="AR1050" s="754"/>
      <c r="AS1050" s="754"/>
      <c r="AT1050" s="754"/>
      <c r="AU1050" s="754"/>
    </row>
    <row r="1051" ht="15.75" customHeight="1">
      <c r="A1051" s="768">
        <v>44837.0</v>
      </c>
      <c r="B1051" s="800" t="s">
        <v>6210</v>
      </c>
      <c r="C1051" s="770" t="s">
        <v>3642</v>
      </c>
      <c r="D1051" s="745" t="s">
        <v>5903</v>
      </c>
      <c r="E1051" s="771">
        <v>199998.0</v>
      </c>
      <c r="F1051" s="745" t="s">
        <v>4389</v>
      </c>
      <c r="G1051" s="755" t="s">
        <v>18</v>
      </c>
      <c r="H1051" s="755" t="s">
        <v>19</v>
      </c>
      <c r="I1051" s="755" t="s">
        <v>230</v>
      </c>
      <c r="J1051" s="755">
        <v>44739.0</v>
      </c>
      <c r="K1051" s="755" t="s">
        <v>3657</v>
      </c>
      <c r="L1051" s="754"/>
      <c r="M1051" s="754"/>
      <c r="N1051" s="754"/>
      <c r="O1051" s="754"/>
      <c r="P1051" s="754"/>
      <c r="Q1051" s="754"/>
      <c r="R1051" s="754"/>
      <c r="S1051" s="754"/>
      <c r="T1051" s="754"/>
      <c r="U1051" s="754"/>
      <c r="V1051" s="754"/>
      <c r="W1051" s="754"/>
      <c r="X1051" s="754"/>
      <c r="Y1051" s="754"/>
      <c r="Z1051" s="754"/>
      <c r="AA1051" s="754"/>
      <c r="AB1051" s="754"/>
      <c r="AC1051" s="754"/>
      <c r="AD1051" s="754"/>
      <c r="AE1051" s="754"/>
      <c r="AF1051" s="754"/>
      <c r="AG1051" s="754"/>
      <c r="AH1051" s="754"/>
      <c r="AI1051" s="754"/>
      <c r="AJ1051" s="754"/>
      <c r="AK1051" s="754"/>
      <c r="AL1051" s="754"/>
      <c r="AM1051" s="754"/>
      <c r="AN1051" s="754"/>
      <c r="AO1051" s="754"/>
      <c r="AP1051" s="754"/>
      <c r="AQ1051" s="754"/>
      <c r="AR1051" s="754"/>
      <c r="AS1051" s="754"/>
      <c r="AT1051" s="754"/>
      <c r="AU1051" s="754"/>
    </row>
    <row r="1052" ht="15.75" customHeight="1">
      <c r="A1052" s="768">
        <v>44838.0</v>
      </c>
      <c r="B1052" s="800" t="s">
        <v>6211</v>
      </c>
      <c r="C1052" s="770" t="s">
        <v>3642</v>
      </c>
      <c r="D1052" s="745" t="s">
        <v>5902</v>
      </c>
      <c r="E1052" s="771">
        <v>104271.35</v>
      </c>
      <c r="F1052" s="745" t="s">
        <v>3759</v>
      </c>
      <c r="G1052" s="755" t="s">
        <v>18</v>
      </c>
      <c r="H1052" s="755" t="s">
        <v>19</v>
      </c>
      <c r="I1052" s="755" t="s">
        <v>230</v>
      </c>
      <c r="J1052" s="755">
        <v>44460.0</v>
      </c>
      <c r="K1052" s="755" t="s">
        <v>3760</v>
      </c>
      <c r="L1052" s="754"/>
      <c r="M1052" s="754"/>
      <c r="N1052" s="754"/>
      <c r="O1052" s="754"/>
      <c r="P1052" s="754"/>
      <c r="Q1052" s="754"/>
      <c r="R1052" s="754"/>
      <c r="S1052" s="754"/>
      <c r="T1052" s="754"/>
      <c r="U1052" s="754"/>
      <c r="V1052" s="754"/>
      <c r="W1052" s="754"/>
      <c r="X1052" s="754"/>
      <c r="Y1052" s="754"/>
      <c r="Z1052" s="754"/>
      <c r="AA1052" s="754"/>
      <c r="AB1052" s="754"/>
      <c r="AC1052" s="754"/>
      <c r="AD1052" s="754"/>
      <c r="AE1052" s="754"/>
      <c r="AF1052" s="754"/>
      <c r="AG1052" s="754"/>
      <c r="AH1052" s="754"/>
      <c r="AI1052" s="754"/>
      <c r="AJ1052" s="754"/>
      <c r="AK1052" s="754"/>
      <c r="AL1052" s="754"/>
      <c r="AM1052" s="754"/>
      <c r="AN1052" s="754"/>
      <c r="AO1052" s="754"/>
      <c r="AP1052" s="754"/>
      <c r="AQ1052" s="754"/>
      <c r="AR1052" s="754"/>
      <c r="AS1052" s="754"/>
      <c r="AT1052" s="754"/>
      <c r="AU1052" s="754"/>
    </row>
    <row r="1053" ht="15.75" customHeight="1">
      <c r="A1053" s="768">
        <v>44839.0</v>
      </c>
      <c r="B1053" s="800" t="s">
        <v>6194</v>
      </c>
      <c r="C1053" s="770" t="s">
        <v>3642</v>
      </c>
      <c r="D1053" s="745" t="s">
        <v>5903</v>
      </c>
      <c r="E1053" s="771">
        <v>400000.0</v>
      </c>
      <c r="F1053" s="745" t="s">
        <v>1572</v>
      </c>
      <c r="G1053" s="755" t="s">
        <v>18</v>
      </c>
      <c r="H1053" s="755" t="s">
        <v>19</v>
      </c>
      <c r="I1053" s="755" t="s">
        <v>52</v>
      </c>
      <c r="J1053" s="755">
        <v>44698.0</v>
      </c>
      <c r="K1053" s="755" t="s">
        <v>3664</v>
      </c>
      <c r="L1053" s="754"/>
      <c r="M1053" s="754"/>
      <c r="N1053" s="754"/>
      <c r="O1053" s="754"/>
      <c r="P1053" s="754"/>
      <c r="Q1053" s="754"/>
      <c r="R1053" s="754"/>
      <c r="S1053" s="754"/>
      <c r="T1053" s="754"/>
      <c r="U1053" s="754"/>
      <c r="V1053" s="754"/>
      <c r="W1053" s="754"/>
      <c r="X1053" s="754"/>
      <c r="Y1053" s="754"/>
      <c r="Z1053" s="754"/>
      <c r="AA1053" s="754"/>
      <c r="AB1053" s="754"/>
      <c r="AC1053" s="754"/>
      <c r="AD1053" s="754"/>
      <c r="AE1053" s="754"/>
      <c r="AF1053" s="754"/>
      <c r="AG1053" s="754"/>
      <c r="AH1053" s="754"/>
      <c r="AI1053" s="754"/>
      <c r="AJ1053" s="754"/>
      <c r="AK1053" s="754"/>
      <c r="AL1053" s="754"/>
      <c r="AM1053" s="754"/>
      <c r="AN1053" s="754"/>
      <c r="AO1053" s="754"/>
      <c r="AP1053" s="754"/>
      <c r="AQ1053" s="754"/>
      <c r="AR1053" s="754"/>
      <c r="AS1053" s="754"/>
      <c r="AT1053" s="754"/>
      <c r="AU1053" s="754"/>
    </row>
    <row r="1054" ht="15.75" customHeight="1">
      <c r="A1054" s="768">
        <v>44839.0</v>
      </c>
      <c r="B1054" s="800" t="s">
        <v>5925</v>
      </c>
      <c r="C1054" s="770" t="s">
        <v>3642</v>
      </c>
      <c r="D1054" s="745" t="s">
        <v>5903</v>
      </c>
      <c r="E1054" s="771">
        <v>10000.0</v>
      </c>
      <c r="F1054" s="745" t="s">
        <v>4215</v>
      </c>
      <c r="G1054" s="755" t="s">
        <v>86</v>
      </c>
      <c r="H1054" s="755" t="s">
        <v>29</v>
      </c>
      <c r="I1054" s="755" t="s">
        <v>3711</v>
      </c>
      <c r="J1054" s="755">
        <v>44263.0</v>
      </c>
      <c r="K1054" s="755" t="s">
        <v>3651</v>
      </c>
      <c r="L1054" s="754"/>
      <c r="M1054" s="754"/>
      <c r="N1054" s="754"/>
      <c r="O1054" s="754"/>
      <c r="P1054" s="754"/>
      <c r="Q1054" s="754"/>
      <c r="R1054" s="754"/>
      <c r="S1054" s="754"/>
      <c r="T1054" s="754"/>
      <c r="U1054" s="754"/>
      <c r="V1054" s="754"/>
      <c r="W1054" s="754"/>
      <c r="X1054" s="754"/>
      <c r="Y1054" s="754"/>
      <c r="Z1054" s="754"/>
      <c r="AA1054" s="754"/>
      <c r="AB1054" s="754"/>
      <c r="AC1054" s="754"/>
      <c r="AD1054" s="754"/>
      <c r="AE1054" s="754"/>
      <c r="AF1054" s="754"/>
      <c r="AG1054" s="754"/>
      <c r="AH1054" s="754"/>
      <c r="AI1054" s="754"/>
      <c r="AJ1054" s="754"/>
      <c r="AK1054" s="754"/>
      <c r="AL1054" s="754"/>
      <c r="AM1054" s="754"/>
      <c r="AN1054" s="754"/>
      <c r="AO1054" s="754"/>
      <c r="AP1054" s="754"/>
      <c r="AQ1054" s="754"/>
      <c r="AR1054" s="754"/>
      <c r="AS1054" s="754"/>
      <c r="AT1054" s="754"/>
      <c r="AU1054" s="754"/>
    </row>
    <row r="1055" ht="15.75" customHeight="1">
      <c r="A1055" s="768">
        <v>44844.0</v>
      </c>
      <c r="B1055" s="800" t="s">
        <v>6068</v>
      </c>
      <c r="C1055" s="770" t="s">
        <v>3642</v>
      </c>
      <c r="D1055" s="745" t="s">
        <v>5903</v>
      </c>
      <c r="E1055" s="771">
        <v>30000.0</v>
      </c>
      <c r="F1055" s="745" t="s">
        <v>1426</v>
      </c>
      <c r="G1055" s="755" t="s">
        <v>18</v>
      </c>
      <c r="H1055" s="755" t="s">
        <v>29</v>
      </c>
      <c r="I1055" s="755" t="s">
        <v>5895</v>
      </c>
      <c r="J1055" s="755">
        <v>44594.0</v>
      </c>
      <c r="K1055" s="755" t="s">
        <v>3657</v>
      </c>
      <c r="L1055" s="754"/>
      <c r="M1055" s="754"/>
      <c r="N1055" s="754"/>
      <c r="O1055" s="754"/>
      <c r="P1055" s="754"/>
      <c r="Q1055" s="754"/>
      <c r="R1055" s="754"/>
      <c r="S1055" s="754"/>
      <c r="T1055" s="754"/>
      <c r="U1055" s="754"/>
      <c r="V1055" s="754"/>
      <c r="W1055" s="754"/>
      <c r="X1055" s="754"/>
      <c r="Y1055" s="754"/>
      <c r="Z1055" s="754"/>
      <c r="AA1055" s="754"/>
      <c r="AB1055" s="754"/>
      <c r="AC1055" s="754"/>
      <c r="AD1055" s="754"/>
      <c r="AE1055" s="754"/>
      <c r="AF1055" s="754"/>
      <c r="AG1055" s="754"/>
      <c r="AH1055" s="754"/>
      <c r="AI1055" s="754"/>
      <c r="AJ1055" s="754"/>
      <c r="AK1055" s="754"/>
      <c r="AL1055" s="754"/>
      <c r="AM1055" s="754"/>
      <c r="AN1055" s="754"/>
      <c r="AO1055" s="754"/>
      <c r="AP1055" s="754"/>
      <c r="AQ1055" s="754"/>
      <c r="AR1055" s="754"/>
      <c r="AS1055" s="754"/>
      <c r="AT1055" s="754"/>
      <c r="AU1055" s="754"/>
    </row>
    <row r="1056" ht="15.75" customHeight="1">
      <c r="A1056" s="768">
        <v>44845.0</v>
      </c>
      <c r="B1056" s="800" t="s">
        <v>6212</v>
      </c>
      <c r="C1056" s="770" t="s">
        <v>3642</v>
      </c>
      <c r="D1056" s="745" t="s">
        <v>5903</v>
      </c>
      <c r="E1056" s="771">
        <v>10000.0</v>
      </c>
      <c r="F1056" s="745" t="s">
        <v>3773</v>
      </c>
      <c r="G1056" s="755" t="s">
        <v>86</v>
      </c>
      <c r="H1056" s="755" t="s">
        <v>29</v>
      </c>
      <c r="I1056" s="755" t="s">
        <v>3486</v>
      </c>
      <c r="J1056" s="755">
        <v>44217.0</v>
      </c>
      <c r="K1056" s="755" t="s">
        <v>3651</v>
      </c>
      <c r="L1056" s="754"/>
      <c r="M1056" s="754"/>
      <c r="N1056" s="754"/>
      <c r="O1056" s="754"/>
      <c r="P1056" s="754"/>
      <c r="Q1056" s="754"/>
      <c r="R1056" s="754"/>
      <c r="S1056" s="754"/>
      <c r="T1056" s="754"/>
      <c r="U1056" s="754"/>
      <c r="V1056" s="754"/>
      <c r="W1056" s="754"/>
      <c r="X1056" s="754"/>
      <c r="Y1056" s="754"/>
      <c r="Z1056" s="754"/>
      <c r="AA1056" s="754"/>
      <c r="AB1056" s="754"/>
      <c r="AC1056" s="754"/>
      <c r="AD1056" s="754"/>
      <c r="AE1056" s="754"/>
      <c r="AF1056" s="754"/>
      <c r="AG1056" s="754"/>
      <c r="AH1056" s="754"/>
      <c r="AI1056" s="754"/>
      <c r="AJ1056" s="754"/>
      <c r="AK1056" s="754"/>
      <c r="AL1056" s="754"/>
      <c r="AM1056" s="754"/>
      <c r="AN1056" s="754"/>
      <c r="AO1056" s="754"/>
      <c r="AP1056" s="754"/>
      <c r="AQ1056" s="754"/>
      <c r="AR1056" s="754"/>
      <c r="AS1056" s="754"/>
      <c r="AT1056" s="754"/>
      <c r="AU1056" s="754"/>
    </row>
    <row r="1057" ht="15.75" customHeight="1">
      <c r="A1057" s="768">
        <v>44845.0</v>
      </c>
      <c r="B1057" s="800" t="s">
        <v>6213</v>
      </c>
      <c r="C1057" s="770" t="s">
        <v>3642</v>
      </c>
      <c r="D1057" s="745" t="s">
        <v>5903</v>
      </c>
      <c r="E1057" s="771">
        <v>2000.0</v>
      </c>
      <c r="F1057" s="745" t="s">
        <v>621</v>
      </c>
      <c r="G1057" s="755" t="s">
        <v>86</v>
      </c>
      <c r="H1057" s="755" t="s">
        <v>29</v>
      </c>
      <c r="I1057" s="755" t="s">
        <v>5848</v>
      </c>
      <c r="J1057" s="755">
        <v>44421.0</v>
      </c>
      <c r="K1057" s="755" t="s">
        <v>3651</v>
      </c>
      <c r="L1057" s="754"/>
      <c r="M1057" s="754"/>
      <c r="N1057" s="754"/>
      <c r="O1057" s="754"/>
      <c r="P1057" s="754"/>
      <c r="Q1057" s="754"/>
      <c r="R1057" s="754"/>
      <c r="S1057" s="754"/>
      <c r="T1057" s="754"/>
      <c r="U1057" s="754"/>
      <c r="V1057" s="754"/>
      <c r="W1057" s="754"/>
      <c r="X1057" s="754"/>
      <c r="Y1057" s="754"/>
      <c r="Z1057" s="754"/>
      <c r="AA1057" s="754"/>
      <c r="AB1057" s="754"/>
      <c r="AC1057" s="754"/>
      <c r="AD1057" s="754"/>
      <c r="AE1057" s="754"/>
      <c r="AF1057" s="754"/>
      <c r="AG1057" s="754"/>
      <c r="AH1057" s="754"/>
      <c r="AI1057" s="754"/>
      <c r="AJ1057" s="754"/>
      <c r="AK1057" s="754"/>
      <c r="AL1057" s="754"/>
      <c r="AM1057" s="754"/>
      <c r="AN1057" s="754"/>
      <c r="AO1057" s="754"/>
      <c r="AP1057" s="754"/>
      <c r="AQ1057" s="754"/>
      <c r="AR1057" s="754"/>
      <c r="AS1057" s="754"/>
      <c r="AT1057" s="754"/>
      <c r="AU1057" s="754"/>
    </row>
    <row r="1058" ht="15.75" customHeight="1">
      <c r="A1058" s="768">
        <v>44847.0</v>
      </c>
      <c r="B1058" s="800" t="s">
        <v>6194</v>
      </c>
      <c r="C1058" s="770" t="s">
        <v>3642</v>
      </c>
      <c r="D1058" s="745" t="s">
        <v>5903</v>
      </c>
      <c r="E1058" s="771">
        <v>122000.0</v>
      </c>
      <c r="F1058" s="745" t="s">
        <v>4697</v>
      </c>
      <c r="G1058" s="755" t="s">
        <v>18</v>
      </c>
      <c r="H1058" s="755" t="s">
        <v>19</v>
      </c>
      <c r="I1058" s="755" t="s">
        <v>52</v>
      </c>
      <c r="J1058" s="755">
        <v>44698.0</v>
      </c>
      <c r="K1058" s="755" t="s">
        <v>3664</v>
      </c>
      <c r="L1058" s="754"/>
      <c r="M1058" s="754"/>
      <c r="N1058" s="754"/>
      <c r="O1058" s="754"/>
      <c r="P1058" s="754"/>
      <c r="Q1058" s="754"/>
      <c r="R1058" s="754"/>
      <c r="S1058" s="754"/>
      <c r="T1058" s="754"/>
      <c r="U1058" s="754"/>
      <c r="V1058" s="754"/>
      <c r="W1058" s="754"/>
      <c r="X1058" s="754"/>
      <c r="Y1058" s="754"/>
      <c r="Z1058" s="754"/>
      <c r="AA1058" s="754"/>
      <c r="AB1058" s="754"/>
      <c r="AC1058" s="754"/>
      <c r="AD1058" s="754"/>
      <c r="AE1058" s="754"/>
      <c r="AF1058" s="754"/>
      <c r="AG1058" s="754"/>
      <c r="AH1058" s="754"/>
      <c r="AI1058" s="754"/>
      <c r="AJ1058" s="754"/>
      <c r="AK1058" s="754"/>
      <c r="AL1058" s="754"/>
      <c r="AM1058" s="754"/>
      <c r="AN1058" s="754"/>
      <c r="AO1058" s="754"/>
      <c r="AP1058" s="754"/>
      <c r="AQ1058" s="754"/>
      <c r="AR1058" s="754"/>
      <c r="AS1058" s="754"/>
      <c r="AT1058" s="754"/>
      <c r="AU1058" s="754"/>
    </row>
    <row r="1059" ht="15.75" customHeight="1">
      <c r="A1059" s="768">
        <v>44848.0</v>
      </c>
      <c r="B1059" s="800" t="s">
        <v>6194</v>
      </c>
      <c r="C1059" s="770" t="s">
        <v>3642</v>
      </c>
      <c r="D1059" s="745" t="s">
        <v>5903</v>
      </c>
      <c r="E1059" s="771">
        <v>13000.0</v>
      </c>
      <c r="F1059" s="745" t="s">
        <v>4697</v>
      </c>
      <c r="G1059" s="755" t="s">
        <v>18</v>
      </c>
      <c r="H1059" s="755" t="s">
        <v>19</v>
      </c>
      <c r="I1059" s="755" t="s">
        <v>52</v>
      </c>
      <c r="J1059" s="755">
        <v>44698.0</v>
      </c>
      <c r="K1059" s="755" t="s">
        <v>3664</v>
      </c>
      <c r="L1059" s="754"/>
      <c r="M1059" s="754"/>
      <c r="N1059" s="754"/>
      <c r="O1059" s="754"/>
      <c r="P1059" s="754"/>
      <c r="Q1059" s="754"/>
      <c r="R1059" s="754"/>
      <c r="S1059" s="754"/>
      <c r="T1059" s="754"/>
      <c r="U1059" s="754"/>
      <c r="V1059" s="754"/>
      <c r="W1059" s="754"/>
      <c r="X1059" s="754"/>
      <c r="Y1059" s="754"/>
      <c r="Z1059" s="754"/>
      <c r="AA1059" s="754"/>
      <c r="AB1059" s="754"/>
      <c r="AC1059" s="754"/>
      <c r="AD1059" s="754"/>
      <c r="AE1059" s="754"/>
      <c r="AF1059" s="754"/>
      <c r="AG1059" s="754"/>
      <c r="AH1059" s="754"/>
      <c r="AI1059" s="754"/>
      <c r="AJ1059" s="754"/>
      <c r="AK1059" s="754"/>
      <c r="AL1059" s="754"/>
      <c r="AM1059" s="754"/>
      <c r="AN1059" s="754"/>
      <c r="AO1059" s="754"/>
      <c r="AP1059" s="754"/>
      <c r="AQ1059" s="754"/>
      <c r="AR1059" s="754"/>
      <c r="AS1059" s="754"/>
      <c r="AT1059" s="754"/>
      <c r="AU1059" s="754"/>
    </row>
    <row r="1060" ht="15.75" customHeight="1">
      <c r="A1060" s="768">
        <v>44848.0</v>
      </c>
      <c r="B1060" s="800" t="s">
        <v>6059</v>
      </c>
      <c r="C1060" s="770" t="s">
        <v>3642</v>
      </c>
      <c r="D1060" s="745" t="s">
        <v>5903</v>
      </c>
      <c r="E1060" s="771">
        <v>25000.0</v>
      </c>
      <c r="F1060" s="745" t="s">
        <v>3797</v>
      </c>
      <c r="G1060" s="755" t="s">
        <v>18</v>
      </c>
      <c r="H1060" s="755" t="s">
        <v>29</v>
      </c>
      <c r="I1060" s="755" t="s">
        <v>3798</v>
      </c>
      <c r="J1060" s="755">
        <v>44061.0</v>
      </c>
      <c r="K1060" s="755" t="s">
        <v>3651</v>
      </c>
      <c r="L1060" s="754"/>
      <c r="M1060" s="754"/>
      <c r="N1060" s="754"/>
      <c r="O1060" s="754"/>
      <c r="P1060" s="754"/>
      <c r="Q1060" s="754"/>
      <c r="R1060" s="754"/>
      <c r="S1060" s="754"/>
      <c r="T1060" s="754"/>
      <c r="U1060" s="754"/>
      <c r="V1060" s="754"/>
      <c r="W1060" s="754"/>
      <c r="X1060" s="754"/>
      <c r="Y1060" s="754"/>
      <c r="Z1060" s="754"/>
      <c r="AA1060" s="754"/>
      <c r="AB1060" s="754"/>
      <c r="AC1060" s="754"/>
      <c r="AD1060" s="754"/>
      <c r="AE1060" s="754"/>
      <c r="AF1060" s="754"/>
      <c r="AG1060" s="754"/>
      <c r="AH1060" s="754"/>
      <c r="AI1060" s="754"/>
      <c r="AJ1060" s="754"/>
      <c r="AK1060" s="754"/>
      <c r="AL1060" s="754"/>
      <c r="AM1060" s="754"/>
      <c r="AN1060" s="754"/>
      <c r="AO1060" s="754"/>
      <c r="AP1060" s="754"/>
      <c r="AQ1060" s="754"/>
      <c r="AR1060" s="754"/>
      <c r="AS1060" s="754"/>
      <c r="AT1060" s="754"/>
      <c r="AU1060" s="754"/>
    </row>
    <row r="1061" ht="15.75" customHeight="1">
      <c r="A1061" s="755">
        <v>44851.0</v>
      </c>
      <c r="B1061" s="756" t="s">
        <v>6100</v>
      </c>
      <c r="C1061" s="710" t="s">
        <v>3642</v>
      </c>
      <c r="D1061" s="745" t="s">
        <v>5903</v>
      </c>
      <c r="E1061" s="757">
        <v>50000.0</v>
      </c>
      <c r="F1061" s="710" t="s">
        <v>1682</v>
      </c>
      <c r="G1061" s="745" t="s">
        <v>18</v>
      </c>
      <c r="H1061" s="745" t="s">
        <v>19</v>
      </c>
      <c r="I1061" s="745" t="s">
        <v>20</v>
      </c>
      <c r="J1061" s="755">
        <v>44614.0</v>
      </c>
      <c r="K1061" s="783" t="s">
        <v>3651</v>
      </c>
      <c r="L1061" s="754"/>
      <c r="M1061" s="754"/>
      <c r="N1061" s="754"/>
      <c r="O1061" s="754"/>
      <c r="P1061" s="754"/>
      <c r="Q1061" s="754"/>
      <c r="R1061" s="754"/>
      <c r="S1061" s="754"/>
      <c r="T1061" s="754"/>
      <c r="U1061" s="754"/>
      <c r="V1061" s="754"/>
      <c r="W1061" s="754"/>
      <c r="X1061" s="754"/>
      <c r="Y1061" s="754"/>
      <c r="Z1061" s="754"/>
      <c r="AA1061" s="754"/>
      <c r="AB1061" s="754"/>
      <c r="AC1061" s="754"/>
      <c r="AD1061" s="754"/>
      <c r="AE1061" s="754"/>
      <c r="AF1061" s="754"/>
      <c r="AG1061" s="754"/>
      <c r="AH1061" s="754"/>
      <c r="AI1061" s="754"/>
      <c r="AJ1061" s="754"/>
      <c r="AK1061" s="754"/>
      <c r="AL1061" s="754"/>
      <c r="AM1061" s="754"/>
      <c r="AN1061" s="754"/>
      <c r="AO1061" s="754"/>
      <c r="AP1061" s="754"/>
      <c r="AQ1061" s="754"/>
      <c r="AR1061" s="754"/>
      <c r="AS1061" s="754"/>
      <c r="AT1061" s="754"/>
      <c r="AU1061" s="754"/>
    </row>
    <row r="1062" ht="15.75" customHeight="1">
      <c r="A1062" s="784">
        <v>44852.0</v>
      </c>
      <c r="B1062" s="785" t="s">
        <v>6075</v>
      </c>
      <c r="C1062" s="786" t="s">
        <v>3642</v>
      </c>
      <c r="D1062" s="787" t="s">
        <v>5903</v>
      </c>
      <c r="E1062" s="788">
        <v>18000.0</v>
      </c>
      <c r="F1062" s="787" t="s">
        <v>3691</v>
      </c>
      <c r="G1062" s="787" t="s">
        <v>18</v>
      </c>
      <c r="H1062" s="787" t="s">
        <v>19</v>
      </c>
      <c r="I1062" s="787" t="s">
        <v>20</v>
      </c>
      <c r="J1062" s="789">
        <v>44609.0</v>
      </c>
      <c r="K1062" s="786" t="s">
        <v>3660</v>
      </c>
      <c r="L1062" s="754"/>
      <c r="M1062" s="754"/>
      <c r="N1062" s="754"/>
      <c r="O1062" s="754"/>
      <c r="P1062" s="754"/>
      <c r="Q1062" s="754"/>
      <c r="R1062" s="754"/>
      <c r="S1062" s="754"/>
      <c r="T1062" s="754"/>
      <c r="U1062" s="754"/>
      <c r="V1062" s="754"/>
      <c r="W1062" s="754"/>
      <c r="X1062" s="754"/>
      <c r="Y1062" s="754"/>
      <c r="Z1062" s="754"/>
      <c r="AA1062" s="754"/>
      <c r="AB1062" s="754"/>
      <c r="AC1062" s="754"/>
      <c r="AD1062" s="754"/>
      <c r="AE1062" s="754"/>
      <c r="AF1062" s="754"/>
      <c r="AG1062" s="754"/>
      <c r="AH1062" s="754"/>
      <c r="AI1062" s="754"/>
      <c r="AJ1062" s="754"/>
      <c r="AK1062" s="754"/>
      <c r="AL1062" s="754"/>
      <c r="AM1062" s="754"/>
      <c r="AN1062" s="754"/>
      <c r="AO1062" s="754"/>
      <c r="AP1062" s="754"/>
      <c r="AQ1062" s="754"/>
      <c r="AR1062" s="754"/>
      <c r="AS1062" s="754"/>
      <c r="AT1062" s="754"/>
      <c r="AU1062" s="754"/>
    </row>
    <row r="1063" ht="15.75" customHeight="1">
      <c r="A1063" s="784">
        <v>44853.0</v>
      </c>
      <c r="B1063" s="785" t="s">
        <v>6214</v>
      </c>
      <c r="C1063" s="786" t="s">
        <v>3642</v>
      </c>
      <c r="D1063" s="787" t="s">
        <v>5903</v>
      </c>
      <c r="E1063" s="788">
        <v>50000.0</v>
      </c>
      <c r="F1063" s="787" t="s">
        <v>6215</v>
      </c>
      <c r="G1063" s="787" t="s">
        <v>18</v>
      </c>
      <c r="H1063" s="787" t="s">
        <v>29</v>
      </c>
      <c r="I1063" s="787" t="s">
        <v>633</v>
      </c>
      <c r="J1063" s="789">
        <v>44831.0</v>
      </c>
      <c r="K1063" s="755" t="s">
        <v>3647</v>
      </c>
      <c r="L1063" s="754"/>
      <c r="M1063" s="754"/>
      <c r="N1063" s="754"/>
      <c r="O1063" s="754"/>
      <c r="P1063" s="754"/>
      <c r="Q1063" s="754"/>
      <c r="R1063" s="754"/>
      <c r="S1063" s="754"/>
      <c r="T1063" s="754"/>
      <c r="U1063" s="754"/>
      <c r="V1063" s="754"/>
      <c r="W1063" s="754"/>
      <c r="X1063" s="754"/>
      <c r="Y1063" s="754"/>
      <c r="Z1063" s="754"/>
      <c r="AA1063" s="754"/>
      <c r="AB1063" s="754"/>
      <c r="AC1063" s="754"/>
      <c r="AD1063" s="754"/>
      <c r="AE1063" s="754"/>
      <c r="AF1063" s="754"/>
      <c r="AG1063" s="754"/>
      <c r="AH1063" s="754"/>
      <c r="AI1063" s="754"/>
      <c r="AJ1063" s="754"/>
      <c r="AK1063" s="754"/>
      <c r="AL1063" s="754"/>
      <c r="AM1063" s="754"/>
      <c r="AN1063" s="754"/>
      <c r="AO1063" s="754"/>
      <c r="AP1063" s="754"/>
      <c r="AQ1063" s="754"/>
      <c r="AR1063" s="754"/>
      <c r="AS1063" s="754"/>
      <c r="AT1063" s="754"/>
      <c r="AU1063" s="754"/>
    </row>
    <row r="1064" ht="15.75" customHeight="1">
      <c r="A1064" s="755">
        <v>44855.0</v>
      </c>
      <c r="B1064" s="756" t="s">
        <v>6216</v>
      </c>
      <c r="C1064" s="745" t="s">
        <v>3642</v>
      </c>
      <c r="D1064" s="745" t="s">
        <v>5903</v>
      </c>
      <c r="E1064" s="788">
        <v>10000.0</v>
      </c>
      <c r="F1064" s="787" t="s">
        <v>1267</v>
      </c>
      <c r="G1064" s="745" t="s">
        <v>18</v>
      </c>
      <c r="H1064" s="745" t="s">
        <v>19</v>
      </c>
      <c r="I1064" s="745" t="s">
        <v>6188</v>
      </c>
      <c r="J1064" s="755">
        <v>44733.0</v>
      </c>
      <c r="K1064" s="745" t="s">
        <v>3660</v>
      </c>
      <c r="L1064" s="754"/>
      <c r="M1064" s="754"/>
      <c r="N1064" s="754"/>
      <c r="O1064" s="754"/>
      <c r="P1064" s="754"/>
      <c r="Q1064" s="754"/>
      <c r="R1064" s="754"/>
      <c r="S1064" s="754"/>
      <c r="T1064" s="754"/>
      <c r="U1064" s="754"/>
      <c r="V1064" s="754"/>
      <c r="W1064" s="754"/>
      <c r="X1064" s="754"/>
      <c r="Y1064" s="754"/>
      <c r="Z1064" s="754"/>
      <c r="AA1064" s="754"/>
      <c r="AB1064" s="754"/>
      <c r="AC1064" s="754"/>
      <c r="AD1064" s="754"/>
      <c r="AE1064" s="754"/>
      <c r="AF1064" s="754"/>
      <c r="AG1064" s="754"/>
      <c r="AH1064" s="754"/>
      <c r="AI1064" s="754"/>
      <c r="AJ1064" s="754"/>
      <c r="AK1064" s="754"/>
      <c r="AL1064" s="754"/>
      <c r="AM1064" s="754"/>
      <c r="AN1064" s="754"/>
      <c r="AO1064" s="754"/>
      <c r="AP1064" s="754"/>
      <c r="AQ1064" s="754"/>
      <c r="AR1064" s="754"/>
      <c r="AS1064" s="754"/>
      <c r="AT1064" s="754"/>
      <c r="AU1064" s="754"/>
    </row>
    <row r="1065" ht="15.75" customHeight="1">
      <c r="A1065" s="784">
        <v>44860.0</v>
      </c>
      <c r="B1065" s="785" t="s">
        <v>6075</v>
      </c>
      <c r="C1065" s="786" t="s">
        <v>3642</v>
      </c>
      <c r="D1065" s="787" t="s">
        <v>5903</v>
      </c>
      <c r="E1065" s="788">
        <v>20000.0</v>
      </c>
      <c r="F1065" s="787" t="s">
        <v>3691</v>
      </c>
      <c r="G1065" s="787" t="s">
        <v>18</v>
      </c>
      <c r="H1065" s="787" t="s">
        <v>19</v>
      </c>
      <c r="I1065" s="787" t="s">
        <v>20</v>
      </c>
      <c r="J1065" s="789">
        <v>44609.0</v>
      </c>
      <c r="K1065" s="786" t="s">
        <v>3660</v>
      </c>
      <c r="L1065" s="754"/>
      <c r="M1065" s="754"/>
      <c r="N1065" s="754"/>
      <c r="O1065" s="754"/>
      <c r="P1065" s="754"/>
      <c r="Q1065" s="754"/>
      <c r="R1065" s="754"/>
      <c r="S1065" s="754"/>
      <c r="T1065" s="754"/>
      <c r="U1065" s="754"/>
      <c r="V1065" s="754"/>
      <c r="W1065" s="754"/>
      <c r="X1065" s="754"/>
      <c r="Y1065" s="754"/>
      <c r="Z1065" s="754"/>
      <c r="AA1065" s="754"/>
      <c r="AB1065" s="754"/>
      <c r="AC1065" s="754"/>
      <c r="AD1065" s="754"/>
      <c r="AE1065" s="754"/>
      <c r="AF1065" s="754"/>
      <c r="AG1065" s="754"/>
      <c r="AH1065" s="754"/>
      <c r="AI1065" s="754"/>
      <c r="AJ1065" s="754"/>
      <c r="AK1065" s="754"/>
      <c r="AL1065" s="754"/>
      <c r="AM1065" s="754"/>
      <c r="AN1065" s="754"/>
      <c r="AO1065" s="754"/>
      <c r="AP1065" s="754"/>
      <c r="AQ1065" s="754"/>
      <c r="AR1065" s="754"/>
      <c r="AS1065" s="754"/>
      <c r="AT1065" s="754"/>
      <c r="AU1065" s="754"/>
    </row>
    <row r="1066" ht="15.75" customHeight="1">
      <c r="A1066" s="755">
        <v>44861.0</v>
      </c>
      <c r="B1066" s="710">
        <v>5681841.0</v>
      </c>
      <c r="C1066" s="710" t="s">
        <v>3642</v>
      </c>
      <c r="D1066" s="745" t="s">
        <v>5903</v>
      </c>
      <c r="E1066" s="757">
        <v>50000.0</v>
      </c>
      <c r="F1066" s="825" t="s">
        <v>5093</v>
      </c>
      <c r="G1066" s="734" t="s">
        <v>18</v>
      </c>
      <c r="H1066" s="745" t="s">
        <v>19</v>
      </c>
      <c r="I1066" s="745" t="s">
        <v>201</v>
      </c>
      <c r="J1066" s="792">
        <v>44469.0</v>
      </c>
      <c r="K1066" s="783" t="s">
        <v>3660</v>
      </c>
      <c r="L1066" s="754"/>
      <c r="M1066" s="754"/>
      <c r="N1066" s="754"/>
      <c r="O1066" s="754"/>
      <c r="P1066" s="754"/>
      <c r="Q1066" s="754"/>
      <c r="R1066" s="754"/>
      <c r="S1066" s="754"/>
      <c r="T1066" s="754"/>
      <c r="U1066" s="754"/>
      <c r="V1066" s="754"/>
      <c r="W1066" s="754"/>
      <c r="X1066" s="754"/>
      <c r="Y1066" s="754"/>
      <c r="Z1066" s="754"/>
      <c r="AA1066" s="754"/>
      <c r="AB1066" s="754"/>
      <c r="AC1066" s="754"/>
      <c r="AD1066" s="754"/>
      <c r="AE1066" s="754"/>
      <c r="AF1066" s="754"/>
      <c r="AG1066" s="754"/>
      <c r="AH1066" s="754"/>
      <c r="AI1066" s="754"/>
      <c r="AJ1066" s="754"/>
      <c r="AK1066" s="754"/>
      <c r="AL1066" s="754"/>
      <c r="AM1066" s="754"/>
      <c r="AN1066" s="754"/>
      <c r="AO1066" s="754"/>
      <c r="AP1066" s="754"/>
      <c r="AQ1066" s="754"/>
      <c r="AR1066" s="754"/>
      <c r="AS1066" s="754"/>
      <c r="AT1066" s="754"/>
      <c r="AU1066" s="754"/>
    </row>
    <row r="1067" ht="15.75" customHeight="1">
      <c r="A1067" s="755">
        <v>44865.0</v>
      </c>
      <c r="B1067" s="756" t="s">
        <v>6217</v>
      </c>
      <c r="C1067" s="745" t="s">
        <v>3642</v>
      </c>
      <c r="D1067" s="745" t="s">
        <v>5903</v>
      </c>
      <c r="E1067" s="757">
        <v>10000.0</v>
      </c>
      <c r="F1067" s="745" t="s">
        <v>4156</v>
      </c>
      <c r="G1067" s="745" t="s">
        <v>18</v>
      </c>
      <c r="H1067" s="745" t="s">
        <v>465</v>
      </c>
      <c r="I1067" s="745" t="s">
        <v>4157</v>
      </c>
      <c r="J1067" s="755">
        <v>44260.0</v>
      </c>
      <c r="K1067" s="745" t="s">
        <v>3664</v>
      </c>
      <c r="L1067" s="754"/>
      <c r="M1067" s="754"/>
      <c r="N1067" s="754"/>
      <c r="O1067" s="754"/>
      <c r="P1067" s="754"/>
      <c r="Q1067" s="754"/>
      <c r="R1067" s="754"/>
      <c r="S1067" s="754"/>
      <c r="T1067" s="754"/>
      <c r="U1067" s="754"/>
      <c r="V1067" s="754"/>
      <c r="W1067" s="754"/>
      <c r="X1067" s="754"/>
      <c r="Y1067" s="754"/>
      <c r="Z1067" s="754"/>
      <c r="AA1067" s="754"/>
      <c r="AB1067" s="754"/>
      <c r="AC1067" s="754"/>
      <c r="AD1067" s="754"/>
      <c r="AE1067" s="754"/>
      <c r="AF1067" s="754"/>
      <c r="AG1067" s="754"/>
      <c r="AH1067" s="754"/>
      <c r="AI1067" s="754"/>
      <c r="AJ1067" s="754"/>
      <c r="AK1067" s="754"/>
      <c r="AL1067" s="754"/>
      <c r="AM1067" s="754"/>
      <c r="AN1067" s="754"/>
      <c r="AO1067" s="754"/>
      <c r="AP1067" s="754"/>
      <c r="AQ1067" s="754"/>
      <c r="AR1067" s="754"/>
      <c r="AS1067" s="754"/>
      <c r="AT1067" s="754"/>
      <c r="AU1067" s="754"/>
    </row>
    <row r="1068" ht="15.75" customHeight="1">
      <c r="A1068" s="755">
        <v>44865.0</v>
      </c>
      <c r="B1068" s="756" t="s">
        <v>6218</v>
      </c>
      <c r="C1068" s="745" t="s">
        <v>3642</v>
      </c>
      <c r="D1068" s="745" t="s">
        <v>5903</v>
      </c>
      <c r="E1068" s="757">
        <v>4000.0</v>
      </c>
      <c r="F1068" s="745" t="s">
        <v>4726</v>
      </c>
      <c r="G1068" s="745" t="s">
        <v>18</v>
      </c>
      <c r="H1068" s="745" t="s">
        <v>29</v>
      </c>
      <c r="I1068" s="745" t="s">
        <v>201</v>
      </c>
      <c r="J1068" s="755">
        <v>44749.0</v>
      </c>
      <c r="K1068" s="745" t="s">
        <v>3657</v>
      </c>
      <c r="L1068" s="754"/>
      <c r="M1068" s="754"/>
      <c r="N1068" s="754"/>
      <c r="O1068" s="754"/>
      <c r="P1068" s="754"/>
      <c r="Q1068" s="754"/>
      <c r="R1068" s="754"/>
      <c r="S1068" s="754"/>
      <c r="T1068" s="754"/>
      <c r="U1068" s="754"/>
      <c r="V1068" s="754"/>
      <c r="W1068" s="754"/>
      <c r="X1068" s="754"/>
      <c r="Y1068" s="754"/>
      <c r="Z1068" s="754"/>
      <c r="AA1068" s="754"/>
      <c r="AB1068" s="754"/>
      <c r="AC1068" s="754"/>
      <c r="AD1068" s="754"/>
      <c r="AE1068" s="754"/>
      <c r="AF1068" s="754"/>
      <c r="AG1068" s="754"/>
      <c r="AH1068" s="754"/>
      <c r="AI1068" s="754"/>
      <c r="AJ1068" s="754"/>
      <c r="AK1068" s="754"/>
      <c r="AL1068" s="754"/>
      <c r="AM1068" s="754"/>
      <c r="AN1068" s="754"/>
      <c r="AO1068" s="754"/>
      <c r="AP1068" s="754"/>
      <c r="AQ1068" s="754"/>
      <c r="AR1068" s="754"/>
      <c r="AS1068" s="754"/>
      <c r="AT1068" s="754"/>
      <c r="AU1068" s="754"/>
    </row>
    <row r="1069" ht="15.75" customHeight="1">
      <c r="A1069" s="784">
        <v>44865.0</v>
      </c>
      <c r="B1069" s="785" t="s">
        <v>6150</v>
      </c>
      <c r="C1069" s="786" t="s">
        <v>3642</v>
      </c>
      <c r="D1069" s="787" t="s">
        <v>5903</v>
      </c>
      <c r="E1069" s="788">
        <v>30000.0</v>
      </c>
      <c r="F1069" s="787" t="s">
        <v>1289</v>
      </c>
      <c r="G1069" s="787" t="s">
        <v>18</v>
      </c>
      <c r="H1069" s="787" t="s">
        <v>19</v>
      </c>
      <c r="I1069" s="787" t="s">
        <v>201</v>
      </c>
      <c r="J1069" s="789">
        <v>44568.0</v>
      </c>
      <c r="K1069" s="786" t="s">
        <v>4309</v>
      </c>
      <c r="L1069" s="754"/>
      <c r="M1069" s="754"/>
      <c r="N1069" s="754"/>
      <c r="O1069" s="754"/>
      <c r="P1069" s="754"/>
      <c r="Q1069" s="754"/>
      <c r="R1069" s="754"/>
      <c r="S1069" s="754"/>
      <c r="T1069" s="754"/>
      <c r="U1069" s="754"/>
      <c r="V1069" s="754"/>
      <c r="W1069" s="754"/>
      <c r="X1069" s="754"/>
      <c r="Y1069" s="754"/>
      <c r="Z1069" s="754"/>
      <c r="AA1069" s="754"/>
      <c r="AB1069" s="754"/>
      <c r="AC1069" s="754"/>
      <c r="AD1069" s="754"/>
      <c r="AE1069" s="754"/>
      <c r="AF1069" s="754"/>
      <c r="AG1069" s="754"/>
      <c r="AH1069" s="754"/>
      <c r="AI1069" s="754"/>
      <c r="AJ1069" s="754"/>
      <c r="AK1069" s="754"/>
      <c r="AL1069" s="754"/>
      <c r="AM1069" s="754"/>
      <c r="AN1069" s="754"/>
      <c r="AO1069" s="754"/>
      <c r="AP1069" s="754"/>
      <c r="AQ1069" s="754"/>
      <c r="AR1069" s="754"/>
      <c r="AS1069" s="754"/>
      <c r="AT1069" s="754"/>
      <c r="AU1069" s="754"/>
    </row>
    <row r="1070" ht="15.75" customHeight="1">
      <c r="A1070" s="755">
        <v>44866.0</v>
      </c>
      <c r="B1070" s="816">
        <v>6986262.0</v>
      </c>
      <c r="C1070" s="745" t="s">
        <v>3642</v>
      </c>
      <c r="D1070" s="745" t="s">
        <v>5903</v>
      </c>
      <c r="E1070" s="757">
        <v>500.0</v>
      </c>
      <c r="F1070" s="745" t="s">
        <v>4139</v>
      </c>
      <c r="G1070" s="734" t="s">
        <v>18</v>
      </c>
      <c r="H1070" s="745" t="s">
        <v>19</v>
      </c>
      <c r="I1070" s="745" t="s">
        <v>3978</v>
      </c>
      <c r="J1070" s="755">
        <v>44503.0</v>
      </c>
      <c r="K1070" s="710" t="s">
        <v>3693</v>
      </c>
      <c r="L1070" s="754"/>
      <c r="M1070" s="754"/>
      <c r="N1070" s="754"/>
      <c r="O1070" s="754"/>
      <c r="P1070" s="754"/>
      <c r="Q1070" s="754"/>
      <c r="R1070" s="754"/>
      <c r="S1070" s="754"/>
      <c r="T1070" s="754"/>
      <c r="U1070" s="754"/>
      <c r="V1070" s="754"/>
      <c r="W1070" s="754"/>
      <c r="X1070" s="754"/>
      <c r="Y1070" s="754"/>
      <c r="Z1070" s="754"/>
      <c r="AA1070" s="754"/>
      <c r="AB1070" s="754"/>
      <c r="AC1070" s="754"/>
      <c r="AD1070" s="754"/>
      <c r="AE1070" s="754"/>
      <c r="AF1070" s="754"/>
      <c r="AG1070" s="754"/>
      <c r="AH1070" s="754"/>
      <c r="AI1070" s="754"/>
      <c r="AJ1070" s="754"/>
      <c r="AK1070" s="754"/>
      <c r="AL1070" s="754"/>
      <c r="AM1070" s="754"/>
      <c r="AN1070" s="754"/>
      <c r="AO1070" s="754"/>
      <c r="AP1070" s="754"/>
      <c r="AQ1070" s="754"/>
      <c r="AR1070" s="754"/>
      <c r="AS1070" s="754"/>
      <c r="AT1070" s="754"/>
      <c r="AU1070" s="754"/>
    </row>
    <row r="1071" ht="15.75" customHeight="1">
      <c r="A1071" s="755">
        <v>44866.0</v>
      </c>
      <c r="B1071" s="756" t="s">
        <v>6219</v>
      </c>
      <c r="C1071" s="745" t="s">
        <v>3642</v>
      </c>
      <c r="D1071" s="745" t="s">
        <v>5903</v>
      </c>
      <c r="E1071" s="757">
        <v>15000.0</v>
      </c>
      <c r="F1071" s="745" t="s">
        <v>3710</v>
      </c>
      <c r="G1071" s="745" t="s">
        <v>86</v>
      </c>
      <c r="H1071" s="745" t="s">
        <v>29</v>
      </c>
      <c r="I1071" s="745" t="s">
        <v>5146</v>
      </c>
      <c r="J1071" s="755">
        <v>44085.0</v>
      </c>
      <c r="K1071" s="745" t="s">
        <v>3651</v>
      </c>
      <c r="L1071" s="754"/>
      <c r="M1071" s="754"/>
      <c r="N1071" s="754"/>
      <c r="O1071" s="754"/>
      <c r="P1071" s="754"/>
      <c r="Q1071" s="754"/>
      <c r="R1071" s="754"/>
      <c r="S1071" s="754"/>
      <c r="T1071" s="754"/>
      <c r="U1071" s="754"/>
      <c r="V1071" s="754"/>
      <c r="W1071" s="754"/>
      <c r="X1071" s="754"/>
      <c r="Y1071" s="754"/>
      <c r="Z1071" s="754"/>
      <c r="AA1071" s="754"/>
      <c r="AB1071" s="754"/>
      <c r="AC1071" s="754"/>
      <c r="AD1071" s="754"/>
      <c r="AE1071" s="754"/>
      <c r="AF1071" s="754"/>
      <c r="AG1071" s="754"/>
      <c r="AH1071" s="754"/>
      <c r="AI1071" s="754"/>
      <c r="AJ1071" s="754"/>
      <c r="AK1071" s="754"/>
      <c r="AL1071" s="754"/>
      <c r="AM1071" s="754"/>
      <c r="AN1071" s="754"/>
      <c r="AO1071" s="754"/>
      <c r="AP1071" s="754"/>
      <c r="AQ1071" s="754"/>
      <c r="AR1071" s="754"/>
      <c r="AS1071" s="754"/>
      <c r="AT1071" s="754"/>
      <c r="AU1071" s="754"/>
    </row>
    <row r="1072" ht="15.75" customHeight="1">
      <c r="A1072" s="755">
        <v>44868.0</v>
      </c>
      <c r="B1072" s="756" t="s">
        <v>6209</v>
      </c>
      <c r="C1072" s="745" t="s">
        <v>3642</v>
      </c>
      <c r="D1072" s="745" t="s">
        <v>5903</v>
      </c>
      <c r="E1072" s="757">
        <v>4500.0</v>
      </c>
      <c r="F1072" s="745" t="s">
        <v>492</v>
      </c>
      <c r="G1072" s="745" t="s">
        <v>18</v>
      </c>
      <c r="H1072" s="745" t="s">
        <v>29</v>
      </c>
      <c r="I1072" s="745" t="s">
        <v>110</v>
      </c>
      <c r="J1072" s="755">
        <v>44819.0</v>
      </c>
      <c r="K1072" s="745" t="s">
        <v>3660</v>
      </c>
      <c r="L1072" s="754"/>
      <c r="M1072" s="754"/>
      <c r="N1072" s="754"/>
      <c r="O1072" s="754"/>
      <c r="P1072" s="754"/>
      <c r="Q1072" s="754"/>
      <c r="R1072" s="754"/>
      <c r="S1072" s="754"/>
      <c r="T1072" s="754"/>
      <c r="U1072" s="754"/>
      <c r="V1072" s="754"/>
      <c r="W1072" s="754"/>
      <c r="X1072" s="754"/>
      <c r="Y1072" s="754"/>
      <c r="Z1072" s="754"/>
      <c r="AA1072" s="754"/>
      <c r="AB1072" s="754"/>
      <c r="AC1072" s="754"/>
      <c r="AD1072" s="754"/>
      <c r="AE1072" s="754"/>
      <c r="AF1072" s="754"/>
      <c r="AG1072" s="754"/>
      <c r="AH1072" s="754"/>
      <c r="AI1072" s="754"/>
      <c r="AJ1072" s="754"/>
      <c r="AK1072" s="754"/>
      <c r="AL1072" s="754"/>
      <c r="AM1072" s="754"/>
      <c r="AN1072" s="754"/>
      <c r="AO1072" s="754"/>
      <c r="AP1072" s="754"/>
      <c r="AQ1072" s="754"/>
      <c r="AR1072" s="754"/>
      <c r="AS1072" s="754"/>
      <c r="AT1072" s="754"/>
      <c r="AU1072" s="754"/>
    </row>
    <row r="1073" ht="15.75" customHeight="1">
      <c r="A1073" s="755">
        <v>44872.0</v>
      </c>
      <c r="B1073" s="756" t="s">
        <v>6218</v>
      </c>
      <c r="C1073" s="745" t="s">
        <v>3642</v>
      </c>
      <c r="D1073" s="745" t="s">
        <v>5903</v>
      </c>
      <c r="E1073" s="757">
        <v>6500.0</v>
      </c>
      <c r="F1073" s="745" t="s">
        <v>4726</v>
      </c>
      <c r="G1073" s="745" t="s">
        <v>18</v>
      </c>
      <c r="H1073" s="745" t="s">
        <v>29</v>
      </c>
      <c r="I1073" s="745" t="s">
        <v>201</v>
      </c>
      <c r="J1073" s="755">
        <v>44749.0</v>
      </c>
      <c r="K1073" s="745" t="s">
        <v>3657</v>
      </c>
      <c r="L1073" s="754"/>
      <c r="M1073" s="754"/>
      <c r="N1073" s="754"/>
      <c r="O1073" s="754"/>
      <c r="P1073" s="754"/>
      <c r="Q1073" s="754"/>
      <c r="R1073" s="754"/>
      <c r="S1073" s="754"/>
      <c r="T1073" s="754"/>
      <c r="U1073" s="754"/>
      <c r="V1073" s="754"/>
      <c r="W1073" s="754"/>
      <c r="X1073" s="754"/>
      <c r="Y1073" s="754"/>
      <c r="Z1073" s="754"/>
      <c r="AA1073" s="754"/>
      <c r="AB1073" s="754"/>
      <c r="AC1073" s="754"/>
      <c r="AD1073" s="754"/>
      <c r="AE1073" s="754"/>
      <c r="AF1073" s="754"/>
      <c r="AG1073" s="754"/>
      <c r="AH1073" s="754"/>
      <c r="AI1073" s="754"/>
      <c r="AJ1073" s="754"/>
      <c r="AK1073" s="754"/>
      <c r="AL1073" s="754"/>
      <c r="AM1073" s="754"/>
      <c r="AN1073" s="754"/>
      <c r="AO1073" s="754"/>
      <c r="AP1073" s="754"/>
      <c r="AQ1073" s="754"/>
      <c r="AR1073" s="754"/>
      <c r="AS1073" s="754"/>
      <c r="AT1073" s="754"/>
      <c r="AU1073" s="754"/>
    </row>
    <row r="1074" ht="15.75" customHeight="1">
      <c r="A1074" s="755">
        <v>44873.0</v>
      </c>
      <c r="B1074" s="756" t="s">
        <v>6220</v>
      </c>
      <c r="C1074" s="745" t="s">
        <v>3642</v>
      </c>
      <c r="D1074" s="745" t="s">
        <v>5903</v>
      </c>
      <c r="E1074" s="757">
        <v>100000.0</v>
      </c>
      <c r="F1074" s="745" t="s">
        <v>4578</v>
      </c>
      <c r="G1074" s="745" t="s">
        <v>18</v>
      </c>
      <c r="H1074" s="745" t="s">
        <v>19</v>
      </c>
      <c r="I1074" s="745" t="s">
        <v>52</v>
      </c>
      <c r="J1074" s="755">
        <v>44790.0</v>
      </c>
      <c r="K1074" s="745" t="s">
        <v>3660</v>
      </c>
      <c r="L1074" s="754"/>
      <c r="M1074" s="754"/>
      <c r="N1074" s="754"/>
      <c r="O1074" s="754"/>
      <c r="P1074" s="754"/>
      <c r="Q1074" s="754"/>
      <c r="R1074" s="754"/>
      <c r="S1074" s="754"/>
      <c r="T1074" s="754"/>
      <c r="U1074" s="754"/>
      <c r="V1074" s="754"/>
      <c r="W1074" s="754"/>
      <c r="X1074" s="754"/>
      <c r="Y1074" s="754"/>
      <c r="Z1074" s="754"/>
      <c r="AA1074" s="754"/>
      <c r="AB1074" s="754"/>
      <c r="AC1074" s="754"/>
      <c r="AD1074" s="754"/>
      <c r="AE1074" s="754"/>
      <c r="AF1074" s="754"/>
      <c r="AG1074" s="754"/>
      <c r="AH1074" s="754"/>
      <c r="AI1074" s="754"/>
      <c r="AJ1074" s="754"/>
      <c r="AK1074" s="754"/>
      <c r="AL1074" s="754"/>
      <c r="AM1074" s="754"/>
      <c r="AN1074" s="754"/>
      <c r="AO1074" s="754"/>
      <c r="AP1074" s="754"/>
      <c r="AQ1074" s="754"/>
      <c r="AR1074" s="754"/>
      <c r="AS1074" s="754"/>
      <c r="AT1074" s="754"/>
      <c r="AU1074" s="754"/>
    </row>
    <row r="1075" ht="15.75" customHeight="1">
      <c r="A1075" s="755">
        <v>44873.0</v>
      </c>
      <c r="B1075" s="816" t="s">
        <v>6068</v>
      </c>
      <c r="C1075" s="745" t="s">
        <v>3642</v>
      </c>
      <c r="D1075" s="745" t="s">
        <v>5903</v>
      </c>
      <c r="E1075" s="757">
        <v>30000.0</v>
      </c>
      <c r="F1075" s="745" t="s">
        <v>1426</v>
      </c>
      <c r="G1075" s="734" t="s">
        <v>18</v>
      </c>
      <c r="H1075" s="825" t="s">
        <v>29</v>
      </c>
      <c r="I1075" s="734" t="s">
        <v>6069</v>
      </c>
      <c r="J1075" s="781">
        <v>44594.0</v>
      </c>
      <c r="K1075" s="745" t="s">
        <v>3657</v>
      </c>
      <c r="L1075" s="754"/>
      <c r="M1075" s="754"/>
      <c r="N1075" s="754"/>
      <c r="O1075" s="754"/>
      <c r="P1075" s="754"/>
      <c r="Q1075" s="754"/>
      <c r="R1075" s="754"/>
      <c r="S1075" s="754"/>
      <c r="T1075" s="754"/>
      <c r="U1075" s="754"/>
      <c r="V1075" s="754"/>
      <c r="W1075" s="754"/>
      <c r="X1075" s="754"/>
      <c r="Y1075" s="754"/>
      <c r="Z1075" s="754"/>
      <c r="AA1075" s="754"/>
      <c r="AB1075" s="754"/>
      <c r="AC1075" s="754"/>
      <c r="AD1075" s="754"/>
      <c r="AE1075" s="754"/>
      <c r="AF1075" s="754"/>
      <c r="AG1075" s="754"/>
      <c r="AH1075" s="754"/>
      <c r="AI1075" s="754"/>
      <c r="AJ1075" s="754"/>
      <c r="AK1075" s="754"/>
      <c r="AL1075" s="754"/>
      <c r="AM1075" s="754"/>
      <c r="AN1075" s="754"/>
      <c r="AO1075" s="754"/>
      <c r="AP1075" s="754"/>
      <c r="AQ1075" s="754"/>
      <c r="AR1075" s="754"/>
      <c r="AS1075" s="754"/>
      <c r="AT1075" s="754"/>
      <c r="AU1075" s="754"/>
    </row>
    <row r="1076" ht="15.75" customHeight="1">
      <c r="A1076" s="755">
        <v>44874.0</v>
      </c>
      <c r="B1076" s="756" t="s">
        <v>6216</v>
      </c>
      <c r="C1076" s="745" t="s">
        <v>3642</v>
      </c>
      <c r="D1076" s="745" t="s">
        <v>5903</v>
      </c>
      <c r="E1076" s="757">
        <v>1000.0</v>
      </c>
      <c r="F1076" s="745" t="s">
        <v>6221</v>
      </c>
      <c r="G1076" s="745" t="s">
        <v>18</v>
      </c>
      <c r="H1076" s="745" t="s">
        <v>19</v>
      </c>
      <c r="I1076" s="745" t="s">
        <v>6188</v>
      </c>
      <c r="J1076" s="755">
        <v>44733.0</v>
      </c>
      <c r="K1076" s="745" t="s">
        <v>3660</v>
      </c>
      <c r="L1076" s="754"/>
      <c r="M1076" s="754"/>
      <c r="N1076" s="754"/>
      <c r="O1076" s="754"/>
      <c r="P1076" s="754"/>
      <c r="Q1076" s="754"/>
      <c r="R1076" s="754"/>
      <c r="S1076" s="754"/>
      <c r="T1076" s="754"/>
      <c r="U1076" s="754"/>
      <c r="V1076" s="754"/>
      <c r="W1076" s="754"/>
      <c r="X1076" s="754"/>
      <c r="Y1076" s="754"/>
      <c r="Z1076" s="754"/>
      <c r="AA1076" s="754"/>
      <c r="AB1076" s="754"/>
      <c r="AC1076" s="754"/>
      <c r="AD1076" s="754"/>
      <c r="AE1076" s="754"/>
      <c r="AF1076" s="754"/>
      <c r="AG1076" s="754"/>
      <c r="AH1076" s="754"/>
      <c r="AI1076" s="754"/>
      <c r="AJ1076" s="754"/>
      <c r="AK1076" s="754"/>
      <c r="AL1076" s="754"/>
      <c r="AM1076" s="754"/>
      <c r="AN1076" s="754"/>
      <c r="AO1076" s="754"/>
      <c r="AP1076" s="754"/>
      <c r="AQ1076" s="754"/>
      <c r="AR1076" s="754"/>
      <c r="AS1076" s="754"/>
      <c r="AT1076" s="754"/>
      <c r="AU1076" s="754"/>
    </row>
    <row r="1077" ht="15.75" customHeight="1">
      <c r="A1077" s="755">
        <v>44874.0</v>
      </c>
      <c r="B1077" s="756" t="s">
        <v>6222</v>
      </c>
      <c r="C1077" s="745" t="s">
        <v>3642</v>
      </c>
      <c r="D1077" s="745" t="s">
        <v>5903</v>
      </c>
      <c r="E1077" s="757">
        <v>60000.0</v>
      </c>
      <c r="F1077" s="745" t="s">
        <v>2169</v>
      </c>
      <c r="G1077" s="745" t="s">
        <v>18</v>
      </c>
      <c r="H1077" s="745" t="s">
        <v>29</v>
      </c>
      <c r="I1077" s="745" t="s">
        <v>137</v>
      </c>
      <c r="J1077" s="755">
        <v>44802.0</v>
      </c>
      <c r="K1077" s="745" t="s">
        <v>3657</v>
      </c>
      <c r="L1077" s="754"/>
      <c r="M1077" s="754"/>
      <c r="N1077" s="754"/>
      <c r="O1077" s="754"/>
      <c r="P1077" s="754"/>
      <c r="Q1077" s="754"/>
      <c r="R1077" s="754"/>
      <c r="S1077" s="754"/>
      <c r="T1077" s="754"/>
      <c r="U1077" s="754"/>
      <c r="V1077" s="754"/>
      <c r="W1077" s="754"/>
      <c r="X1077" s="754"/>
      <c r="Y1077" s="754"/>
      <c r="Z1077" s="754"/>
      <c r="AA1077" s="754"/>
      <c r="AB1077" s="754"/>
      <c r="AC1077" s="754"/>
      <c r="AD1077" s="754"/>
      <c r="AE1077" s="754"/>
      <c r="AF1077" s="754"/>
      <c r="AG1077" s="754"/>
      <c r="AH1077" s="754"/>
      <c r="AI1077" s="754"/>
      <c r="AJ1077" s="754"/>
      <c r="AK1077" s="754"/>
      <c r="AL1077" s="754"/>
      <c r="AM1077" s="754"/>
      <c r="AN1077" s="754"/>
      <c r="AO1077" s="754"/>
      <c r="AP1077" s="754"/>
      <c r="AQ1077" s="754"/>
      <c r="AR1077" s="754"/>
      <c r="AS1077" s="754"/>
      <c r="AT1077" s="754"/>
      <c r="AU1077" s="754"/>
    </row>
    <row r="1078" ht="15.75" customHeight="1">
      <c r="A1078" s="755">
        <v>44874.0</v>
      </c>
      <c r="B1078" s="756" t="s">
        <v>6164</v>
      </c>
      <c r="C1078" s="745" t="s">
        <v>3642</v>
      </c>
      <c r="D1078" s="745" t="s">
        <v>5903</v>
      </c>
      <c r="E1078" s="757">
        <v>8000.0</v>
      </c>
      <c r="F1078" s="745" t="s">
        <v>4565</v>
      </c>
      <c r="G1078" s="745" t="s">
        <v>18</v>
      </c>
      <c r="H1078" s="745" t="s">
        <v>29</v>
      </c>
      <c r="I1078" s="745" t="s">
        <v>2633</v>
      </c>
      <c r="J1078" s="755">
        <v>44393.0</v>
      </c>
      <c r="K1078" s="745" t="s">
        <v>3647</v>
      </c>
      <c r="L1078" s="754"/>
      <c r="M1078" s="754"/>
      <c r="N1078" s="754"/>
      <c r="O1078" s="754"/>
      <c r="P1078" s="754"/>
      <c r="Q1078" s="754"/>
      <c r="R1078" s="754"/>
      <c r="S1078" s="754"/>
      <c r="T1078" s="754"/>
      <c r="U1078" s="754"/>
      <c r="V1078" s="754"/>
      <c r="W1078" s="754"/>
      <c r="X1078" s="754"/>
      <c r="Y1078" s="754"/>
      <c r="Z1078" s="754"/>
      <c r="AA1078" s="754"/>
      <c r="AB1078" s="754"/>
      <c r="AC1078" s="754"/>
      <c r="AD1078" s="754"/>
      <c r="AE1078" s="754"/>
      <c r="AF1078" s="754"/>
      <c r="AG1078" s="754"/>
      <c r="AH1078" s="754"/>
      <c r="AI1078" s="754"/>
      <c r="AJ1078" s="754"/>
      <c r="AK1078" s="754"/>
      <c r="AL1078" s="754"/>
      <c r="AM1078" s="754"/>
      <c r="AN1078" s="754"/>
      <c r="AO1078" s="754"/>
      <c r="AP1078" s="754"/>
      <c r="AQ1078" s="754"/>
      <c r="AR1078" s="754"/>
      <c r="AS1078" s="754"/>
      <c r="AT1078" s="754"/>
      <c r="AU1078" s="754"/>
    </row>
    <row r="1079" ht="15.75" customHeight="1">
      <c r="A1079" s="755">
        <v>44875.0</v>
      </c>
      <c r="B1079" s="756" t="s">
        <v>6223</v>
      </c>
      <c r="C1079" s="745" t="s">
        <v>3642</v>
      </c>
      <c r="D1079" s="745" t="s">
        <v>5903</v>
      </c>
      <c r="E1079" s="757">
        <v>6000.0</v>
      </c>
      <c r="F1079" s="745" t="s">
        <v>295</v>
      </c>
      <c r="G1079" s="745" t="s">
        <v>18</v>
      </c>
      <c r="H1079" s="745" t="s">
        <v>19</v>
      </c>
      <c r="I1079" s="745" t="s">
        <v>201</v>
      </c>
      <c r="J1079" s="755">
        <v>44767.0</v>
      </c>
      <c r="K1079" s="745" t="s">
        <v>3657</v>
      </c>
      <c r="L1079" s="754"/>
      <c r="M1079" s="754"/>
      <c r="N1079" s="754"/>
      <c r="O1079" s="754"/>
      <c r="P1079" s="754"/>
      <c r="Q1079" s="754"/>
      <c r="R1079" s="754"/>
      <c r="S1079" s="754"/>
      <c r="T1079" s="754"/>
      <c r="U1079" s="754"/>
      <c r="V1079" s="754"/>
      <c r="W1079" s="754"/>
      <c r="X1079" s="754"/>
      <c r="Y1079" s="754"/>
      <c r="Z1079" s="754"/>
      <c r="AA1079" s="754"/>
      <c r="AB1079" s="754"/>
      <c r="AC1079" s="754"/>
      <c r="AD1079" s="754"/>
      <c r="AE1079" s="754"/>
      <c r="AF1079" s="754"/>
      <c r="AG1079" s="754"/>
      <c r="AH1079" s="754"/>
      <c r="AI1079" s="754"/>
      <c r="AJ1079" s="754"/>
      <c r="AK1079" s="754"/>
      <c r="AL1079" s="754"/>
      <c r="AM1079" s="754"/>
      <c r="AN1079" s="754"/>
      <c r="AO1079" s="754"/>
      <c r="AP1079" s="754"/>
      <c r="AQ1079" s="754"/>
      <c r="AR1079" s="754"/>
      <c r="AS1079" s="754"/>
      <c r="AT1079" s="754"/>
      <c r="AU1079" s="754"/>
    </row>
    <row r="1080" ht="15.75" customHeight="1">
      <c r="A1080" s="755">
        <v>44879.0</v>
      </c>
      <c r="B1080" s="800" t="s">
        <v>6194</v>
      </c>
      <c r="C1080" s="770" t="s">
        <v>3642</v>
      </c>
      <c r="D1080" s="745" t="s">
        <v>5903</v>
      </c>
      <c r="E1080" s="771">
        <v>85000.0</v>
      </c>
      <c r="F1080" s="745" t="s">
        <v>4697</v>
      </c>
      <c r="G1080" s="755" t="s">
        <v>18</v>
      </c>
      <c r="H1080" s="755" t="s">
        <v>19</v>
      </c>
      <c r="I1080" s="755" t="s">
        <v>52</v>
      </c>
      <c r="J1080" s="755">
        <v>44698.0</v>
      </c>
      <c r="K1080" s="755" t="s">
        <v>3664</v>
      </c>
      <c r="L1080" s="754"/>
      <c r="M1080" s="754"/>
      <c r="N1080" s="754"/>
      <c r="O1080" s="754"/>
      <c r="P1080" s="754"/>
      <c r="Q1080" s="754"/>
      <c r="R1080" s="754"/>
      <c r="S1080" s="754"/>
      <c r="T1080" s="754"/>
      <c r="U1080" s="754"/>
      <c r="V1080" s="754"/>
      <c r="W1080" s="754"/>
      <c r="X1080" s="754"/>
      <c r="Y1080" s="754"/>
      <c r="Z1080" s="754"/>
      <c r="AA1080" s="754"/>
      <c r="AB1080" s="754"/>
      <c r="AC1080" s="754"/>
      <c r="AD1080" s="754"/>
      <c r="AE1080" s="754"/>
      <c r="AF1080" s="754"/>
      <c r="AG1080" s="754"/>
      <c r="AH1080" s="754"/>
      <c r="AI1080" s="754"/>
      <c r="AJ1080" s="754"/>
      <c r="AK1080" s="754"/>
      <c r="AL1080" s="754"/>
      <c r="AM1080" s="754"/>
      <c r="AN1080" s="754"/>
      <c r="AO1080" s="754"/>
      <c r="AP1080" s="754"/>
      <c r="AQ1080" s="754"/>
      <c r="AR1080" s="754"/>
      <c r="AS1080" s="754"/>
      <c r="AT1080" s="754"/>
      <c r="AU1080" s="754"/>
    </row>
    <row r="1081" ht="15.75" customHeight="1">
      <c r="A1081" s="755">
        <v>44879.0</v>
      </c>
      <c r="B1081" s="710">
        <v>5681841.0</v>
      </c>
      <c r="C1081" s="710" t="s">
        <v>3642</v>
      </c>
      <c r="D1081" s="745" t="s">
        <v>5903</v>
      </c>
      <c r="E1081" s="757">
        <v>100000.0</v>
      </c>
      <c r="F1081" s="825" t="s">
        <v>5093</v>
      </c>
      <c r="G1081" s="734" t="s">
        <v>18</v>
      </c>
      <c r="H1081" s="745" t="s">
        <v>19</v>
      </c>
      <c r="I1081" s="745" t="s">
        <v>201</v>
      </c>
      <c r="J1081" s="792">
        <v>44469.0</v>
      </c>
      <c r="K1081" s="783" t="s">
        <v>3660</v>
      </c>
      <c r="L1081" s="754"/>
      <c r="M1081" s="754"/>
      <c r="N1081" s="754"/>
      <c r="O1081" s="754"/>
      <c r="P1081" s="754"/>
      <c r="Q1081" s="754"/>
      <c r="R1081" s="754"/>
      <c r="S1081" s="754"/>
      <c r="T1081" s="754"/>
      <c r="U1081" s="754"/>
      <c r="V1081" s="754"/>
      <c r="W1081" s="754"/>
      <c r="X1081" s="754"/>
      <c r="Y1081" s="754"/>
      <c r="Z1081" s="754"/>
      <c r="AA1081" s="754"/>
      <c r="AB1081" s="754"/>
      <c r="AC1081" s="754"/>
      <c r="AD1081" s="754"/>
      <c r="AE1081" s="754"/>
      <c r="AF1081" s="754"/>
      <c r="AG1081" s="754"/>
      <c r="AH1081" s="754"/>
      <c r="AI1081" s="754"/>
      <c r="AJ1081" s="754"/>
      <c r="AK1081" s="754"/>
      <c r="AL1081" s="754"/>
      <c r="AM1081" s="754"/>
      <c r="AN1081" s="754"/>
      <c r="AO1081" s="754"/>
      <c r="AP1081" s="754"/>
      <c r="AQ1081" s="754"/>
      <c r="AR1081" s="754"/>
      <c r="AS1081" s="754"/>
      <c r="AT1081" s="754"/>
      <c r="AU1081" s="754"/>
    </row>
    <row r="1082" ht="15.75" customHeight="1">
      <c r="A1082" s="755">
        <v>44881.0</v>
      </c>
      <c r="B1082" s="756" t="s">
        <v>6224</v>
      </c>
      <c r="C1082" s="745" t="s">
        <v>3642</v>
      </c>
      <c r="D1082" s="745" t="s">
        <v>5903</v>
      </c>
      <c r="E1082" s="757">
        <v>5000.0</v>
      </c>
      <c r="F1082" s="745" t="s">
        <v>181</v>
      </c>
      <c r="G1082" s="745" t="s">
        <v>86</v>
      </c>
      <c r="H1082" s="745" t="s">
        <v>29</v>
      </c>
      <c r="I1082" s="745" t="s">
        <v>3697</v>
      </c>
      <c r="J1082" s="755">
        <v>44231.0</v>
      </c>
      <c r="K1082" s="745" t="s">
        <v>3664</v>
      </c>
      <c r="L1082" s="754"/>
      <c r="M1082" s="754"/>
      <c r="N1082" s="754"/>
      <c r="O1082" s="754"/>
      <c r="P1082" s="754"/>
      <c r="Q1082" s="754"/>
      <c r="R1082" s="754"/>
      <c r="S1082" s="754"/>
      <c r="T1082" s="754"/>
      <c r="U1082" s="754"/>
      <c r="V1082" s="754"/>
      <c r="W1082" s="754"/>
      <c r="X1082" s="754"/>
      <c r="Y1082" s="754"/>
      <c r="Z1082" s="754"/>
      <c r="AA1082" s="754"/>
      <c r="AB1082" s="754"/>
      <c r="AC1082" s="754"/>
      <c r="AD1082" s="754"/>
      <c r="AE1082" s="754"/>
      <c r="AF1082" s="754"/>
      <c r="AG1082" s="754"/>
      <c r="AH1082" s="754"/>
      <c r="AI1082" s="754"/>
      <c r="AJ1082" s="754"/>
      <c r="AK1082" s="754"/>
      <c r="AL1082" s="754"/>
      <c r="AM1082" s="754"/>
      <c r="AN1082" s="754"/>
      <c r="AO1082" s="754"/>
      <c r="AP1082" s="754"/>
      <c r="AQ1082" s="754"/>
      <c r="AR1082" s="754"/>
      <c r="AS1082" s="754"/>
      <c r="AT1082" s="754"/>
      <c r="AU1082" s="754"/>
    </row>
    <row r="1083" ht="15.75" customHeight="1">
      <c r="A1083" s="755">
        <v>44881.0</v>
      </c>
      <c r="B1083" s="803" t="s">
        <v>6059</v>
      </c>
      <c r="C1083" s="770" t="s">
        <v>3642</v>
      </c>
      <c r="D1083" s="745" t="s">
        <v>5903</v>
      </c>
      <c r="E1083" s="771">
        <v>20000.0</v>
      </c>
      <c r="F1083" s="745" t="s">
        <v>3797</v>
      </c>
      <c r="G1083" s="745" t="s">
        <v>18</v>
      </c>
      <c r="H1083" s="745" t="s">
        <v>29</v>
      </c>
      <c r="I1083" s="745" t="s">
        <v>3798</v>
      </c>
      <c r="J1083" s="755">
        <v>44061.0</v>
      </c>
      <c r="K1083" s="745" t="s">
        <v>3651</v>
      </c>
      <c r="L1083" s="754"/>
      <c r="M1083" s="754"/>
      <c r="N1083" s="754"/>
      <c r="O1083" s="754"/>
      <c r="P1083" s="754"/>
      <c r="Q1083" s="754"/>
      <c r="R1083" s="754"/>
      <c r="S1083" s="754"/>
      <c r="T1083" s="754"/>
      <c r="U1083" s="754"/>
      <c r="V1083" s="754"/>
      <c r="W1083" s="754"/>
      <c r="X1083" s="754"/>
      <c r="Y1083" s="754"/>
      <c r="Z1083" s="754"/>
      <c r="AA1083" s="754"/>
      <c r="AB1083" s="754"/>
      <c r="AC1083" s="754"/>
      <c r="AD1083" s="754"/>
      <c r="AE1083" s="754"/>
      <c r="AF1083" s="754"/>
      <c r="AG1083" s="754"/>
      <c r="AH1083" s="754"/>
      <c r="AI1083" s="754"/>
      <c r="AJ1083" s="754"/>
      <c r="AK1083" s="754"/>
      <c r="AL1083" s="754"/>
      <c r="AM1083" s="754"/>
      <c r="AN1083" s="754"/>
      <c r="AO1083" s="754"/>
      <c r="AP1083" s="754"/>
      <c r="AQ1083" s="754"/>
      <c r="AR1083" s="754"/>
      <c r="AS1083" s="754"/>
      <c r="AT1083" s="754"/>
      <c r="AU1083" s="754"/>
    </row>
    <row r="1084" ht="15.75" customHeight="1">
      <c r="A1084" s="755">
        <v>44882.0</v>
      </c>
      <c r="B1084" s="756" t="s">
        <v>6225</v>
      </c>
      <c r="C1084" s="745" t="s">
        <v>3642</v>
      </c>
      <c r="D1084" s="745" t="s">
        <v>5903</v>
      </c>
      <c r="E1084" s="757">
        <v>10000.0</v>
      </c>
      <c r="F1084" s="745" t="s">
        <v>2703</v>
      </c>
      <c r="G1084" s="745" t="s">
        <v>18</v>
      </c>
      <c r="H1084" s="745" t="s">
        <v>29</v>
      </c>
      <c r="I1084" s="745" t="s">
        <v>137</v>
      </c>
      <c r="J1084" s="755">
        <v>44644.0</v>
      </c>
      <c r="K1084" s="745" t="s">
        <v>3657</v>
      </c>
      <c r="L1084" s="754"/>
      <c r="M1084" s="754"/>
      <c r="N1084" s="754"/>
      <c r="O1084" s="754"/>
      <c r="P1084" s="754"/>
      <c r="Q1084" s="754"/>
      <c r="R1084" s="754"/>
      <c r="S1084" s="754"/>
      <c r="T1084" s="754"/>
      <c r="U1084" s="754"/>
      <c r="V1084" s="754"/>
      <c r="W1084" s="754"/>
      <c r="X1084" s="754"/>
      <c r="Y1084" s="754"/>
      <c r="Z1084" s="754"/>
      <c r="AA1084" s="754"/>
      <c r="AB1084" s="754"/>
      <c r="AC1084" s="754"/>
      <c r="AD1084" s="754"/>
      <c r="AE1084" s="754"/>
      <c r="AF1084" s="754"/>
      <c r="AG1084" s="754"/>
      <c r="AH1084" s="754"/>
      <c r="AI1084" s="754"/>
      <c r="AJ1084" s="754"/>
      <c r="AK1084" s="754"/>
      <c r="AL1084" s="754"/>
      <c r="AM1084" s="754"/>
      <c r="AN1084" s="754"/>
      <c r="AO1084" s="754"/>
      <c r="AP1084" s="754"/>
      <c r="AQ1084" s="754"/>
      <c r="AR1084" s="754"/>
      <c r="AS1084" s="754"/>
      <c r="AT1084" s="754"/>
      <c r="AU1084" s="754"/>
    </row>
    <row r="1085" ht="15.75" customHeight="1">
      <c r="A1085" s="755">
        <v>44887.0</v>
      </c>
      <c r="B1085" s="756" t="s">
        <v>6226</v>
      </c>
      <c r="C1085" s="745" t="s">
        <v>3642</v>
      </c>
      <c r="D1085" s="745" t="s">
        <v>5903</v>
      </c>
      <c r="E1085" s="757">
        <v>18042.73</v>
      </c>
      <c r="F1085" s="745" t="s">
        <v>4421</v>
      </c>
      <c r="G1085" s="745" t="s">
        <v>18</v>
      </c>
      <c r="H1085" s="745" t="s">
        <v>19</v>
      </c>
      <c r="I1085" s="745" t="s">
        <v>1672</v>
      </c>
      <c r="J1085" s="745" t="s">
        <v>2430</v>
      </c>
      <c r="K1085" s="745" t="s">
        <v>3657</v>
      </c>
      <c r="L1085" s="754"/>
      <c r="M1085" s="754"/>
      <c r="N1085" s="754"/>
      <c r="O1085" s="754"/>
      <c r="P1085" s="754"/>
      <c r="Q1085" s="754"/>
      <c r="R1085" s="754"/>
      <c r="S1085" s="754"/>
      <c r="T1085" s="754"/>
      <c r="U1085" s="754"/>
      <c r="V1085" s="754"/>
      <c r="W1085" s="754"/>
      <c r="X1085" s="754"/>
      <c r="Y1085" s="754"/>
      <c r="Z1085" s="754"/>
      <c r="AA1085" s="754"/>
      <c r="AB1085" s="754"/>
      <c r="AC1085" s="754"/>
      <c r="AD1085" s="754"/>
      <c r="AE1085" s="754"/>
      <c r="AF1085" s="754"/>
      <c r="AG1085" s="754"/>
      <c r="AH1085" s="754"/>
      <c r="AI1085" s="754"/>
      <c r="AJ1085" s="754"/>
      <c r="AK1085" s="754"/>
      <c r="AL1085" s="754"/>
      <c r="AM1085" s="754"/>
      <c r="AN1085" s="754"/>
      <c r="AO1085" s="754"/>
      <c r="AP1085" s="754"/>
      <c r="AQ1085" s="754"/>
      <c r="AR1085" s="754"/>
      <c r="AS1085" s="754"/>
      <c r="AT1085" s="754"/>
      <c r="AU1085" s="754"/>
    </row>
    <row r="1086" ht="15.75" customHeight="1">
      <c r="A1086" s="755">
        <v>44889.0</v>
      </c>
      <c r="B1086" s="756" t="s">
        <v>6164</v>
      </c>
      <c r="C1086" s="745" t="s">
        <v>3642</v>
      </c>
      <c r="D1086" s="745" t="s">
        <v>5903</v>
      </c>
      <c r="E1086" s="757">
        <v>33000.0</v>
      </c>
      <c r="F1086" s="745" t="s">
        <v>4565</v>
      </c>
      <c r="G1086" s="745" t="s">
        <v>18</v>
      </c>
      <c r="H1086" s="745" t="s">
        <v>29</v>
      </c>
      <c r="I1086" s="745" t="s">
        <v>2633</v>
      </c>
      <c r="J1086" s="755">
        <v>44393.0</v>
      </c>
      <c r="K1086" s="745" t="s">
        <v>3647</v>
      </c>
      <c r="L1086" s="754"/>
      <c r="M1086" s="754"/>
      <c r="N1086" s="754"/>
      <c r="O1086" s="754"/>
      <c r="P1086" s="754"/>
      <c r="Q1086" s="754"/>
      <c r="R1086" s="754"/>
      <c r="S1086" s="754"/>
      <c r="T1086" s="754"/>
      <c r="U1086" s="754"/>
      <c r="V1086" s="754"/>
      <c r="W1086" s="754"/>
      <c r="X1086" s="754"/>
      <c r="Y1086" s="754"/>
      <c r="Z1086" s="754"/>
      <c r="AA1086" s="754"/>
      <c r="AB1086" s="754"/>
      <c r="AC1086" s="754"/>
      <c r="AD1086" s="754"/>
      <c r="AE1086" s="754"/>
      <c r="AF1086" s="754"/>
      <c r="AG1086" s="754"/>
      <c r="AH1086" s="754"/>
      <c r="AI1086" s="754"/>
      <c r="AJ1086" s="754"/>
      <c r="AK1086" s="754"/>
      <c r="AL1086" s="754"/>
      <c r="AM1086" s="754"/>
      <c r="AN1086" s="754"/>
      <c r="AO1086" s="754"/>
      <c r="AP1086" s="754"/>
      <c r="AQ1086" s="754"/>
      <c r="AR1086" s="754"/>
      <c r="AS1086" s="754"/>
      <c r="AT1086" s="754"/>
      <c r="AU1086" s="754"/>
    </row>
    <row r="1087" ht="15.75" customHeight="1">
      <c r="A1087" s="784">
        <v>44889.0</v>
      </c>
      <c r="B1087" s="785" t="s">
        <v>6075</v>
      </c>
      <c r="C1087" s="786" t="s">
        <v>3642</v>
      </c>
      <c r="D1087" s="787" t="s">
        <v>5903</v>
      </c>
      <c r="E1087" s="788">
        <v>7000.0</v>
      </c>
      <c r="F1087" s="787" t="s">
        <v>3691</v>
      </c>
      <c r="G1087" s="787" t="s">
        <v>18</v>
      </c>
      <c r="H1087" s="787" t="s">
        <v>19</v>
      </c>
      <c r="I1087" s="787" t="s">
        <v>20</v>
      </c>
      <c r="J1087" s="789">
        <v>44609.0</v>
      </c>
      <c r="K1087" s="786" t="s">
        <v>3660</v>
      </c>
      <c r="L1087" s="754"/>
      <c r="M1087" s="754"/>
      <c r="N1087" s="754"/>
      <c r="O1087" s="754"/>
      <c r="P1087" s="754"/>
      <c r="Q1087" s="754"/>
      <c r="R1087" s="754"/>
      <c r="S1087" s="754"/>
      <c r="T1087" s="754"/>
      <c r="U1087" s="754"/>
      <c r="V1087" s="754"/>
      <c r="W1087" s="754"/>
      <c r="X1087" s="754"/>
      <c r="Y1087" s="754"/>
      <c r="Z1087" s="754"/>
      <c r="AA1087" s="754"/>
      <c r="AB1087" s="754"/>
      <c r="AC1087" s="754"/>
      <c r="AD1087" s="754"/>
      <c r="AE1087" s="754"/>
      <c r="AF1087" s="754"/>
      <c r="AG1087" s="754"/>
      <c r="AH1087" s="754"/>
      <c r="AI1087" s="754"/>
      <c r="AJ1087" s="754"/>
      <c r="AK1087" s="754"/>
      <c r="AL1087" s="754"/>
      <c r="AM1087" s="754"/>
      <c r="AN1087" s="754"/>
      <c r="AO1087" s="754"/>
      <c r="AP1087" s="754"/>
      <c r="AQ1087" s="754"/>
      <c r="AR1087" s="754"/>
      <c r="AS1087" s="754"/>
      <c r="AT1087" s="754"/>
      <c r="AU1087" s="754"/>
    </row>
    <row r="1088" ht="15.75" customHeight="1">
      <c r="A1088" s="784">
        <v>44889.0</v>
      </c>
      <c r="B1088" s="785" t="s">
        <v>6075</v>
      </c>
      <c r="C1088" s="786" t="s">
        <v>3642</v>
      </c>
      <c r="D1088" s="787" t="s">
        <v>5903</v>
      </c>
      <c r="E1088" s="788">
        <v>7000.0</v>
      </c>
      <c r="F1088" s="787" t="s">
        <v>3691</v>
      </c>
      <c r="G1088" s="787" t="s">
        <v>18</v>
      </c>
      <c r="H1088" s="787" t="s">
        <v>19</v>
      </c>
      <c r="I1088" s="787" t="s">
        <v>20</v>
      </c>
      <c r="J1088" s="789">
        <v>44609.0</v>
      </c>
      <c r="K1088" s="786" t="s">
        <v>3660</v>
      </c>
      <c r="L1088" s="754"/>
      <c r="M1088" s="754"/>
      <c r="N1088" s="754"/>
      <c r="O1088" s="754"/>
      <c r="P1088" s="754"/>
      <c r="Q1088" s="754"/>
      <c r="R1088" s="754"/>
      <c r="S1088" s="754"/>
      <c r="T1088" s="754"/>
      <c r="U1088" s="754"/>
      <c r="V1088" s="754"/>
      <c r="W1088" s="754"/>
      <c r="X1088" s="754"/>
      <c r="Y1088" s="754"/>
      <c r="Z1088" s="754"/>
      <c r="AA1088" s="754"/>
      <c r="AB1088" s="754"/>
      <c r="AC1088" s="754"/>
      <c r="AD1088" s="754"/>
      <c r="AE1088" s="754"/>
      <c r="AF1088" s="754"/>
      <c r="AG1088" s="754"/>
      <c r="AH1088" s="754"/>
      <c r="AI1088" s="754"/>
      <c r="AJ1088" s="754"/>
      <c r="AK1088" s="754"/>
      <c r="AL1088" s="754"/>
      <c r="AM1088" s="754"/>
      <c r="AN1088" s="754"/>
      <c r="AO1088" s="754"/>
      <c r="AP1088" s="754"/>
      <c r="AQ1088" s="754"/>
      <c r="AR1088" s="754"/>
      <c r="AS1088" s="754"/>
      <c r="AT1088" s="754"/>
      <c r="AU1088" s="754"/>
    </row>
    <row r="1089" ht="15.75" customHeight="1">
      <c r="A1089" s="755">
        <v>44890.0</v>
      </c>
      <c r="B1089" s="756" t="s">
        <v>6227</v>
      </c>
      <c r="C1089" s="745" t="s">
        <v>3642</v>
      </c>
      <c r="D1089" s="745" t="s">
        <v>5903</v>
      </c>
      <c r="E1089" s="757">
        <v>3000.0</v>
      </c>
      <c r="F1089" s="745" t="s">
        <v>6228</v>
      </c>
      <c r="G1089" s="745" t="s">
        <v>86</v>
      </c>
      <c r="H1089" s="745" t="s">
        <v>29</v>
      </c>
      <c r="I1089" s="745" t="s">
        <v>3997</v>
      </c>
      <c r="J1089" s="755">
        <v>44840.0</v>
      </c>
      <c r="K1089" s="745" t="s">
        <v>3657</v>
      </c>
      <c r="L1089" s="754"/>
      <c r="M1089" s="754"/>
      <c r="N1089" s="754"/>
      <c r="O1089" s="754"/>
      <c r="P1089" s="754"/>
      <c r="Q1089" s="754"/>
      <c r="R1089" s="754"/>
      <c r="S1089" s="754"/>
      <c r="T1089" s="754"/>
      <c r="U1089" s="754"/>
      <c r="V1089" s="754"/>
      <c r="W1089" s="754"/>
      <c r="X1089" s="754"/>
      <c r="Y1089" s="754"/>
      <c r="Z1089" s="754"/>
      <c r="AA1089" s="754"/>
      <c r="AB1089" s="754"/>
      <c r="AC1089" s="754"/>
      <c r="AD1089" s="754"/>
      <c r="AE1089" s="754"/>
      <c r="AF1089" s="754"/>
      <c r="AG1089" s="754"/>
      <c r="AH1089" s="754"/>
      <c r="AI1089" s="754"/>
      <c r="AJ1089" s="754"/>
      <c r="AK1089" s="754"/>
      <c r="AL1089" s="754"/>
      <c r="AM1089" s="754"/>
      <c r="AN1089" s="754"/>
      <c r="AO1089" s="754"/>
      <c r="AP1089" s="754"/>
      <c r="AQ1089" s="754"/>
      <c r="AR1089" s="754"/>
      <c r="AS1089" s="754"/>
      <c r="AT1089" s="754"/>
      <c r="AU1089" s="754"/>
    </row>
    <row r="1090" ht="15.75" customHeight="1">
      <c r="A1090" s="755">
        <v>44890.0</v>
      </c>
      <c r="B1090" s="785" t="s">
        <v>6150</v>
      </c>
      <c r="C1090" s="786" t="s">
        <v>3642</v>
      </c>
      <c r="D1090" s="787" t="s">
        <v>5903</v>
      </c>
      <c r="E1090" s="788">
        <v>300000.0</v>
      </c>
      <c r="F1090" s="787" t="s">
        <v>1289</v>
      </c>
      <c r="G1090" s="787" t="s">
        <v>18</v>
      </c>
      <c r="H1090" s="787" t="s">
        <v>19</v>
      </c>
      <c r="I1090" s="787" t="s">
        <v>201</v>
      </c>
      <c r="J1090" s="789">
        <v>44568.0</v>
      </c>
      <c r="K1090" s="786" t="s">
        <v>4309</v>
      </c>
      <c r="L1090" s="754"/>
      <c r="M1090" s="754"/>
      <c r="N1090" s="754"/>
      <c r="O1090" s="754"/>
      <c r="P1090" s="754"/>
      <c r="Q1090" s="754"/>
      <c r="R1090" s="754"/>
      <c r="S1090" s="754"/>
      <c r="T1090" s="754"/>
      <c r="U1090" s="754"/>
      <c r="V1090" s="754"/>
      <c r="W1090" s="754"/>
      <c r="X1090" s="754"/>
      <c r="Y1090" s="754"/>
      <c r="Z1090" s="754"/>
      <c r="AA1090" s="754"/>
      <c r="AB1090" s="754"/>
      <c r="AC1090" s="754"/>
      <c r="AD1090" s="754"/>
      <c r="AE1090" s="754"/>
      <c r="AF1090" s="754"/>
      <c r="AG1090" s="754"/>
      <c r="AH1090" s="754"/>
      <c r="AI1090" s="754"/>
      <c r="AJ1090" s="754"/>
      <c r="AK1090" s="754"/>
      <c r="AL1090" s="754"/>
      <c r="AM1090" s="754"/>
      <c r="AN1090" s="754"/>
      <c r="AO1090" s="754"/>
      <c r="AP1090" s="754"/>
      <c r="AQ1090" s="754"/>
      <c r="AR1090" s="754"/>
      <c r="AS1090" s="754"/>
      <c r="AT1090" s="754"/>
      <c r="AU1090" s="754"/>
    </row>
    <row r="1091" ht="15.75" customHeight="1">
      <c r="A1091" s="755">
        <v>44890.0</v>
      </c>
      <c r="B1091" s="756" t="s">
        <v>6162</v>
      </c>
      <c r="C1091" s="745" t="s">
        <v>3642</v>
      </c>
      <c r="D1091" s="745" t="s">
        <v>5903</v>
      </c>
      <c r="E1091" s="757">
        <v>5000.0</v>
      </c>
      <c r="F1091" s="745" t="s">
        <v>6163</v>
      </c>
      <c r="G1091" s="745" t="s">
        <v>18</v>
      </c>
      <c r="H1091" s="745" t="s">
        <v>29</v>
      </c>
      <c r="I1091" s="745" t="s">
        <v>633</v>
      </c>
      <c r="J1091" s="755">
        <v>44460.0</v>
      </c>
      <c r="K1091" s="745" t="s">
        <v>3657</v>
      </c>
      <c r="L1091" s="754"/>
      <c r="M1091" s="754"/>
      <c r="N1091" s="754"/>
      <c r="O1091" s="754"/>
      <c r="P1091" s="754"/>
      <c r="Q1091" s="754"/>
      <c r="R1091" s="754"/>
      <c r="S1091" s="754"/>
      <c r="T1091" s="754"/>
      <c r="U1091" s="754"/>
      <c r="V1091" s="754"/>
      <c r="W1091" s="754"/>
      <c r="X1091" s="754"/>
      <c r="Y1091" s="754"/>
      <c r="Z1091" s="754"/>
      <c r="AA1091" s="754"/>
      <c r="AB1091" s="754"/>
      <c r="AC1091" s="754"/>
      <c r="AD1091" s="754"/>
      <c r="AE1091" s="754"/>
      <c r="AF1091" s="754"/>
      <c r="AG1091" s="754"/>
      <c r="AH1091" s="754"/>
      <c r="AI1091" s="754"/>
      <c r="AJ1091" s="754"/>
      <c r="AK1091" s="754"/>
      <c r="AL1091" s="754"/>
      <c r="AM1091" s="754"/>
      <c r="AN1091" s="754"/>
      <c r="AO1091" s="754"/>
      <c r="AP1091" s="754"/>
      <c r="AQ1091" s="754"/>
      <c r="AR1091" s="754"/>
      <c r="AS1091" s="754"/>
      <c r="AT1091" s="754"/>
      <c r="AU1091" s="754"/>
    </row>
    <row r="1092" ht="15.75" customHeight="1">
      <c r="A1092" s="755">
        <v>44893.0</v>
      </c>
      <c r="B1092" s="756" t="s">
        <v>6229</v>
      </c>
      <c r="C1092" s="745" t="s">
        <v>3642</v>
      </c>
      <c r="D1092" s="745" t="s">
        <v>5903</v>
      </c>
      <c r="E1092" s="757">
        <v>30000.0</v>
      </c>
      <c r="F1092" s="745" t="s">
        <v>5002</v>
      </c>
      <c r="G1092" s="745" t="s">
        <v>18</v>
      </c>
      <c r="H1092" s="745" t="s">
        <v>19</v>
      </c>
      <c r="I1092" s="745" t="s">
        <v>3486</v>
      </c>
      <c r="J1092" s="755">
        <v>44186.0</v>
      </c>
      <c r="K1092" s="745" t="s">
        <v>3647</v>
      </c>
      <c r="L1092" s="754"/>
      <c r="M1092" s="754"/>
      <c r="N1092" s="754"/>
      <c r="O1092" s="754"/>
      <c r="P1092" s="754"/>
      <c r="Q1092" s="754"/>
      <c r="R1092" s="754"/>
      <c r="S1092" s="754"/>
      <c r="T1092" s="754"/>
      <c r="U1092" s="754"/>
      <c r="V1092" s="754"/>
      <c r="W1092" s="754"/>
      <c r="X1092" s="754"/>
      <c r="Y1092" s="754"/>
      <c r="Z1092" s="754"/>
      <c r="AA1092" s="754"/>
      <c r="AB1092" s="754"/>
      <c r="AC1092" s="754"/>
      <c r="AD1092" s="754"/>
      <c r="AE1092" s="754"/>
      <c r="AF1092" s="754"/>
      <c r="AG1092" s="754"/>
      <c r="AH1092" s="754"/>
      <c r="AI1092" s="754"/>
      <c r="AJ1092" s="754"/>
      <c r="AK1092" s="754"/>
      <c r="AL1092" s="754"/>
      <c r="AM1092" s="754"/>
      <c r="AN1092" s="754"/>
      <c r="AO1092" s="754"/>
      <c r="AP1092" s="754"/>
      <c r="AQ1092" s="754"/>
      <c r="AR1092" s="754"/>
      <c r="AS1092" s="754"/>
      <c r="AT1092" s="754"/>
      <c r="AU1092" s="754"/>
    </row>
    <row r="1093" ht="15.75" customHeight="1">
      <c r="A1093" s="755">
        <v>44893.0</v>
      </c>
      <c r="B1093" s="816">
        <v>6986262.0</v>
      </c>
      <c r="C1093" s="745" t="s">
        <v>3642</v>
      </c>
      <c r="D1093" s="745" t="s">
        <v>5903</v>
      </c>
      <c r="E1093" s="757">
        <v>4386.42</v>
      </c>
      <c r="F1093" s="745" t="s">
        <v>4139</v>
      </c>
      <c r="G1093" s="734" t="s">
        <v>18</v>
      </c>
      <c r="H1093" s="745" t="s">
        <v>19</v>
      </c>
      <c r="I1093" s="745" t="s">
        <v>3978</v>
      </c>
      <c r="J1093" s="755">
        <v>44503.0</v>
      </c>
      <c r="K1093" s="710" t="s">
        <v>3693</v>
      </c>
      <c r="L1093" s="754"/>
      <c r="M1093" s="754"/>
      <c r="N1093" s="754"/>
      <c r="O1093" s="754"/>
      <c r="P1093" s="754"/>
      <c r="Q1093" s="754"/>
      <c r="R1093" s="754"/>
      <c r="S1093" s="754"/>
      <c r="T1093" s="754"/>
      <c r="U1093" s="754"/>
      <c r="V1093" s="754"/>
      <c r="W1093" s="754"/>
      <c r="X1093" s="754"/>
      <c r="Y1093" s="754"/>
      <c r="Z1093" s="754"/>
      <c r="AA1093" s="754"/>
      <c r="AB1093" s="754"/>
      <c r="AC1093" s="754"/>
      <c r="AD1093" s="754"/>
      <c r="AE1093" s="754"/>
      <c r="AF1093" s="754"/>
      <c r="AG1093" s="754"/>
      <c r="AH1093" s="754"/>
      <c r="AI1093" s="754"/>
      <c r="AJ1093" s="754"/>
      <c r="AK1093" s="754"/>
      <c r="AL1093" s="754"/>
      <c r="AM1093" s="754"/>
      <c r="AN1093" s="754"/>
      <c r="AO1093" s="754"/>
      <c r="AP1093" s="754"/>
      <c r="AQ1093" s="754"/>
      <c r="AR1093" s="754"/>
      <c r="AS1093" s="754"/>
      <c r="AT1093" s="754"/>
      <c r="AU1093" s="754"/>
    </row>
    <row r="1094" ht="15.75" customHeight="1">
      <c r="A1094" s="755">
        <v>44894.0</v>
      </c>
      <c r="B1094" s="756" t="s">
        <v>6194</v>
      </c>
      <c r="C1094" s="745" t="s">
        <v>3642</v>
      </c>
      <c r="D1094" s="745" t="s">
        <v>2387</v>
      </c>
      <c r="E1094" s="757">
        <v>377183.5</v>
      </c>
      <c r="F1094" s="745" t="s">
        <v>4697</v>
      </c>
      <c r="G1094" s="745" t="s">
        <v>18</v>
      </c>
      <c r="H1094" s="745" t="s">
        <v>19</v>
      </c>
      <c r="I1094" s="745" t="s">
        <v>52</v>
      </c>
      <c r="J1094" s="755">
        <v>44714.0</v>
      </c>
      <c r="K1094" s="745" t="s">
        <v>3664</v>
      </c>
      <c r="L1094" s="754"/>
      <c r="M1094" s="754"/>
      <c r="N1094" s="754"/>
      <c r="O1094" s="754"/>
      <c r="P1094" s="754"/>
      <c r="Q1094" s="754"/>
      <c r="R1094" s="754"/>
      <c r="S1094" s="754"/>
      <c r="T1094" s="754"/>
      <c r="U1094" s="754"/>
      <c r="V1094" s="754"/>
      <c r="W1094" s="754"/>
      <c r="X1094" s="754"/>
      <c r="Y1094" s="754"/>
      <c r="Z1094" s="754"/>
      <c r="AA1094" s="754"/>
      <c r="AB1094" s="754"/>
      <c r="AC1094" s="754"/>
      <c r="AD1094" s="754"/>
      <c r="AE1094" s="754"/>
      <c r="AF1094" s="754"/>
      <c r="AG1094" s="754"/>
      <c r="AH1094" s="754"/>
      <c r="AI1094" s="754"/>
      <c r="AJ1094" s="754"/>
      <c r="AK1094" s="754"/>
      <c r="AL1094" s="754"/>
      <c r="AM1094" s="754"/>
      <c r="AN1094" s="754"/>
      <c r="AO1094" s="754"/>
      <c r="AP1094" s="754"/>
      <c r="AQ1094" s="754"/>
      <c r="AR1094" s="754"/>
      <c r="AS1094" s="754"/>
      <c r="AT1094" s="754"/>
      <c r="AU1094" s="754"/>
    </row>
    <row r="1095" ht="15.75" customHeight="1">
      <c r="A1095" s="755">
        <v>44894.0</v>
      </c>
      <c r="B1095" s="756" t="s">
        <v>6230</v>
      </c>
      <c r="C1095" s="745" t="s">
        <v>3642</v>
      </c>
      <c r="D1095" s="745" t="s">
        <v>5903</v>
      </c>
      <c r="E1095" s="757">
        <v>60000.0</v>
      </c>
      <c r="F1095" s="745" t="s">
        <v>1616</v>
      </c>
      <c r="G1095" s="745" t="s">
        <v>18</v>
      </c>
      <c r="H1095" s="745" t="s">
        <v>19</v>
      </c>
      <c r="I1095" s="745" t="s">
        <v>201</v>
      </c>
      <c r="J1095" s="755">
        <v>44714.0</v>
      </c>
      <c r="K1095" s="745" t="s">
        <v>3660</v>
      </c>
      <c r="L1095" s="754"/>
      <c r="M1095" s="754"/>
      <c r="N1095" s="754"/>
      <c r="O1095" s="754"/>
      <c r="P1095" s="754"/>
      <c r="Q1095" s="754"/>
      <c r="R1095" s="754"/>
      <c r="S1095" s="754"/>
      <c r="T1095" s="754"/>
      <c r="U1095" s="754"/>
      <c r="V1095" s="754"/>
      <c r="W1095" s="754"/>
      <c r="X1095" s="754"/>
      <c r="Y1095" s="754"/>
      <c r="Z1095" s="754"/>
      <c r="AA1095" s="754"/>
      <c r="AB1095" s="754"/>
      <c r="AC1095" s="754"/>
      <c r="AD1095" s="754"/>
      <c r="AE1095" s="754"/>
      <c r="AF1095" s="754"/>
      <c r="AG1095" s="754"/>
      <c r="AH1095" s="754"/>
      <c r="AI1095" s="754"/>
      <c r="AJ1095" s="754"/>
      <c r="AK1095" s="754"/>
      <c r="AL1095" s="754"/>
      <c r="AM1095" s="754"/>
      <c r="AN1095" s="754"/>
      <c r="AO1095" s="754"/>
      <c r="AP1095" s="754"/>
      <c r="AQ1095" s="754"/>
      <c r="AR1095" s="754"/>
      <c r="AS1095" s="754"/>
      <c r="AT1095" s="754"/>
      <c r="AU1095" s="754"/>
    </row>
    <row r="1096" ht="15.75" customHeight="1">
      <c r="A1096" s="755">
        <v>44895.0</v>
      </c>
      <c r="B1096" s="756" t="s">
        <v>6100</v>
      </c>
      <c r="C1096" s="710" t="s">
        <v>3642</v>
      </c>
      <c r="D1096" s="745" t="s">
        <v>5903</v>
      </c>
      <c r="E1096" s="757">
        <v>15000.0</v>
      </c>
      <c r="F1096" s="710" t="s">
        <v>1682</v>
      </c>
      <c r="G1096" s="745" t="s">
        <v>18</v>
      </c>
      <c r="H1096" s="745" t="s">
        <v>19</v>
      </c>
      <c r="I1096" s="745" t="s">
        <v>20</v>
      </c>
      <c r="J1096" s="755">
        <v>44614.0</v>
      </c>
      <c r="K1096" s="783" t="s">
        <v>3651</v>
      </c>
      <c r="L1096" s="754"/>
      <c r="M1096" s="754"/>
      <c r="N1096" s="754"/>
      <c r="O1096" s="754"/>
      <c r="P1096" s="754"/>
      <c r="Q1096" s="754"/>
      <c r="R1096" s="754"/>
      <c r="S1096" s="754"/>
      <c r="T1096" s="754"/>
      <c r="U1096" s="754"/>
      <c r="V1096" s="754"/>
      <c r="W1096" s="754"/>
      <c r="X1096" s="754"/>
      <c r="Y1096" s="754"/>
      <c r="Z1096" s="754"/>
      <c r="AA1096" s="754"/>
      <c r="AB1096" s="754"/>
      <c r="AC1096" s="754"/>
      <c r="AD1096" s="754"/>
      <c r="AE1096" s="754"/>
      <c r="AF1096" s="754"/>
      <c r="AG1096" s="754"/>
      <c r="AH1096" s="754"/>
      <c r="AI1096" s="754"/>
      <c r="AJ1096" s="754"/>
      <c r="AK1096" s="754"/>
      <c r="AL1096" s="754"/>
      <c r="AM1096" s="754"/>
      <c r="AN1096" s="754"/>
      <c r="AO1096" s="754"/>
      <c r="AP1096" s="754"/>
      <c r="AQ1096" s="754"/>
      <c r="AR1096" s="754"/>
      <c r="AS1096" s="754"/>
      <c r="AT1096" s="754"/>
      <c r="AU1096" s="754"/>
    </row>
    <row r="1097" ht="15.75" customHeight="1">
      <c r="A1097" s="755">
        <v>44896.0</v>
      </c>
      <c r="B1097" s="800" t="s">
        <v>6068</v>
      </c>
      <c r="C1097" s="770" t="s">
        <v>3642</v>
      </c>
      <c r="D1097" s="745" t="s">
        <v>5903</v>
      </c>
      <c r="E1097" s="771">
        <v>30000.0</v>
      </c>
      <c r="F1097" s="745" t="s">
        <v>1426</v>
      </c>
      <c r="G1097" s="755" t="s">
        <v>18</v>
      </c>
      <c r="H1097" s="755" t="s">
        <v>29</v>
      </c>
      <c r="I1097" s="755" t="s">
        <v>5895</v>
      </c>
      <c r="J1097" s="755">
        <v>44594.0</v>
      </c>
      <c r="K1097" s="755" t="s">
        <v>3657</v>
      </c>
      <c r="L1097" s="754"/>
      <c r="M1097" s="754"/>
      <c r="N1097" s="754"/>
      <c r="O1097" s="754"/>
      <c r="P1097" s="754"/>
      <c r="Q1097" s="754"/>
      <c r="R1097" s="754"/>
      <c r="S1097" s="754"/>
      <c r="T1097" s="754"/>
      <c r="U1097" s="754"/>
      <c r="V1097" s="754"/>
      <c r="W1097" s="754"/>
      <c r="X1097" s="754"/>
      <c r="Y1097" s="754"/>
      <c r="Z1097" s="754"/>
      <c r="AA1097" s="754"/>
      <c r="AB1097" s="754"/>
      <c r="AC1097" s="754"/>
      <c r="AD1097" s="754"/>
      <c r="AE1097" s="754"/>
      <c r="AF1097" s="754"/>
      <c r="AG1097" s="754"/>
      <c r="AH1097" s="754"/>
      <c r="AI1097" s="754"/>
      <c r="AJ1097" s="754"/>
      <c r="AK1097" s="754"/>
      <c r="AL1097" s="754"/>
      <c r="AM1097" s="754"/>
      <c r="AN1097" s="754"/>
      <c r="AO1097" s="754"/>
      <c r="AP1097" s="754"/>
      <c r="AQ1097" s="754"/>
      <c r="AR1097" s="754"/>
      <c r="AS1097" s="754"/>
      <c r="AT1097" s="754"/>
      <c r="AU1097" s="754"/>
    </row>
    <row r="1098" ht="15.75" customHeight="1">
      <c r="A1098" s="755">
        <v>44896.0</v>
      </c>
      <c r="B1098" s="756" t="s">
        <v>6230</v>
      </c>
      <c r="C1098" s="745" t="s">
        <v>3642</v>
      </c>
      <c r="D1098" s="745" t="s">
        <v>5903</v>
      </c>
      <c r="E1098" s="757">
        <v>60000.0</v>
      </c>
      <c r="F1098" s="745" t="s">
        <v>1616</v>
      </c>
      <c r="G1098" s="745" t="s">
        <v>18</v>
      </c>
      <c r="H1098" s="745" t="s">
        <v>19</v>
      </c>
      <c r="I1098" s="745" t="s">
        <v>201</v>
      </c>
      <c r="J1098" s="755">
        <v>44714.0</v>
      </c>
      <c r="K1098" s="745" t="s">
        <v>3660</v>
      </c>
      <c r="L1098" s="754"/>
      <c r="M1098" s="754"/>
      <c r="N1098" s="754"/>
      <c r="O1098" s="754"/>
      <c r="P1098" s="754"/>
      <c r="Q1098" s="754"/>
      <c r="R1098" s="754"/>
      <c r="S1098" s="754"/>
      <c r="T1098" s="754"/>
      <c r="U1098" s="754"/>
      <c r="V1098" s="754"/>
      <c r="W1098" s="754"/>
      <c r="X1098" s="754"/>
      <c r="Y1098" s="754"/>
      <c r="Z1098" s="754"/>
      <c r="AA1098" s="754"/>
      <c r="AB1098" s="754"/>
      <c r="AC1098" s="754"/>
      <c r="AD1098" s="754"/>
      <c r="AE1098" s="754"/>
      <c r="AF1098" s="754"/>
      <c r="AG1098" s="754"/>
      <c r="AH1098" s="754"/>
      <c r="AI1098" s="754"/>
      <c r="AJ1098" s="754"/>
      <c r="AK1098" s="754"/>
      <c r="AL1098" s="754"/>
      <c r="AM1098" s="754"/>
      <c r="AN1098" s="754"/>
      <c r="AO1098" s="754"/>
      <c r="AP1098" s="754"/>
      <c r="AQ1098" s="754"/>
      <c r="AR1098" s="754"/>
      <c r="AS1098" s="754"/>
      <c r="AT1098" s="754"/>
      <c r="AU1098" s="754"/>
    </row>
    <row r="1099" ht="15.75" customHeight="1">
      <c r="A1099" s="755">
        <v>44897.0</v>
      </c>
      <c r="B1099" s="756" t="s">
        <v>6147</v>
      </c>
      <c r="C1099" s="745" t="s">
        <v>3642</v>
      </c>
      <c r="D1099" s="745" t="s">
        <v>5903</v>
      </c>
      <c r="E1099" s="757">
        <v>30000.0</v>
      </c>
      <c r="F1099" s="745" t="s">
        <v>3944</v>
      </c>
      <c r="G1099" s="745" t="s">
        <v>18</v>
      </c>
      <c r="H1099" s="745" t="s">
        <v>19</v>
      </c>
      <c r="I1099" s="745" t="s">
        <v>4859</v>
      </c>
      <c r="J1099" s="755">
        <v>44445.0</v>
      </c>
      <c r="K1099" s="745" t="s">
        <v>3657</v>
      </c>
      <c r="L1099" s="754"/>
      <c r="M1099" s="754"/>
      <c r="N1099" s="754"/>
      <c r="O1099" s="754"/>
      <c r="P1099" s="754"/>
      <c r="Q1099" s="754"/>
      <c r="R1099" s="754"/>
      <c r="S1099" s="754"/>
      <c r="T1099" s="754"/>
      <c r="U1099" s="754"/>
      <c r="V1099" s="754"/>
      <c r="W1099" s="754"/>
      <c r="X1099" s="754"/>
      <c r="Y1099" s="754"/>
      <c r="Z1099" s="754"/>
      <c r="AA1099" s="754"/>
      <c r="AB1099" s="754"/>
      <c r="AC1099" s="754"/>
      <c r="AD1099" s="754"/>
      <c r="AE1099" s="754"/>
      <c r="AF1099" s="754"/>
      <c r="AG1099" s="754"/>
      <c r="AH1099" s="754"/>
      <c r="AI1099" s="754"/>
      <c r="AJ1099" s="754"/>
      <c r="AK1099" s="754"/>
      <c r="AL1099" s="754"/>
      <c r="AM1099" s="754"/>
      <c r="AN1099" s="754"/>
      <c r="AO1099" s="754"/>
      <c r="AP1099" s="754"/>
      <c r="AQ1099" s="754"/>
      <c r="AR1099" s="754"/>
      <c r="AS1099" s="754"/>
      <c r="AT1099" s="754"/>
      <c r="AU1099" s="754"/>
    </row>
    <row r="1100" ht="15.75" customHeight="1">
      <c r="A1100" s="755">
        <v>44901.0</v>
      </c>
      <c r="B1100" s="848">
        <v>3241823.0</v>
      </c>
      <c r="C1100" s="745" t="s">
        <v>3642</v>
      </c>
      <c r="D1100" s="745" t="s">
        <v>5903</v>
      </c>
      <c r="E1100" s="757">
        <v>1620.0</v>
      </c>
      <c r="F1100" s="745" t="s">
        <v>492</v>
      </c>
      <c r="G1100" s="745" t="s">
        <v>18</v>
      </c>
      <c r="H1100" s="745" t="s">
        <v>29</v>
      </c>
      <c r="I1100" s="745" t="s">
        <v>110</v>
      </c>
      <c r="J1100" s="755">
        <v>44819.0</v>
      </c>
      <c r="K1100" s="745" t="s">
        <v>3660</v>
      </c>
      <c r="L1100" s="754"/>
      <c r="M1100" s="754"/>
      <c r="N1100" s="754"/>
      <c r="O1100" s="754"/>
      <c r="P1100" s="754"/>
      <c r="Q1100" s="754"/>
      <c r="R1100" s="754"/>
      <c r="S1100" s="754"/>
      <c r="T1100" s="754"/>
      <c r="U1100" s="754"/>
      <c r="V1100" s="754"/>
      <c r="W1100" s="754"/>
      <c r="X1100" s="754"/>
      <c r="Y1100" s="754"/>
      <c r="Z1100" s="754"/>
      <c r="AA1100" s="754"/>
      <c r="AB1100" s="754"/>
      <c r="AC1100" s="754"/>
      <c r="AD1100" s="754"/>
      <c r="AE1100" s="754"/>
      <c r="AF1100" s="754"/>
      <c r="AG1100" s="754"/>
      <c r="AH1100" s="754"/>
      <c r="AI1100" s="754"/>
      <c r="AJ1100" s="754"/>
      <c r="AK1100" s="754"/>
      <c r="AL1100" s="754"/>
      <c r="AM1100" s="754"/>
      <c r="AN1100" s="754"/>
      <c r="AO1100" s="754"/>
      <c r="AP1100" s="754"/>
      <c r="AQ1100" s="754"/>
      <c r="AR1100" s="754"/>
      <c r="AS1100" s="754"/>
      <c r="AT1100" s="754"/>
      <c r="AU1100" s="754"/>
    </row>
    <row r="1101" ht="15.75" customHeight="1">
      <c r="A1101" s="755">
        <v>44901.0</v>
      </c>
      <c r="B1101" s="756" t="s">
        <v>6222</v>
      </c>
      <c r="C1101" s="745" t="s">
        <v>3642</v>
      </c>
      <c r="D1101" s="745" t="s">
        <v>5903</v>
      </c>
      <c r="E1101" s="757">
        <v>80000.0</v>
      </c>
      <c r="F1101" s="745" t="s">
        <v>2169</v>
      </c>
      <c r="G1101" s="745" t="s">
        <v>18</v>
      </c>
      <c r="H1101" s="745" t="s">
        <v>29</v>
      </c>
      <c r="I1101" s="745" t="s">
        <v>137</v>
      </c>
      <c r="J1101" s="755">
        <v>44802.0</v>
      </c>
      <c r="K1101" s="745" t="s">
        <v>3657</v>
      </c>
      <c r="L1101" s="754"/>
      <c r="M1101" s="754"/>
      <c r="N1101" s="754"/>
      <c r="O1101" s="754"/>
      <c r="P1101" s="754"/>
      <c r="Q1101" s="754"/>
      <c r="R1101" s="754"/>
      <c r="S1101" s="754"/>
      <c r="T1101" s="754"/>
      <c r="U1101" s="754"/>
      <c r="V1101" s="754"/>
      <c r="W1101" s="754"/>
      <c r="X1101" s="754"/>
      <c r="Y1101" s="754"/>
      <c r="Z1101" s="754"/>
      <c r="AA1101" s="754"/>
      <c r="AB1101" s="754"/>
      <c r="AC1101" s="754"/>
      <c r="AD1101" s="754"/>
      <c r="AE1101" s="754"/>
      <c r="AF1101" s="754"/>
      <c r="AG1101" s="754"/>
      <c r="AH1101" s="754"/>
      <c r="AI1101" s="754"/>
      <c r="AJ1101" s="754"/>
      <c r="AK1101" s="754"/>
      <c r="AL1101" s="754"/>
      <c r="AM1101" s="754"/>
      <c r="AN1101" s="754"/>
      <c r="AO1101" s="754"/>
      <c r="AP1101" s="754"/>
      <c r="AQ1101" s="754"/>
      <c r="AR1101" s="754"/>
      <c r="AS1101" s="754"/>
      <c r="AT1101" s="754"/>
      <c r="AU1101" s="754"/>
    </row>
    <row r="1102" ht="15.75" customHeight="1">
      <c r="A1102" s="755">
        <v>44901.0</v>
      </c>
      <c r="B1102" s="756" t="s">
        <v>6229</v>
      </c>
      <c r="C1102" s="745" t="s">
        <v>3642</v>
      </c>
      <c r="D1102" s="745" t="s">
        <v>5902</v>
      </c>
      <c r="E1102" s="757">
        <v>159092.51</v>
      </c>
      <c r="F1102" s="745" t="s">
        <v>5002</v>
      </c>
      <c r="G1102" s="745" t="s">
        <v>18</v>
      </c>
      <c r="H1102" s="745" t="s">
        <v>19</v>
      </c>
      <c r="I1102" s="745" t="s">
        <v>3486</v>
      </c>
      <c r="J1102" s="755">
        <v>44186.0</v>
      </c>
      <c r="K1102" s="745" t="s">
        <v>3647</v>
      </c>
      <c r="L1102" s="754"/>
      <c r="M1102" s="754"/>
      <c r="N1102" s="754"/>
      <c r="O1102" s="754"/>
      <c r="P1102" s="754"/>
      <c r="Q1102" s="754"/>
      <c r="R1102" s="754"/>
      <c r="S1102" s="754"/>
      <c r="T1102" s="754"/>
      <c r="U1102" s="754"/>
      <c r="V1102" s="754"/>
      <c r="W1102" s="754"/>
      <c r="X1102" s="754"/>
      <c r="Y1102" s="754"/>
      <c r="Z1102" s="754"/>
      <c r="AA1102" s="754"/>
      <c r="AB1102" s="754"/>
      <c r="AC1102" s="754"/>
      <c r="AD1102" s="754"/>
      <c r="AE1102" s="754"/>
      <c r="AF1102" s="754"/>
      <c r="AG1102" s="754"/>
      <c r="AH1102" s="754"/>
      <c r="AI1102" s="754"/>
      <c r="AJ1102" s="754"/>
      <c r="AK1102" s="754"/>
      <c r="AL1102" s="754"/>
      <c r="AM1102" s="754"/>
      <c r="AN1102" s="754"/>
      <c r="AO1102" s="754"/>
      <c r="AP1102" s="754"/>
      <c r="AQ1102" s="754"/>
      <c r="AR1102" s="754"/>
      <c r="AS1102" s="754"/>
      <c r="AT1102" s="754"/>
      <c r="AU1102" s="754"/>
    </row>
    <row r="1103" ht="15.75" customHeight="1">
      <c r="A1103" s="755">
        <v>44907.0</v>
      </c>
      <c r="B1103" s="756">
        <v>4432780.0</v>
      </c>
      <c r="C1103" s="745" t="s">
        <v>3642</v>
      </c>
      <c r="D1103" s="745" t="s">
        <v>2387</v>
      </c>
      <c r="E1103" s="757">
        <v>101114.41</v>
      </c>
      <c r="F1103" s="745" t="s">
        <v>3764</v>
      </c>
      <c r="G1103" s="745" t="s">
        <v>18</v>
      </c>
      <c r="H1103" s="745" t="s">
        <v>6231</v>
      </c>
      <c r="I1103" s="745" t="s">
        <v>6232</v>
      </c>
      <c r="J1103" s="755">
        <v>44078.0</v>
      </c>
      <c r="K1103" s="745" t="s">
        <v>3664</v>
      </c>
      <c r="L1103" s="754"/>
      <c r="M1103" s="754"/>
      <c r="N1103" s="754"/>
      <c r="O1103" s="754"/>
      <c r="P1103" s="754"/>
      <c r="Q1103" s="754"/>
      <c r="R1103" s="754"/>
      <c r="S1103" s="754"/>
      <c r="T1103" s="754"/>
      <c r="U1103" s="754"/>
      <c r="V1103" s="754"/>
      <c r="W1103" s="754"/>
      <c r="X1103" s="754"/>
      <c r="Y1103" s="754"/>
      <c r="Z1103" s="754"/>
      <c r="AA1103" s="754"/>
      <c r="AB1103" s="754"/>
      <c r="AC1103" s="754"/>
      <c r="AD1103" s="754"/>
      <c r="AE1103" s="754"/>
      <c r="AF1103" s="754"/>
      <c r="AG1103" s="754"/>
      <c r="AH1103" s="754"/>
      <c r="AI1103" s="754"/>
      <c r="AJ1103" s="754"/>
      <c r="AK1103" s="754"/>
      <c r="AL1103" s="754"/>
      <c r="AM1103" s="754"/>
      <c r="AN1103" s="754"/>
      <c r="AO1103" s="754"/>
      <c r="AP1103" s="754"/>
      <c r="AQ1103" s="754"/>
      <c r="AR1103" s="754"/>
      <c r="AS1103" s="754"/>
      <c r="AT1103" s="754"/>
      <c r="AU1103" s="754"/>
    </row>
    <row r="1104" ht="15.75" customHeight="1">
      <c r="A1104" s="755">
        <v>44896.0</v>
      </c>
      <c r="B1104" s="756" t="s">
        <v>6233</v>
      </c>
      <c r="C1104" s="745" t="s">
        <v>3642</v>
      </c>
      <c r="D1104" s="745" t="s">
        <v>5902</v>
      </c>
      <c r="E1104" s="757">
        <v>179504.09</v>
      </c>
      <c r="F1104" s="745" t="s">
        <v>4502</v>
      </c>
      <c r="G1104" s="745" t="s">
        <v>86</v>
      </c>
      <c r="H1104" s="745" t="s">
        <v>29</v>
      </c>
      <c r="I1104" s="745" t="s">
        <v>3486</v>
      </c>
      <c r="J1104" s="755">
        <v>44246.0</v>
      </c>
      <c r="K1104" s="745" t="s">
        <v>3651</v>
      </c>
      <c r="L1104" s="754"/>
      <c r="M1104" s="754"/>
      <c r="N1104" s="754"/>
      <c r="O1104" s="754"/>
      <c r="P1104" s="754"/>
      <c r="Q1104" s="754"/>
      <c r="R1104" s="754"/>
      <c r="S1104" s="754"/>
      <c r="T1104" s="754"/>
      <c r="U1104" s="754"/>
      <c r="V1104" s="754"/>
      <c r="W1104" s="754"/>
      <c r="X1104" s="754"/>
      <c r="Y1104" s="754"/>
      <c r="Z1104" s="754"/>
      <c r="AA1104" s="754"/>
      <c r="AB1104" s="754"/>
      <c r="AC1104" s="754"/>
      <c r="AD1104" s="754"/>
      <c r="AE1104" s="754"/>
      <c r="AF1104" s="754"/>
      <c r="AG1104" s="754"/>
      <c r="AH1104" s="754"/>
      <c r="AI1104" s="754"/>
      <c r="AJ1104" s="754"/>
      <c r="AK1104" s="754"/>
      <c r="AL1104" s="754"/>
      <c r="AM1104" s="754"/>
      <c r="AN1104" s="754"/>
      <c r="AO1104" s="754"/>
      <c r="AP1104" s="754"/>
      <c r="AQ1104" s="754"/>
      <c r="AR1104" s="754"/>
      <c r="AS1104" s="754"/>
      <c r="AT1104" s="754"/>
      <c r="AU1104" s="754"/>
    </row>
    <row r="1105" ht="15.75" customHeight="1">
      <c r="A1105" s="755">
        <v>44895.0</v>
      </c>
      <c r="B1105" s="756" t="s">
        <v>6234</v>
      </c>
      <c r="C1105" s="745" t="s">
        <v>3642</v>
      </c>
      <c r="D1105" s="745" t="s">
        <v>5902</v>
      </c>
      <c r="E1105" s="757" t="s">
        <v>6235</v>
      </c>
      <c r="F1105" s="747" t="s">
        <v>5049</v>
      </c>
      <c r="G1105" s="745" t="s">
        <v>18</v>
      </c>
      <c r="H1105" s="745" t="s">
        <v>19</v>
      </c>
      <c r="I1105" s="745" t="s">
        <v>230</v>
      </c>
      <c r="J1105" s="755">
        <v>44390.0</v>
      </c>
      <c r="K1105" s="745" t="s">
        <v>3664</v>
      </c>
      <c r="L1105" s="754"/>
      <c r="M1105" s="754"/>
      <c r="N1105" s="754"/>
      <c r="O1105" s="754"/>
      <c r="P1105" s="754"/>
      <c r="Q1105" s="754"/>
      <c r="R1105" s="754"/>
      <c r="S1105" s="754"/>
      <c r="T1105" s="754"/>
      <c r="U1105" s="754"/>
      <c r="V1105" s="754"/>
      <c r="W1105" s="754"/>
      <c r="X1105" s="754"/>
      <c r="Y1105" s="754"/>
      <c r="Z1105" s="754"/>
      <c r="AA1105" s="754"/>
      <c r="AB1105" s="754"/>
      <c r="AC1105" s="754"/>
      <c r="AD1105" s="754"/>
      <c r="AE1105" s="754"/>
      <c r="AF1105" s="754"/>
      <c r="AG1105" s="754"/>
      <c r="AH1105" s="754"/>
      <c r="AI1105" s="754"/>
      <c r="AJ1105" s="754"/>
      <c r="AK1105" s="754"/>
      <c r="AL1105" s="754"/>
      <c r="AM1105" s="754"/>
      <c r="AN1105" s="754"/>
      <c r="AO1105" s="754"/>
      <c r="AP1105" s="754"/>
      <c r="AQ1105" s="754"/>
      <c r="AR1105" s="754"/>
      <c r="AS1105" s="754"/>
      <c r="AT1105" s="754"/>
      <c r="AU1105" s="754"/>
    </row>
    <row r="1106" ht="15.75" customHeight="1">
      <c r="A1106" s="755">
        <v>44901.0</v>
      </c>
      <c r="B1106" s="756" t="s">
        <v>6229</v>
      </c>
      <c r="C1106" s="745" t="s">
        <v>3642</v>
      </c>
      <c r="D1106" s="745" t="s">
        <v>5902</v>
      </c>
      <c r="E1106" s="757">
        <v>156195.12</v>
      </c>
      <c r="F1106" s="745" t="s">
        <v>5002</v>
      </c>
      <c r="G1106" s="745" t="s">
        <v>86</v>
      </c>
      <c r="H1106" s="745" t="s">
        <v>29</v>
      </c>
      <c r="I1106" s="745" t="s">
        <v>3486</v>
      </c>
      <c r="J1106" s="755">
        <v>44186.0</v>
      </c>
      <c r="K1106" s="745" t="s">
        <v>3647</v>
      </c>
      <c r="L1106" s="754"/>
      <c r="M1106" s="754"/>
      <c r="N1106" s="754"/>
      <c r="O1106" s="754"/>
      <c r="P1106" s="754"/>
      <c r="Q1106" s="754"/>
      <c r="R1106" s="754"/>
      <c r="S1106" s="754"/>
      <c r="T1106" s="754"/>
      <c r="U1106" s="754"/>
      <c r="V1106" s="754"/>
      <c r="W1106" s="754"/>
      <c r="X1106" s="754"/>
      <c r="Y1106" s="754"/>
      <c r="Z1106" s="754"/>
      <c r="AA1106" s="754"/>
      <c r="AB1106" s="754"/>
      <c r="AC1106" s="754"/>
      <c r="AD1106" s="754"/>
      <c r="AE1106" s="754"/>
      <c r="AF1106" s="754"/>
      <c r="AG1106" s="754"/>
      <c r="AH1106" s="754"/>
      <c r="AI1106" s="754"/>
      <c r="AJ1106" s="754"/>
      <c r="AK1106" s="754"/>
      <c r="AL1106" s="754"/>
      <c r="AM1106" s="754"/>
      <c r="AN1106" s="754"/>
      <c r="AO1106" s="754"/>
      <c r="AP1106" s="754"/>
      <c r="AQ1106" s="754"/>
      <c r="AR1106" s="754"/>
      <c r="AS1106" s="754"/>
      <c r="AT1106" s="754"/>
      <c r="AU1106" s="754"/>
    </row>
    <row r="1107" ht="15.75" customHeight="1">
      <c r="A1107" s="755">
        <v>44896.0</v>
      </c>
      <c r="B1107" s="756" t="s">
        <v>6034</v>
      </c>
      <c r="C1107" s="745" t="s">
        <v>3642</v>
      </c>
      <c r="D1107" s="745" t="s">
        <v>5902</v>
      </c>
      <c r="E1107" s="757">
        <v>244812.62</v>
      </c>
      <c r="F1107" s="745" t="s">
        <v>5075</v>
      </c>
      <c r="G1107" s="745" t="s">
        <v>86</v>
      </c>
      <c r="H1107" s="745" t="s">
        <v>19</v>
      </c>
      <c r="I1107" s="745" t="s">
        <v>6232</v>
      </c>
      <c r="J1107" s="755">
        <v>44340.0</v>
      </c>
      <c r="K1107" s="745" t="s">
        <v>3664</v>
      </c>
      <c r="L1107" s="754"/>
      <c r="M1107" s="754"/>
      <c r="N1107" s="754"/>
      <c r="O1107" s="754"/>
      <c r="P1107" s="754"/>
      <c r="Q1107" s="754"/>
      <c r="R1107" s="754"/>
      <c r="S1107" s="754"/>
      <c r="T1107" s="754"/>
      <c r="U1107" s="754"/>
      <c r="V1107" s="754"/>
      <c r="W1107" s="754"/>
      <c r="X1107" s="754"/>
      <c r="Y1107" s="754"/>
      <c r="Z1107" s="754"/>
      <c r="AA1107" s="754"/>
      <c r="AB1107" s="754"/>
      <c r="AC1107" s="754"/>
      <c r="AD1107" s="754"/>
      <c r="AE1107" s="754"/>
      <c r="AF1107" s="754"/>
      <c r="AG1107" s="754"/>
      <c r="AH1107" s="754"/>
      <c r="AI1107" s="754"/>
      <c r="AJ1107" s="754"/>
      <c r="AK1107" s="754"/>
      <c r="AL1107" s="754"/>
      <c r="AM1107" s="754"/>
      <c r="AN1107" s="754"/>
      <c r="AO1107" s="754"/>
      <c r="AP1107" s="754"/>
      <c r="AQ1107" s="754"/>
      <c r="AR1107" s="754"/>
      <c r="AS1107" s="754"/>
      <c r="AT1107" s="754"/>
      <c r="AU1107" s="754"/>
    </row>
    <row r="1108" ht="15.75" customHeight="1">
      <c r="A1108" s="755">
        <v>44543.0</v>
      </c>
      <c r="B1108" s="756" t="s">
        <v>6236</v>
      </c>
      <c r="C1108" s="745" t="s">
        <v>3642</v>
      </c>
      <c r="D1108" s="745" t="s">
        <v>5903</v>
      </c>
      <c r="E1108" s="757">
        <v>5000.0</v>
      </c>
      <c r="F1108" s="745" t="s">
        <v>4996</v>
      </c>
      <c r="G1108" s="745" t="s">
        <v>86</v>
      </c>
      <c r="H1108" s="745" t="s">
        <v>29</v>
      </c>
      <c r="I1108" s="745" t="s">
        <v>3697</v>
      </c>
      <c r="J1108" s="755">
        <v>44421.0</v>
      </c>
      <c r="K1108" s="745" t="s">
        <v>3664</v>
      </c>
      <c r="L1108" s="754"/>
      <c r="M1108" s="754"/>
      <c r="N1108" s="754"/>
      <c r="O1108" s="754"/>
      <c r="P1108" s="754"/>
      <c r="Q1108" s="754"/>
      <c r="R1108" s="754"/>
      <c r="S1108" s="754"/>
      <c r="T1108" s="754"/>
      <c r="U1108" s="754"/>
      <c r="V1108" s="754"/>
      <c r="W1108" s="754"/>
      <c r="X1108" s="754"/>
      <c r="Y1108" s="754"/>
      <c r="Z1108" s="754"/>
      <c r="AA1108" s="754"/>
      <c r="AB1108" s="754"/>
      <c r="AC1108" s="754"/>
      <c r="AD1108" s="754"/>
      <c r="AE1108" s="754"/>
      <c r="AF1108" s="754"/>
      <c r="AG1108" s="754"/>
      <c r="AH1108" s="754"/>
      <c r="AI1108" s="754"/>
      <c r="AJ1108" s="754"/>
      <c r="AK1108" s="754"/>
      <c r="AL1108" s="754"/>
      <c r="AM1108" s="754"/>
      <c r="AN1108" s="754"/>
      <c r="AO1108" s="754"/>
      <c r="AP1108" s="754"/>
      <c r="AQ1108" s="754"/>
      <c r="AR1108" s="754"/>
      <c r="AS1108" s="754"/>
      <c r="AT1108" s="754"/>
      <c r="AU1108" s="754"/>
    </row>
    <row r="1109" ht="15.75" customHeight="1">
      <c r="A1109" s="755">
        <v>44908.0</v>
      </c>
      <c r="B1109" s="756" t="s">
        <v>6237</v>
      </c>
      <c r="C1109" s="745" t="s">
        <v>3642</v>
      </c>
      <c r="D1109" s="745" t="s">
        <v>5903</v>
      </c>
      <c r="E1109" s="757">
        <v>25000.0</v>
      </c>
      <c r="F1109" s="745" t="s">
        <v>5200</v>
      </c>
      <c r="G1109" s="745" t="s">
        <v>18</v>
      </c>
      <c r="H1109" s="745" t="s">
        <v>19</v>
      </c>
      <c r="I1109" s="745" t="s">
        <v>20</v>
      </c>
      <c r="J1109" s="755">
        <v>44655.0</v>
      </c>
      <c r="K1109" s="745" t="s">
        <v>3657</v>
      </c>
      <c r="L1109" s="754"/>
      <c r="M1109" s="754"/>
      <c r="N1109" s="754"/>
      <c r="O1109" s="754"/>
      <c r="P1109" s="754"/>
      <c r="Q1109" s="754"/>
      <c r="R1109" s="754"/>
      <c r="S1109" s="754"/>
      <c r="T1109" s="754"/>
      <c r="U1109" s="754"/>
      <c r="V1109" s="754"/>
      <c r="W1109" s="754"/>
      <c r="X1109" s="754"/>
      <c r="Y1109" s="754"/>
      <c r="Z1109" s="754"/>
      <c r="AA1109" s="754"/>
      <c r="AB1109" s="754"/>
      <c r="AC1109" s="754"/>
      <c r="AD1109" s="754"/>
      <c r="AE1109" s="754"/>
      <c r="AF1109" s="754"/>
      <c r="AG1109" s="754"/>
      <c r="AH1109" s="754"/>
      <c r="AI1109" s="754"/>
      <c r="AJ1109" s="754"/>
      <c r="AK1109" s="754"/>
      <c r="AL1109" s="754"/>
      <c r="AM1109" s="754"/>
      <c r="AN1109" s="754"/>
      <c r="AO1109" s="754"/>
      <c r="AP1109" s="754"/>
      <c r="AQ1109" s="754"/>
      <c r="AR1109" s="754"/>
      <c r="AS1109" s="754"/>
      <c r="AT1109" s="754"/>
      <c r="AU1109" s="754"/>
    </row>
    <row r="1110" ht="15.75" customHeight="1">
      <c r="A1110" s="755">
        <v>44908.0</v>
      </c>
      <c r="B1110" s="756" t="s">
        <v>3411</v>
      </c>
      <c r="C1110" s="745" t="s">
        <v>2376</v>
      </c>
      <c r="D1110" s="745" t="s">
        <v>5902</v>
      </c>
      <c r="E1110" s="849">
        <v>70026.76</v>
      </c>
      <c r="F1110" s="748" t="s">
        <v>3410</v>
      </c>
      <c r="G1110" s="745" t="s">
        <v>18</v>
      </c>
      <c r="H1110" s="745" t="s">
        <v>145</v>
      </c>
      <c r="I1110" s="745" t="s">
        <v>2464</v>
      </c>
      <c r="J1110" s="850">
        <v>44267.0</v>
      </c>
      <c r="K1110" s="745" t="s">
        <v>3651</v>
      </c>
      <c r="L1110" s="754"/>
      <c r="M1110" s="754"/>
      <c r="N1110" s="754"/>
      <c r="O1110" s="754"/>
      <c r="P1110" s="754"/>
      <c r="Q1110" s="754"/>
      <c r="R1110" s="754"/>
      <c r="S1110" s="754"/>
      <c r="T1110" s="754"/>
      <c r="U1110" s="754"/>
      <c r="V1110" s="754"/>
      <c r="W1110" s="754"/>
      <c r="X1110" s="754"/>
      <c r="Y1110" s="754"/>
      <c r="Z1110" s="754"/>
      <c r="AA1110" s="754"/>
      <c r="AB1110" s="754"/>
      <c r="AC1110" s="754"/>
      <c r="AD1110" s="754"/>
      <c r="AE1110" s="754"/>
      <c r="AF1110" s="754"/>
      <c r="AG1110" s="754"/>
      <c r="AH1110" s="754"/>
      <c r="AI1110" s="754"/>
      <c r="AJ1110" s="754"/>
      <c r="AK1110" s="754"/>
      <c r="AL1110" s="754"/>
      <c r="AM1110" s="754"/>
      <c r="AN1110" s="754"/>
      <c r="AO1110" s="754"/>
      <c r="AP1110" s="754"/>
      <c r="AQ1110" s="754"/>
      <c r="AR1110" s="754"/>
      <c r="AS1110" s="754"/>
      <c r="AT1110" s="754"/>
      <c r="AU1110" s="754"/>
    </row>
    <row r="1111" ht="15.75" customHeight="1">
      <c r="A1111" s="755">
        <v>44908.0</v>
      </c>
      <c r="B1111" s="756" t="s">
        <v>2430</v>
      </c>
      <c r="C1111" s="745" t="s">
        <v>2376</v>
      </c>
      <c r="D1111" s="745" t="s">
        <v>5902</v>
      </c>
      <c r="E1111" s="757">
        <v>0.0</v>
      </c>
      <c r="F1111" s="747" t="s">
        <v>3410</v>
      </c>
      <c r="G1111" s="745" t="s">
        <v>18</v>
      </c>
      <c r="H1111" s="745" t="s">
        <v>145</v>
      </c>
      <c r="I1111" s="745" t="s">
        <v>2464</v>
      </c>
      <c r="J1111" s="745" t="s">
        <v>2430</v>
      </c>
      <c r="K1111" s="745" t="s">
        <v>6202</v>
      </c>
      <c r="L1111" s="754"/>
      <c r="M1111" s="754"/>
      <c r="N1111" s="754"/>
      <c r="O1111" s="754"/>
      <c r="P1111" s="754"/>
      <c r="Q1111" s="754"/>
      <c r="R1111" s="754"/>
      <c r="S1111" s="754"/>
      <c r="T1111" s="754"/>
      <c r="U1111" s="754"/>
      <c r="V1111" s="754"/>
      <c r="W1111" s="754"/>
      <c r="X1111" s="754"/>
      <c r="Y1111" s="754"/>
      <c r="Z1111" s="754"/>
      <c r="AA1111" s="754"/>
      <c r="AB1111" s="754"/>
      <c r="AC1111" s="754"/>
      <c r="AD1111" s="754"/>
      <c r="AE1111" s="754"/>
      <c r="AF1111" s="754"/>
      <c r="AG1111" s="754"/>
      <c r="AH1111" s="754"/>
      <c r="AI1111" s="754"/>
      <c r="AJ1111" s="754"/>
      <c r="AK1111" s="754"/>
      <c r="AL1111" s="754"/>
      <c r="AM1111" s="754"/>
      <c r="AN1111" s="754"/>
      <c r="AO1111" s="754"/>
      <c r="AP1111" s="754"/>
      <c r="AQ1111" s="754"/>
      <c r="AR1111" s="754"/>
      <c r="AS1111" s="754"/>
      <c r="AT1111" s="754"/>
      <c r="AU1111" s="754"/>
    </row>
    <row r="1112" ht="15.75" customHeight="1">
      <c r="A1112" s="755">
        <v>44907.0</v>
      </c>
      <c r="B1112" s="756" t="s">
        <v>6238</v>
      </c>
      <c r="C1112" s="745" t="s">
        <v>2376</v>
      </c>
      <c r="D1112" s="745" t="s">
        <v>5902</v>
      </c>
      <c r="E1112" s="757" t="s">
        <v>6239</v>
      </c>
      <c r="F1112" s="745" t="s">
        <v>6240</v>
      </c>
      <c r="G1112" s="745" t="s">
        <v>18</v>
      </c>
      <c r="H1112" s="745" t="s">
        <v>145</v>
      </c>
      <c r="I1112" s="745" t="s">
        <v>2464</v>
      </c>
      <c r="J1112" s="755">
        <v>44733.0</v>
      </c>
      <c r="K1112" s="745" t="s">
        <v>3657</v>
      </c>
      <c r="L1112" s="754"/>
      <c r="M1112" s="754"/>
      <c r="N1112" s="754"/>
      <c r="O1112" s="754"/>
      <c r="P1112" s="754"/>
      <c r="Q1112" s="754"/>
      <c r="R1112" s="754"/>
      <c r="S1112" s="754"/>
      <c r="T1112" s="754"/>
      <c r="U1112" s="754"/>
      <c r="V1112" s="754"/>
      <c r="W1112" s="754"/>
      <c r="X1112" s="754"/>
      <c r="Y1112" s="754"/>
      <c r="Z1112" s="754"/>
      <c r="AA1112" s="754"/>
      <c r="AB1112" s="754"/>
      <c r="AC1112" s="754"/>
      <c r="AD1112" s="754"/>
      <c r="AE1112" s="754"/>
      <c r="AF1112" s="754"/>
      <c r="AG1112" s="754"/>
      <c r="AH1112" s="754"/>
      <c r="AI1112" s="754"/>
      <c r="AJ1112" s="754"/>
      <c r="AK1112" s="754"/>
      <c r="AL1112" s="754"/>
      <c r="AM1112" s="754"/>
      <c r="AN1112" s="754"/>
      <c r="AO1112" s="754"/>
      <c r="AP1112" s="754"/>
      <c r="AQ1112" s="754"/>
      <c r="AR1112" s="754"/>
      <c r="AS1112" s="754"/>
      <c r="AT1112" s="754"/>
      <c r="AU1112" s="754"/>
    </row>
    <row r="1113" ht="15.75" customHeight="1">
      <c r="A1113" s="755">
        <v>44890.0</v>
      </c>
      <c r="B1113" s="756" t="s">
        <v>6151</v>
      </c>
      <c r="C1113" s="745" t="s">
        <v>3642</v>
      </c>
      <c r="D1113" s="745" t="s">
        <v>5902</v>
      </c>
      <c r="E1113" s="757">
        <v>251143.6</v>
      </c>
      <c r="F1113" s="745" t="s">
        <v>4591</v>
      </c>
      <c r="G1113" s="745" t="s">
        <v>18</v>
      </c>
      <c r="H1113" s="745" t="s">
        <v>19</v>
      </c>
      <c r="I1113" s="745" t="s">
        <v>230</v>
      </c>
      <c r="J1113" s="755"/>
      <c r="K1113" s="755"/>
      <c r="L1113" s="754"/>
      <c r="M1113" s="754"/>
      <c r="N1113" s="754"/>
      <c r="O1113" s="754"/>
      <c r="P1113" s="754"/>
      <c r="Q1113" s="754"/>
      <c r="R1113" s="754"/>
      <c r="S1113" s="754"/>
      <c r="T1113" s="754"/>
      <c r="U1113" s="754"/>
      <c r="V1113" s="754"/>
      <c r="W1113" s="754"/>
      <c r="X1113" s="754"/>
      <c r="Y1113" s="754"/>
      <c r="Z1113" s="754"/>
      <c r="AA1113" s="754"/>
      <c r="AB1113" s="754"/>
      <c r="AC1113" s="754"/>
      <c r="AD1113" s="754"/>
      <c r="AE1113" s="754"/>
      <c r="AF1113" s="754"/>
      <c r="AG1113" s="754"/>
      <c r="AH1113" s="754"/>
      <c r="AI1113" s="754"/>
      <c r="AJ1113" s="754"/>
      <c r="AK1113" s="754"/>
      <c r="AL1113" s="754"/>
      <c r="AM1113" s="754"/>
      <c r="AN1113" s="754"/>
      <c r="AO1113" s="754"/>
      <c r="AP1113" s="754"/>
      <c r="AQ1113" s="754"/>
      <c r="AR1113" s="754"/>
      <c r="AS1113" s="754"/>
      <c r="AT1113" s="754"/>
      <c r="AU1113" s="754"/>
    </row>
    <row r="1114" ht="15.75" customHeight="1">
      <c r="A1114" s="784">
        <v>44909.0</v>
      </c>
      <c r="B1114" s="785" t="s">
        <v>6075</v>
      </c>
      <c r="C1114" s="786" t="s">
        <v>3642</v>
      </c>
      <c r="D1114" s="787" t="s">
        <v>5903</v>
      </c>
      <c r="E1114" s="788">
        <v>10000.0</v>
      </c>
      <c r="F1114" s="787" t="s">
        <v>3691</v>
      </c>
      <c r="G1114" s="787" t="s">
        <v>18</v>
      </c>
      <c r="H1114" s="787" t="s">
        <v>19</v>
      </c>
      <c r="I1114" s="787" t="s">
        <v>20</v>
      </c>
      <c r="J1114" s="789">
        <v>44609.0</v>
      </c>
      <c r="K1114" s="786" t="s">
        <v>3660</v>
      </c>
      <c r="L1114" s="754"/>
      <c r="M1114" s="754"/>
      <c r="N1114" s="754"/>
      <c r="O1114" s="754"/>
      <c r="P1114" s="754"/>
      <c r="Q1114" s="754"/>
      <c r="R1114" s="754"/>
      <c r="S1114" s="754"/>
      <c r="T1114" s="754"/>
      <c r="U1114" s="754"/>
      <c r="V1114" s="754"/>
      <c r="W1114" s="754"/>
      <c r="X1114" s="754"/>
      <c r="Y1114" s="754"/>
      <c r="Z1114" s="754"/>
      <c r="AA1114" s="754"/>
      <c r="AB1114" s="754"/>
      <c r="AC1114" s="754"/>
      <c r="AD1114" s="754"/>
      <c r="AE1114" s="754"/>
      <c r="AF1114" s="754"/>
      <c r="AG1114" s="754"/>
      <c r="AH1114" s="754"/>
      <c r="AI1114" s="754"/>
      <c r="AJ1114" s="754"/>
      <c r="AK1114" s="754"/>
      <c r="AL1114" s="754"/>
      <c r="AM1114" s="754"/>
      <c r="AN1114" s="754"/>
      <c r="AO1114" s="754"/>
      <c r="AP1114" s="754"/>
      <c r="AQ1114" s="754"/>
      <c r="AR1114" s="754"/>
      <c r="AS1114" s="754"/>
      <c r="AT1114" s="754"/>
      <c r="AU1114" s="754"/>
    </row>
    <row r="1115" ht="15.75" customHeight="1">
      <c r="A1115" s="755">
        <v>44911.0</v>
      </c>
      <c r="B1115" s="756" t="s">
        <v>5943</v>
      </c>
      <c r="C1115" s="786" t="s">
        <v>3642</v>
      </c>
      <c r="D1115" s="745" t="s">
        <v>5902</v>
      </c>
      <c r="E1115" s="757">
        <v>115969.72</v>
      </c>
      <c r="F1115" s="745" t="s">
        <v>5174</v>
      </c>
      <c r="G1115" s="745" t="s">
        <v>86</v>
      </c>
      <c r="H1115" s="745" t="s">
        <v>29</v>
      </c>
      <c r="I1115" s="745" t="s">
        <v>6241</v>
      </c>
      <c r="J1115" s="792">
        <v>44203.0</v>
      </c>
      <c r="K1115" s="745" t="s">
        <v>3651</v>
      </c>
      <c r="L1115" s="754"/>
      <c r="M1115" s="754"/>
      <c r="N1115" s="754"/>
      <c r="O1115" s="754"/>
      <c r="P1115" s="754"/>
      <c r="Q1115" s="754"/>
      <c r="R1115" s="754"/>
      <c r="S1115" s="754"/>
      <c r="T1115" s="754"/>
      <c r="U1115" s="754"/>
      <c r="V1115" s="754"/>
      <c r="W1115" s="754"/>
      <c r="X1115" s="754"/>
      <c r="Y1115" s="754"/>
      <c r="Z1115" s="754"/>
      <c r="AA1115" s="754"/>
      <c r="AB1115" s="754"/>
      <c r="AC1115" s="754"/>
      <c r="AD1115" s="754"/>
      <c r="AE1115" s="754"/>
      <c r="AF1115" s="754"/>
      <c r="AG1115" s="754"/>
      <c r="AH1115" s="754"/>
      <c r="AI1115" s="754"/>
      <c r="AJ1115" s="754"/>
      <c r="AK1115" s="754"/>
      <c r="AL1115" s="754"/>
      <c r="AM1115" s="754"/>
      <c r="AN1115" s="754"/>
      <c r="AO1115" s="754"/>
      <c r="AP1115" s="754"/>
      <c r="AQ1115" s="754"/>
      <c r="AR1115" s="754"/>
      <c r="AS1115" s="754"/>
      <c r="AT1115" s="754"/>
      <c r="AU1115" s="754"/>
    </row>
    <row r="1116" ht="15.75" customHeight="1">
      <c r="A1116" s="755">
        <v>44911.0</v>
      </c>
      <c r="B1116" s="756" t="s">
        <v>2767</v>
      </c>
      <c r="C1116" s="745" t="s">
        <v>2376</v>
      </c>
      <c r="D1116" s="745" t="s">
        <v>5902</v>
      </c>
      <c r="E1116" s="849">
        <v>6543.8</v>
      </c>
      <c r="F1116" s="745" t="s">
        <v>6242</v>
      </c>
      <c r="G1116" s="745" t="s">
        <v>18</v>
      </c>
      <c r="H1116" s="745" t="s">
        <v>145</v>
      </c>
      <c r="I1116" s="745" t="s">
        <v>146</v>
      </c>
      <c r="J1116" s="755">
        <v>44263.0</v>
      </c>
      <c r="K1116" s="745" t="s">
        <v>3647</v>
      </c>
      <c r="L1116" s="754"/>
      <c r="M1116" s="754"/>
      <c r="N1116" s="754"/>
      <c r="O1116" s="754"/>
      <c r="P1116" s="754"/>
      <c r="Q1116" s="754"/>
      <c r="R1116" s="754"/>
      <c r="S1116" s="754"/>
      <c r="T1116" s="754"/>
      <c r="U1116" s="754"/>
      <c r="V1116" s="754"/>
      <c r="W1116" s="754"/>
      <c r="X1116" s="754"/>
      <c r="Y1116" s="754"/>
      <c r="Z1116" s="754"/>
      <c r="AA1116" s="754"/>
      <c r="AB1116" s="754"/>
      <c r="AC1116" s="754"/>
      <c r="AD1116" s="754"/>
      <c r="AE1116" s="754"/>
      <c r="AF1116" s="754"/>
      <c r="AG1116" s="754"/>
      <c r="AH1116" s="754"/>
      <c r="AI1116" s="754"/>
      <c r="AJ1116" s="754"/>
      <c r="AK1116" s="754"/>
      <c r="AL1116" s="754"/>
      <c r="AM1116" s="754"/>
      <c r="AN1116" s="754"/>
      <c r="AO1116" s="754"/>
      <c r="AP1116" s="754"/>
      <c r="AQ1116" s="754"/>
      <c r="AR1116" s="754"/>
      <c r="AS1116" s="754"/>
      <c r="AT1116" s="754"/>
      <c r="AU1116" s="754"/>
    </row>
    <row r="1117" ht="15.75" customHeight="1">
      <c r="A1117" s="755">
        <v>44914.0</v>
      </c>
      <c r="B1117" s="756">
        <v>6604192.0</v>
      </c>
      <c r="C1117" s="745" t="s">
        <v>3642</v>
      </c>
      <c r="D1117" s="745" t="s">
        <v>5903</v>
      </c>
      <c r="E1117" s="849">
        <v>3700.0</v>
      </c>
      <c r="F1117" s="745" t="s">
        <v>4724</v>
      </c>
      <c r="G1117" s="745" t="s">
        <v>18</v>
      </c>
      <c r="H1117" s="745" t="s">
        <v>29</v>
      </c>
      <c r="I1117" s="745" t="s">
        <v>633</v>
      </c>
      <c r="J1117" s="755">
        <v>44460.0</v>
      </c>
      <c r="K1117" s="745" t="s">
        <v>3657</v>
      </c>
      <c r="L1117" s="754"/>
      <c r="M1117" s="754"/>
      <c r="N1117" s="754"/>
      <c r="O1117" s="754"/>
      <c r="P1117" s="754"/>
      <c r="Q1117" s="754"/>
      <c r="R1117" s="754"/>
      <c r="S1117" s="754"/>
      <c r="T1117" s="754"/>
      <c r="U1117" s="754"/>
      <c r="V1117" s="754"/>
      <c r="W1117" s="754"/>
      <c r="X1117" s="754"/>
      <c r="Y1117" s="754"/>
      <c r="Z1117" s="754"/>
      <c r="AA1117" s="754"/>
      <c r="AB1117" s="754"/>
      <c r="AC1117" s="754"/>
      <c r="AD1117" s="754"/>
      <c r="AE1117" s="754"/>
      <c r="AF1117" s="754"/>
      <c r="AG1117" s="754"/>
      <c r="AH1117" s="754"/>
      <c r="AI1117" s="754"/>
      <c r="AJ1117" s="754"/>
      <c r="AK1117" s="754"/>
      <c r="AL1117" s="754"/>
      <c r="AM1117" s="754"/>
      <c r="AN1117" s="754"/>
      <c r="AO1117" s="754"/>
      <c r="AP1117" s="754"/>
      <c r="AQ1117" s="754"/>
      <c r="AR1117" s="754"/>
      <c r="AS1117" s="754"/>
      <c r="AT1117" s="754"/>
      <c r="AU1117" s="754"/>
    </row>
    <row r="1118" ht="15.75" customHeight="1">
      <c r="A1118" s="755">
        <v>44917.0</v>
      </c>
      <c r="B1118" s="756">
        <v>5371919.0</v>
      </c>
      <c r="C1118" s="745" t="s">
        <v>3642</v>
      </c>
      <c r="D1118" s="745" t="s">
        <v>5903</v>
      </c>
      <c r="E1118" s="849">
        <v>250000.0</v>
      </c>
      <c r="F1118" s="745" t="s">
        <v>5052</v>
      </c>
      <c r="G1118" s="745" t="s">
        <v>86</v>
      </c>
      <c r="H1118" s="745" t="s">
        <v>29</v>
      </c>
      <c r="I1118" s="745" t="s">
        <v>5894</v>
      </c>
      <c r="J1118" s="792">
        <v>44714.0</v>
      </c>
      <c r="K1118" s="747" t="s">
        <v>3660</v>
      </c>
      <c r="L1118" s="754"/>
      <c r="M1118" s="754"/>
      <c r="N1118" s="754"/>
      <c r="O1118" s="754"/>
      <c r="P1118" s="754"/>
      <c r="Q1118" s="754"/>
      <c r="R1118" s="754"/>
      <c r="S1118" s="754"/>
      <c r="T1118" s="754"/>
      <c r="U1118" s="754"/>
      <c r="V1118" s="754"/>
      <c r="W1118" s="754"/>
      <c r="X1118" s="754"/>
      <c r="Y1118" s="754"/>
      <c r="Z1118" s="754"/>
      <c r="AA1118" s="754"/>
      <c r="AB1118" s="754"/>
      <c r="AC1118" s="754"/>
      <c r="AD1118" s="754"/>
      <c r="AE1118" s="754"/>
      <c r="AF1118" s="754"/>
      <c r="AG1118" s="754"/>
      <c r="AH1118" s="754"/>
      <c r="AI1118" s="754"/>
      <c r="AJ1118" s="754"/>
      <c r="AK1118" s="754"/>
      <c r="AL1118" s="754"/>
      <c r="AM1118" s="754"/>
      <c r="AN1118" s="754"/>
      <c r="AO1118" s="754"/>
      <c r="AP1118" s="754"/>
      <c r="AQ1118" s="754"/>
      <c r="AR1118" s="754"/>
      <c r="AS1118" s="754"/>
      <c r="AT1118" s="754"/>
      <c r="AU1118" s="754"/>
    </row>
    <row r="1119" ht="15.75" customHeight="1">
      <c r="A1119" s="755">
        <v>44917.0</v>
      </c>
      <c r="B1119" s="756">
        <v>3730315.0</v>
      </c>
      <c r="C1119" s="745" t="s">
        <v>3642</v>
      </c>
      <c r="D1119" s="745" t="s">
        <v>5903</v>
      </c>
      <c r="E1119" s="849">
        <v>150000.0</v>
      </c>
      <c r="F1119" s="745" t="s">
        <v>5055</v>
      </c>
      <c r="G1119" s="745" t="s">
        <v>86</v>
      </c>
      <c r="H1119" s="745" t="s">
        <v>29</v>
      </c>
      <c r="I1119" s="745" t="s">
        <v>5894</v>
      </c>
      <c r="J1119" s="792">
        <v>44714.0</v>
      </c>
      <c r="K1119" s="747" t="s">
        <v>3660</v>
      </c>
      <c r="L1119" s="754"/>
      <c r="M1119" s="754"/>
      <c r="N1119" s="754"/>
      <c r="O1119" s="754"/>
      <c r="P1119" s="754"/>
      <c r="Q1119" s="754"/>
      <c r="R1119" s="754"/>
      <c r="S1119" s="754"/>
      <c r="T1119" s="754"/>
      <c r="U1119" s="754"/>
      <c r="V1119" s="754"/>
      <c r="W1119" s="754"/>
      <c r="X1119" s="754"/>
      <c r="Y1119" s="754"/>
      <c r="Z1119" s="754"/>
      <c r="AA1119" s="754"/>
      <c r="AB1119" s="754"/>
      <c r="AC1119" s="754"/>
      <c r="AD1119" s="754"/>
      <c r="AE1119" s="754"/>
      <c r="AF1119" s="754"/>
      <c r="AG1119" s="754"/>
      <c r="AH1119" s="754"/>
      <c r="AI1119" s="754"/>
      <c r="AJ1119" s="754"/>
      <c r="AK1119" s="754"/>
      <c r="AL1119" s="754"/>
      <c r="AM1119" s="754"/>
      <c r="AN1119" s="754"/>
      <c r="AO1119" s="754"/>
      <c r="AP1119" s="754"/>
      <c r="AQ1119" s="754"/>
      <c r="AR1119" s="754"/>
      <c r="AS1119" s="754"/>
      <c r="AT1119" s="754"/>
      <c r="AU1119" s="754"/>
    </row>
    <row r="1120" ht="15.75" customHeight="1">
      <c r="A1120" s="755">
        <v>44918.0</v>
      </c>
      <c r="B1120" s="756" t="s">
        <v>6243</v>
      </c>
      <c r="C1120" s="745" t="s">
        <v>3642</v>
      </c>
      <c r="D1120" s="745" t="s">
        <v>5903</v>
      </c>
      <c r="E1120" s="757">
        <v>54000.0</v>
      </c>
      <c r="F1120" s="745" t="s">
        <v>5231</v>
      </c>
      <c r="G1120" s="745" t="s">
        <v>86</v>
      </c>
      <c r="H1120" s="745" t="s">
        <v>29</v>
      </c>
      <c r="I1120" s="745" t="s">
        <v>3913</v>
      </c>
      <c r="J1120" s="755">
        <v>44134.0</v>
      </c>
      <c r="K1120" s="745" t="s">
        <v>3647</v>
      </c>
      <c r="L1120" s="754"/>
      <c r="M1120" s="754"/>
      <c r="N1120" s="754"/>
      <c r="O1120" s="754"/>
      <c r="P1120" s="754"/>
      <c r="Q1120" s="754"/>
      <c r="R1120" s="754"/>
      <c r="S1120" s="754"/>
      <c r="T1120" s="754"/>
      <c r="U1120" s="754"/>
      <c r="V1120" s="754"/>
      <c r="W1120" s="754"/>
      <c r="X1120" s="754"/>
      <c r="Y1120" s="754"/>
      <c r="Z1120" s="754"/>
      <c r="AA1120" s="754"/>
      <c r="AB1120" s="754"/>
      <c r="AC1120" s="754"/>
      <c r="AD1120" s="754"/>
      <c r="AE1120" s="754"/>
      <c r="AF1120" s="754"/>
      <c r="AG1120" s="754"/>
      <c r="AH1120" s="754"/>
      <c r="AI1120" s="754"/>
      <c r="AJ1120" s="754"/>
      <c r="AK1120" s="754"/>
      <c r="AL1120" s="754"/>
      <c r="AM1120" s="754"/>
      <c r="AN1120" s="754"/>
      <c r="AO1120" s="754"/>
      <c r="AP1120" s="754"/>
      <c r="AQ1120" s="754"/>
      <c r="AR1120" s="754"/>
      <c r="AS1120" s="754"/>
      <c r="AT1120" s="754"/>
      <c r="AU1120" s="754"/>
    </row>
    <row r="1121" ht="15.75" customHeight="1">
      <c r="A1121" s="755">
        <v>44918.0</v>
      </c>
      <c r="B1121" s="756" t="s">
        <v>6244</v>
      </c>
      <c r="C1121" s="745" t="s">
        <v>3642</v>
      </c>
      <c r="D1121" s="745" t="s">
        <v>2387</v>
      </c>
      <c r="E1121" s="757">
        <v>105535.73</v>
      </c>
      <c r="F1121" s="745" t="s">
        <v>6245</v>
      </c>
      <c r="G1121" s="745" t="s">
        <v>86</v>
      </c>
      <c r="H1121" s="745" t="s">
        <v>29</v>
      </c>
      <c r="I1121" s="745" t="s">
        <v>4028</v>
      </c>
      <c r="J1121" s="851">
        <v>44361.0</v>
      </c>
      <c r="K1121" s="745" t="s">
        <v>3660</v>
      </c>
      <c r="L1121" s="754"/>
      <c r="M1121" s="754"/>
      <c r="N1121" s="754"/>
      <c r="O1121" s="754"/>
      <c r="P1121" s="754"/>
      <c r="Q1121" s="754"/>
      <c r="R1121" s="754"/>
      <c r="S1121" s="754"/>
      <c r="T1121" s="754"/>
      <c r="U1121" s="754"/>
      <c r="V1121" s="754"/>
      <c r="W1121" s="754"/>
      <c r="X1121" s="754"/>
      <c r="Y1121" s="754"/>
      <c r="Z1121" s="754"/>
      <c r="AA1121" s="754"/>
      <c r="AB1121" s="754"/>
      <c r="AC1121" s="754"/>
      <c r="AD1121" s="754"/>
      <c r="AE1121" s="754"/>
      <c r="AF1121" s="754"/>
      <c r="AG1121" s="754"/>
      <c r="AH1121" s="754"/>
      <c r="AI1121" s="754"/>
      <c r="AJ1121" s="754"/>
      <c r="AK1121" s="754"/>
      <c r="AL1121" s="754"/>
      <c r="AM1121" s="754"/>
      <c r="AN1121" s="754"/>
      <c r="AO1121" s="754"/>
      <c r="AP1121" s="754"/>
      <c r="AQ1121" s="754"/>
      <c r="AR1121" s="754"/>
      <c r="AS1121" s="754"/>
      <c r="AT1121" s="754"/>
      <c r="AU1121" s="754"/>
    </row>
    <row r="1122" ht="15.75" customHeight="1">
      <c r="A1122" s="755">
        <v>44918.0</v>
      </c>
      <c r="B1122" s="756" t="s">
        <v>6068</v>
      </c>
      <c r="C1122" s="745" t="s">
        <v>3642</v>
      </c>
      <c r="D1122" s="745" t="s">
        <v>5903</v>
      </c>
      <c r="E1122" s="757">
        <v>30000.0</v>
      </c>
      <c r="F1122" s="745" t="s">
        <v>1426</v>
      </c>
      <c r="G1122" s="755" t="s">
        <v>18</v>
      </c>
      <c r="H1122" s="755" t="s">
        <v>29</v>
      </c>
      <c r="I1122" s="755" t="s">
        <v>5895</v>
      </c>
      <c r="J1122" s="755">
        <v>44594.0</v>
      </c>
      <c r="K1122" s="755" t="s">
        <v>3657</v>
      </c>
      <c r="L1122" s="754"/>
      <c r="M1122" s="754"/>
      <c r="N1122" s="754"/>
      <c r="O1122" s="754"/>
      <c r="P1122" s="754"/>
      <c r="Q1122" s="754"/>
      <c r="R1122" s="754"/>
      <c r="S1122" s="754"/>
      <c r="T1122" s="754"/>
      <c r="U1122" s="754"/>
      <c r="V1122" s="754"/>
      <c r="W1122" s="754"/>
      <c r="X1122" s="754"/>
      <c r="Y1122" s="754"/>
      <c r="Z1122" s="754"/>
      <c r="AA1122" s="754"/>
      <c r="AB1122" s="754"/>
      <c r="AC1122" s="754"/>
      <c r="AD1122" s="754"/>
      <c r="AE1122" s="754"/>
      <c r="AF1122" s="754"/>
      <c r="AG1122" s="754"/>
      <c r="AH1122" s="754"/>
      <c r="AI1122" s="754"/>
      <c r="AJ1122" s="754"/>
      <c r="AK1122" s="754"/>
      <c r="AL1122" s="754"/>
      <c r="AM1122" s="754"/>
      <c r="AN1122" s="754"/>
      <c r="AO1122" s="754"/>
      <c r="AP1122" s="754"/>
      <c r="AQ1122" s="754"/>
      <c r="AR1122" s="754"/>
      <c r="AS1122" s="754"/>
      <c r="AT1122" s="754"/>
      <c r="AU1122" s="754"/>
    </row>
    <row r="1123" ht="15.75" customHeight="1">
      <c r="A1123" s="755">
        <v>44921.0</v>
      </c>
      <c r="B1123" s="756" t="s">
        <v>6164</v>
      </c>
      <c r="C1123" s="745" t="s">
        <v>3642</v>
      </c>
      <c r="D1123" s="745" t="s">
        <v>5903</v>
      </c>
      <c r="E1123" s="757">
        <v>11000.0</v>
      </c>
      <c r="F1123" s="745" t="s">
        <v>4565</v>
      </c>
      <c r="G1123" s="745" t="s">
        <v>18</v>
      </c>
      <c r="H1123" s="745" t="s">
        <v>29</v>
      </c>
      <c r="I1123" s="745" t="s">
        <v>2633</v>
      </c>
      <c r="J1123" s="755">
        <v>44393.0</v>
      </c>
      <c r="K1123" s="745" t="s">
        <v>3647</v>
      </c>
      <c r="L1123" s="754"/>
      <c r="M1123" s="754"/>
      <c r="N1123" s="754"/>
      <c r="O1123" s="754"/>
      <c r="P1123" s="754"/>
      <c r="Q1123" s="754"/>
      <c r="R1123" s="754"/>
      <c r="S1123" s="754"/>
      <c r="T1123" s="754"/>
      <c r="U1123" s="754"/>
      <c r="V1123" s="754"/>
      <c r="W1123" s="754"/>
      <c r="X1123" s="754"/>
      <c r="Y1123" s="754"/>
      <c r="Z1123" s="754"/>
      <c r="AA1123" s="754"/>
      <c r="AB1123" s="754"/>
      <c r="AC1123" s="754"/>
      <c r="AD1123" s="754"/>
      <c r="AE1123" s="754"/>
      <c r="AF1123" s="754"/>
      <c r="AG1123" s="754"/>
      <c r="AH1123" s="754"/>
      <c r="AI1123" s="754"/>
      <c r="AJ1123" s="754"/>
      <c r="AK1123" s="754"/>
      <c r="AL1123" s="754"/>
      <c r="AM1123" s="754"/>
      <c r="AN1123" s="754"/>
      <c r="AO1123" s="754"/>
      <c r="AP1123" s="754"/>
      <c r="AQ1123" s="754"/>
      <c r="AR1123" s="754"/>
      <c r="AS1123" s="754"/>
      <c r="AT1123" s="754"/>
      <c r="AU1123" s="754"/>
    </row>
    <row r="1124" ht="15.75" customHeight="1">
      <c r="A1124" s="755">
        <v>44921.0</v>
      </c>
      <c r="B1124" s="756" t="s">
        <v>6246</v>
      </c>
      <c r="C1124" s="745" t="s">
        <v>3642</v>
      </c>
      <c r="D1124" s="745" t="s">
        <v>5903</v>
      </c>
      <c r="E1124" s="757">
        <v>12000.0</v>
      </c>
      <c r="F1124" s="745" t="s">
        <v>6247</v>
      </c>
      <c r="G1124" s="745" t="s">
        <v>18</v>
      </c>
      <c r="H1124" s="745" t="s">
        <v>29</v>
      </c>
      <c r="I1124" s="745" t="s">
        <v>58</v>
      </c>
      <c r="J1124" s="755">
        <v>44076.0</v>
      </c>
      <c r="K1124" s="745" t="s">
        <v>3660</v>
      </c>
      <c r="L1124" s="754"/>
      <c r="M1124" s="754"/>
      <c r="N1124" s="754"/>
      <c r="O1124" s="754"/>
      <c r="P1124" s="754"/>
      <c r="Q1124" s="754"/>
      <c r="R1124" s="754"/>
      <c r="S1124" s="754"/>
      <c r="T1124" s="754"/>
      <c r="U1124" s="754"/>
      <c r="V1124" s="754"/>
      <c r="W1124" s="754"/>
      <c r="X1124" s="754"/>
      <c r="Y1124" s="754"/>
      <c r="Z1124" s="754"/>
      <c r="AA1124" s="754"/>
      <c r="AB1124" s="754"/>
      <c r="AC1124" s="754"/>
      <c r="AD1124" s="754"/>
      <c r="AE1124" s="754"/>
      <c r="AF1124" s="754"/>
      <c r="AG1124" s="754"/>
      <c r="AH1124" s="754"/>
      <c r="AI1124" s="754"/>
      <c r="AJ1124" s="754"/>
      <c r="AK1124" s="754"/>
      <c r="AL1124" s="754"/>
      <c r="AM1124" s="754"/>
      <c r="AN1124" s="754"/>
      <c r="AO1124" s="754"/>
      <c r="AP1124" s="754"/>
      <c r="AQ1124" s="754"/>
      <c r="AR1124" s="754"/>
      <c r="AS1124" s="754"/>
      <c r="AT1124" s="754"/>
      <c r="AU1124" s="754"/>
    </row>
    <row r="1125" ht="15.75" customHeight="1">
      <c r="A1125" s="755">
        <v>44921.0</v>
      </c>
      <c r="B1125" s="756" t="s">
        <v>6248</v>
      </c>
      <c r="C1125" s="745" t="s">
        <v>3642</v>
      </c>
      <c r="D1125" s="745" t="s">
        <v>5903</v>
      </c>
      <c r="E1125" s="757">
        <v>36019.28</v>
      </c>
      <c r="F1125" s="745" t="s">
        <v>4240</v>
      </c>
      <c r="G1125" s="755" t="s">
        <v>18</v>
      </c>
      <c r="H1125" s="755" t="s">
        <v>19</v>
      </c>
      <c r="I1125" s="755" t="s">
        <v>4859</v>
      </c>
      <c r="J1125" s="755">
        <v>44511.0</v>
      </c>
      <c r="K1125" s="755" t="s">
        <v>3651</v>
      </c>
      <c r="L1125" s="754"/>
      <c r="M1125" s="754"/>
      <c r="N1125" s="754"/>
      <c r="O1125" s="754"/>
      <c r="P1125" s="754"/>
      <c r="Q1125" s="754"/>
      <c r="R1125" s="754"/>
      <c r="S1125" s="754"/>
      <c r="T1125" s="754"/>
      <c r="U1125" s="754"/>
      <c r="V1125" s="754"/>
      <c r="W1125" s="754"/>
      <c r="X1125" s="754"/>
      <c r="Y1125" s="754"/>
      <c r="Z1125" s="754"/>
      <c r="AA1125" s="754"/>
      <c r="AB1125" s="754"/>
      <c r="AC1125" s="754"/>
      <c r="AD1125" s="754"/>
      <c r="AE1125" s="754"/>
      <c r="AF1125" s="754"/>
      <c r="AG1125" s="754"/>
      <c r="AH1125" s="754"/>
      <c r="AI1125" s="754"/>
      <c r="AJ1125" s="754"/>
      <c r="AK1125" s="754"/>
      <c r="AL1125" s="754"/>
      <c r="AM1125" s="754"/>
      <c r="AN1125" s="754"/>
      <c r="AO1125" s="754"/>
      <c r="AP1125" s="754"/>
      <c r="AQ1125" s="754"/>
      <c r="AR1125" s="754"/>
      <c r="AS1125" s="754"/>
      <c r="AT1125" s="754"/>
      <c r="AU1125" s="754"/>
    </row>
    <row r="1126" ht="15.75" customHeight="1">
      <c r="A1126" s="755">
        <v>44922.0</v>
      </c>
      <c r="B1126" s="756" t="s">
        <v>6150</v>
      </c>
      <c r="C1126" s="745" t="s">
        <v>3642</v>
      </c>
      <c r="D1126" s="745" t="s">
        <v>5903</v>
      </c>
      <c r="E1126" s="757">
        <v>10000.0</v>
      </c>
      <c r="F1126" s="745" t="s">
        <v>1289</v>
      </c>
      <c r="G1126" s="787" t="s">
        <v>18</v>
      </c>
      <c r="H1126" s="787" t="s">
        <v>19</v>
      </c>
      <c r="I1126" s="787" t="s">
        <v>201</v>
      </c>
      <c r="J1126" s="789">
        <v>44568.0</v>
      </c>
      <c r="K1126" s="786" t="s">
        <v>4309</v>
      </c>
      <c r="L1126" s="754"/>
      <c r="M1126" s="754"/>
      <c r="N1126" s="754"/>
      <c r="O1126" s="754"/>
      <c r="P1126" s="754"/>
      <c r="Q1126" s="754"/>
      <c r="R1126" s="754"/>
      <c r="S1126" s="754"/>
      <c r="T1126" s="754"/>
      <c r="U1126" s="754"/>
      <c r="V1126" s="754"/>
      <c r="W1126" s="754"/>
      <c r="X1126" s="754"/>
      <c r="Y1126" s="754"/>
      <c r="Z1126" s="754"/>
      <c r="AA1126" s="754"/>
      <c r="AB1126" s="754"/>
      <c r="AC1126" s="754"/>
      <c r="AD1126" s="754"/>
      <c r="AE1126" s="754"/>
      <c r="AF1126" s="754"/>
      <c r="AG1126" s="754"/>
      <c r="AH1126" s="754"/>
      <c r="AI1126" s="754"/>
      <c r="AJ1126" s="754"/>
      <c r="AK1126" s="754"/>
      <c r="AL1126" s="754"/>
      <c r="AM1126" s="754"/>
      <c r="AN1126" s="754"/>
      <c r="AO1126" s="754"/>
      <c r="AP1126" s="754"/>
      <c r="AQ1126" s="754"/>
      <c r="AR1126" s="754"/>
      <c r="AS1126" s="754"/>
      <c r="AT1126" s="754"/>
      <c r="AU1126" s="754"/>
    </row>
    <row r="1127" ht="15.75" customHeight="1">
      <c r="A1127" s="755">
        <v>44922.0</v>
      </c>
      <c r="B1127" s="756" t="s">
        <v>6206</v>
      </c>
      <c r="C1127" s="745" t="s">
        <v>3642</v>
      </c>
      <c r="D1127" s="745" t="s">
        <v>2387</v>
      </c>
      <c r="E1127" s="757">
        <v>44803.44</v>
      </c>
      <c r="F1127" s="745" t="s">
        <v>3689</v>
      </c>
      <c r="G1127" s="745" t="s">
        <v>18</v>
      </c>
      <c r="H1127" s="745" t="s">
        <v>29</v>
      </c>
      <c r="I1127" s="745" t="s">
        <v>137</v>
      </c>
      <c r="J1127" s="852">
        <v>44652.0</v>
      </c>
      <c r="K1127" s="745" t="s">
        <v>3657</v>
      </c>
      <c r="L1127" s="754"/>
      <c r="M1127" s="754"/>
      <c r="N1127" s="754"/>
      <c r="O1127" s="754"/>
      <c r="P1127" s="754"/>
      <c r="Q1127" s="754"/>
      <c r="R1127" s="754"/>
      <c r="S1127" s="754"/>
      <c r="T1127" s="754"/>
      <c r="U1127" s="754"/>
      <c r="V1127" s="754"/>
      <c r="W1127" s="754"/>
      <c r="X1127" s="754"/>
      <c r="Y1127" s="754"/>
      <c r="Z1127" s="754"/>
      <c r="AA1127" s="754"/>
      <c r="AB1127" s="754"/>
      <c r="AC1127" s="754"/>
      <c r="AD1127" s="754"/>
      <c r="AE1127" s="754"/>
      <c r="AF1127" s="754"/>
      <c r="AG1127" s="754"/>
      <c r="AH1127" s="754"/>
      <c r="AI1127" s="754"/>
      <c r="AJ1127" s="754"/>
      <c r="AK1127" s="754"/>
      <c r="AL1127" s="754"/>
      <c r="AM1127" s="754"/>
      <c r="AN1127" s="754"/>
      <c r="AO1127" s="754"/>
      <c r="AP1127" s="754"/>
      <c r="AQ1127" s="754"/>
      <c r="AR1127" s="754"/>
      <c r="AS1127" s="754"/>
      <c r="AT1127" s="754"/>
      <c r="AU1127" s="754"/>
    </row>
    <row r="1128" ht="15.75" customHeight="1">
      <c r="A1128" s="755">
        <v>44922.0</v>
      </c>
      <c r="B1128" s="756" t="s">
        <v>6035</v>
      </c>
      <c r="C1128" s="745" t="s">
        <v>3642</v>
      </c>
      <c r="D1128" s="745" t="s">
        <v>2387</v>
      </c>
      <c r="E1128" s="757">
        <v>25323.14</v>
      </c>
      <c r="F1128" s="745" t="s">
        <v>6249</v>
      </c>
      <c r="G1128" s="745" t="s">
        <v>18</v>
      </c>
      <c r="H1128" s="745" t="s">
        <v>29</v>
      </c>
      <c r="I1128" s="745" t="s">
        <v>2633</v>
      </c>
      <c r="J1128" s="792">
        <v>44399.0</v>
      </c>
      <c r="K1128" s="745" t="s">
        <v>3651</v>
      </c>
      <c r="L1128" s="754"/>
      <c r="M1128" s="754"/>
      <c r="N1128" s="754"/>
      <c r="O1128" s="754"/>
      <c r="P1128" s="754"/>
      <c r="Q1128" s="754"/>
      <c r="R1128" s="754"/>
      <c r="S1128" s="754"/>
      <c r="T1128" s="754"/>
      <c r="U1128" s="754"/>
      <c r="V1128" s="754"/>
      <c r="W1128" s="754"/>
      <c r="X1128" s="754"/>
      <c r="Y1128" s="754"/>
      <c r="Z1128" s="754"/>
      <c r="AA1128" s="754"/>
      <c r="AB1128" s="754"/>
      <c r="AC1128" s="754"/>
      <c r="AD1128" s="754"/>
      <c r="AE1128" s="754"/>
      <c r="AF1128" s="754"/>
      <c r="AG1128" s="754"/>
      <c r="AH1128" s="754"/>
      <c r="AI1128" s="754"/>
      <c r="AJ1128" s="754"/>
      <c r="AK1128" s="754"/>
      <c r="AL1128" s="754"/>
      <c r="AM1128" s="754"/>
      <c r="AN1128" s="754"/>
      <c r="AO1128" s="754"/>
      <c r="AP1128" s="754"/>
      <c r="AQ1128" s="754"/>
      <c r="AR1128" s="754"/>
      <c r="AS1128" s="754"/>
      <c r="AT1128" s="754"/>
      <c r="AU1128" s="754"/>
    </row>
    <row r="1129" ht="15.75" customHeight="1">
      <c r="A1129" s="755">
        <v>44930.0</v>
      </c>
      <c r="B1129" s="756" t="s">
        <v>6223</v>
      </c>
      <c r="C1129" s="745" t="s">
        <v>3642</v>
      </c>
      <c r="D1129" s="745" t="s">
        <v>5903</v>
      </c>
      <c r="E1129" s="757">
        <v>5000.0</v>
      </c>
      <c r="F1129" s="745" t="s">
        <v>295</v>
      </c>
      <c r="G1129" s="745" t="s">
        <v>18</v>
      </c>
      <c r="H1129" s="745" t="s">
        <v>19</v>
      </c>
      <c r="I1129" s="745" t="s">
        <v>201</v>
      </c>
      <c r="J1129" s="789">
        <v>44767.0</v>
      </c>
      <c r="K1129" s="784" t="s">
        <v>3657</v>
      </c>
      <c r="L1129" s="754"/>
      <c r="M1129" s="754"/>
      <c r="N1129" s="754"/>
      <c r="O1129" s="754"/>
      <c r="P1129" s="754"/>
      <c r="Q1129" s="754"/>
      <c r="R1129" s="754"/>
      <c r="S1129" s="754"/>
      <c r="T1129" s="754"/>
      <c r="U1129" s="754"/>
      <c r="V1129" s="754"/>
      <c r="W1129" s="754"/>
      <c r="X1129" s="754"/>
      <c r="Y1129" s="754"/>
      <c r="Z1129" s="754"/>
      <c r="AA1129" s="754"/>
      <c r="AB1129" s="754"/>
      <c r="AC1129" s="754"/>
      <c r="AD1129" s="754"/>
      <c r="AE1129" s="754"/>
      <c r="AF1129" s="754"/>
      <c r="AG1129" s="754"/>
      <c r="AH1129" s="754"/>
      <c r="AI1129" s="754"/>
      <c r="AJ1129" s="754"/>
      <c r="AK1129" s="754"/>
      <c r="AL1129" s="754"/>
      <c r="AM1129" s="754"/>
      <c r="AN1129" s="754"/>
      <c r="AO1129" s="754"/>
      <c r="AP1129" s="754"/>
      <c r="AQ1129" s="754"/>
      <c r="AR1129" s="754"/>
      <c r="AS1129" s="754"/>
      <c r="AT1129" s="754"/>
      <c r="AU1129" s="754"/>
    </row>
    <row r="1130" ht="15.75" customHeight="1">
      <c r="A1130" s="755">
        <v>44930.0</v>
      </c>
      <c r="B1130" s="756" t="s">
        <v>5928</v>
      </c>
      <c r="C1130" s="745" t="s">
        <v>3642</v>
      </c>
      <c r="D1130" s="745" t="s">
        <v>5902</v>
      </c>
      <c r="E1130" s="757">
        <v>47562.04</v>
      </c>
      <c r="F1130" s="745" t="s">
        <v>6250</v>
      </c>
      <c r="G1130" s="745" t="s">
        <v>18</v>
      </c>
      <c r="H1130" s="745" t="s">
        <v>29</v>
      </c>
      <c r="I1130" s="745" t="s">
        <v>137</v>
      </c>
      <c r="J1130" s="755">
        <v>44089.0</v>
      </c>
      <c r="K1130" s="745" t="s">
        <v>3657</v>
      </c>
      <c r="L1130" s="754"/>
      <c r="M1130" s="754"/>
      <c r="N1130" s="754"/>
      <c r="O1130" s="754"/>
      <c r="P1130" s="754"/>
      <c r="Q1130" s="754"/>
      <c r="R1130" s="754"/>
      <c r="S1130" s="754"/>
      <c r="T1130" s="754"/>
      <c r="U1130" s="754"/>
      <c r="V1130" s="754"/>
      <c r="W1130" s="754"/>
      <c r="X1130" s="754"/>
      <c r="Y1130" s="754"/>
      <c r="Z1130" s="754"/>
      <c r="AA1130" s="754"/>
      <c r="AB1130" s="754"/>
      <c r="AC1130" s="754"/>
      <c r="AD1130" s="754"/>
      <c r="AE1130" s="754"/>
      <c r="AF1130" s="754"/>
      <c r="AG1130" s="754"/>
      <c r="AH1130" s="754"/>
      <c r="AI1130" s="754"/>
      <c r="AJ1130" s="754"/>
      <c r="AK1130" s="754"/>
      <c r="AL1130" s="754"/>
      <c r="AM1130" s="754"/>
      <c r="AN1130" s="754"/>
      <c r="AO1130" s="754"/>
      <c r="AP1130" s="754"/>
      <c r="AQ1130" s="754"/>
      <c r="AR1130" s="754"/>
      <c r="AS1130" s="754"/>
      <c r="AT1130" s="754"/>
      <c r="AU1130" s="754"/>
    </row>
    <row r="1131" ht="15.75" customHeight="1">
      <c r="A1131" s="755">
        <v>44932.0</v>
      </c>
      <c r="B1131" s="756" t="s">
        <v>6251</v>
      </c>
      <c r="C1131" s="745" t="s">
        <v>3642</v>
      </c>
      <c r="D1131" s="745" t="s">
        <v>5903</v>
      </c>
      <c r="E1131" s="757">
        <v>39735.11</v>
      </c>
      <c r="F1131" s="787" t="s">
        <v>6087</v>
      </c>
      <c r="G1131" s="787" t="s">
        <v>18</v>
      </c>
      <c r="H1131" s="787" t="s">
        <v>19</v>
      </c>
      <c r="I1131" s="787" t="s">
        <v>20</v>
      </c>
      <c r="J1131" s="789">
        <v>44645.0</v>
      </c>
      <c r="K1131" s="786" t="s">
        <v>3651</v>
      </c>
      <c r="L1131" s="754"/>
      <c r="M1131" s="754"/>
      <c r="N1131" s="754"/>
      <c r="O1131" s="754"/>
      <c r="P1131" s="754"/>
      <c r="Q1131" s="754"/>
      <c r="R1131" s="754"/>
      <c r="S1131" s="754"/>
      <c r="T1131" s="754"/>
      <c r="U1131" s="754"/>
      <c r="V1131" s="754"/>
      <c r="W1131" s="754"/>
      <c r="X1131" s="754"/>
      <c r="Y1131" s="754"/>
      <c r="Z1131" s="754"/>
      <c r="AA1131" s="754"/>
      <c r="AB1131" s="754"/>
      <c r="AC1131" s="754"/>
      <c r="AD1131" s="754"/>
      <c r="AE1131" s="754"/>
      <c r="AF1131" s="754"/>
      <c r="AG1131" s="754"/>
      <c r="AH1131" s="754"/>
      <c r="AI1131" s="754"/>
      <c r="AJ1131" s="754"/>
      <c r="AK1131" s="754"/>
      <c r="AL1131" s="754"/>
      <c r="AM1131" s="754"/>
      <c r="AN1131" s="754"/>
      <c r="AO1131" s="754"/>
      <c r="AP1131" s="754"/>
      <c r="AQ1131" s="754"/>
      <c r="AR1131" s="754"/>
      <c r="AS1131" s="754"/>
      <c r="AT1131" s="754"/>
      <c r="AU1131" s="754"/>
    </row>
    <row r="1132" ht="15.75" customHeight="1">
      <c r="A1132" s="755">
        <v>44565.0</v>
      </c>
      <c r="B1132" s="756" t="s">
        <v>6164</v>
      </c>
      <c r="C1132" s="745" t="s">
        <v>3642</v>
      </c>
      <c r="D1132" s="745" t="s">
        <v>5903</v>
      </c>
      <c r="E1132" s="757">
        <v>18000.0</v>
      </c>
      <c r="F1132" s="745" t="s">
        <v>4565</v>
      </c>
      <c r="G1132" s="745" t="s">
        <v>18</v>
      </c>
      <c r="H1132" s="745" t="s">
        <v>29</v>
      </c>
      <c r="I1132" s="745" t="s">
        <v>2633</v>
      </c>
      <c r="J1132" s="755">
        <v>44393.0</v>
      </c>
      <c r="K1132" s="745" t="s">
        <v>3647</v>
      </c>
      <c r="L1132" s="754"/>
      <c r="M1132" s="754"/>
      <c r="N1132" s="754"/>
      <c r="O1132" s="754"/>
      <c r="P1132" s="754"/>
      <c r="Q1132" s="754"/>
      <c r="R1132" s="754"/>
      <c r="S1132" s="754"/>
      <c r="T1132" s="754"/>
      <c r="U1132" s="754"/>
      <c r="V1132" s="754"/>
      <c r="W1132" s="754"/>
      <c r="X1132" s="754"/>
      <c r="Y1132" s="754"/>
      <c r="Z1132" s="754"/>
      <c r="AA1132" s="754"/>
      <c r="AB1132" s="754"/>
      <c r="AC1132" s="754"/>
      <c r="AD1132" s="754"/>
      <c r="AE1132" s="754"/>
      <c r="AF1132" s="754"/>
      <c r="AG1132" s="754"/>
      <c r="AH1132" s="754"/>
      <c r="AI1132" s="754"/>
      <c r="AJ1132" s="754"/>
      <c r="AK1132" s="754"/>
      <c r="AL1132" s="754"/>
      <c r="AM1132" s="754"/>
      <c r="AN1132" s="754"/>
      <c r="AO1132" s="754"/>
      <c r="AP1132" s="754"/>
      <c r="AQ1132" s="754"/>
      <c r="AR1132" s="754"/>
      <c r="AS1132" s="754"/>
      <c r="AT1132" s="754"/>
      <c r="AU1132" s="754"/>
    </row>
    <row r="1133" ht="15.75" customHeight="1">
      <c r="A1133" s="755">
        <v>44935.0</v>
      </c>
      <c r="B1133" s="756" t="s">
        <v>1691</v>
      </c>
      <c r="C1133" s="745" t="s">
        <v>36</v>
      </c>
      <c r="D1133" s="745" t="s">
        <v>5903</v>
      </c>
      <c r="E1133" s="757">
        <v>51409.52</v>
      </c>
      <c r="F1133" s="745" t="s">
        <v>1690</v>
      </c>
      <c r="G1133" s="745" t="s">
        <v>18</v>
      </c>
      <c r="H1133" s="745" t="s">
        <v>19</v>
      </c>
      <c r="I1133" s="745" t="s">
        <v>52</v>
      </c>
      <c r="J1133" s="755">
        <v>44951.0</v>
      </c>
      <c r="K1133" s="745" t="s">
        <v>3657</v>
      </c>
      <c r="L1133" s="754"/>
      <c r="M1133" s="754"/>
      <c r="N1133" s="754"/>
      <c r="O1133" s="754"/>
      <c r="P1133" s="754"/>
      <c r="Q1133" s="754"/>
      <c r="R1133" s="754"/>
      <c r="S1133" s="754"/>
      <c r="T1133" s="754"/>
      <c r="U1133" s="754"/>
      <c r="V1133" s="754"/>
      <c r="W1133" s="754"/>
      <c r="X1133" s="754"/>
      <c r="Y1133" s="754"/>
      <c r="Z1133" s="754"/>
      <c r="AA1133" s="754"/>
      <c r="AB1133" s="754"/>
      <c r="AC1133" s="754"/>
      <c r="AD1133" s="754"/>
      <c r="AE1133" s="754"/>
      <c r="AF1133" s="754"/>
      <c r="AG1133" s="754"/>
      <c r="AH1133" s="754"/>
      <c r="AI1133" s="754"/>
      <c r="AJ1133" s="754"/>
      <c r="AK1133" s="754"/>
      <c r="AL1133" s="754"/>
      <c r="AM1133" s="754"/>
      <c r="AN1133" s="754"/>
      <c r="AO1133" s="754"/>
      <c r="AP1133" s="754"/>
      <c r="AQ1133" s="754"/>
      <c r="AR1133" s="754"/>
      <c r="AS1133" s="754"/>
      <c r="AT1133" s="754"/>
      <c r="AU1133" s="754"/>
    </row>
    <row r="1134" ht="15.75" customHeight="1">
      <c r="A1134" s="755"/>
      <c r="B1134" s="756" t="s">
        <v>637</v>
      </c>
      <c r="C1134" s="745" t="s">
        <v>36</v>
      </c>
      <c r="D1134" s="745" t="s">
        <v>5903</v>
      </c>
      <c r="E1134" s="757">
        <v>9000.0</v>
      </c>
      <c r="F1134" s="745" t="s">
        <v>6252</v>
      </c>
      <c r="G1134" s="745" t="s">
        <v>18</v>
      </c>
      <c r="H1134" s="745" t="s">
        <v>29</v>
      </c>
      <c r="I1134" s="745" t="s">
        <v>137</v>
      </c>
      <c r="J1134" s="755">
        <v>44888.0</v>
      </c>
      <c r="K1134" s="745" t="s">
        <v>3657</v>
      </c>
      <c r="L1134" s="754"/>
      <c r="M1134" s="754"/>
      <c r="N1134" s="754"/>
      <c r="O1134" s="754"/>
      <c r="P1134" s="754"/>
      <c r="Q1134" s="754"/>
      <c r="R1134" s="754"/>
      <c r="S1134" s="754"/>
      <c r="T1134" s="754"/>
      <c r="U1134" s="754"/>
      <c r="V1134" s="754"/>
      <c r="W1134" s="754"/>
      <c r="X1134" s="754"/>
      <c r="Y1134" s="754"/>
      <c r="Z1134" s="754"/>
      <c r="AA1134" s="754"/>
      <c r="AB1134" s="754"/>
      <c r="AC1134" s="754"/>
      <c r="AD1134" s="754"/>
      <c r="AE1134" s="754"/>
      <c r="AF1134" s="754"/>
      <c r="AG1134" s="754"/>
      <c r="AH1134" s="754"/>
      <c r="AI1134" s="754"/>
      <c r="AJ1134" s="754"/>
      <c r="AK1134" s="754"/>
      <c r="AL1134" s="754"/>
      <c r="AM1134" s="754"/>
      <c r="AN1134" s="754"/>
      <c r="AO1134" s="754"/>
      <c r="AP1134" s="754"/>
      <c r="AQ1134" s="754"/>
      <c r="AR1134" s="754"/>
      <c r="AS1134" s="754"/>
      <c r="AT1134" s="754"/>
      <c r="AU1134" s="754"/>
    </row>
    <row r="1135" ht="15.75" customHeight="1">
      <c r="A1135" s="755">
        <v>44565.0</v>
      </c>
      <c r="B1135" s="756" t="s">
        <v>6164</v>
      </c>
      <c r="C1135" s="745" t="s">
        <v>3642</v>
      </c>
      <c r="D1135" s="745" t="s">
        <v>5903</v>
      </c>
      <c r="E1135" s="757">
        <v>9500.0</v>
      </c>
      <c r="F1135" s="745" t="s">
        <v>4565</v>
      </c>
      <c r="G1135" s="745" t="s">
        <v>18</v>
      </c>
      <c r="H1135" s="745" t="s">
        <v>29</v>
      </c>
      <c r="I1135" s="745" t="s">
        <v>2633</v>
      </c>
      <c r="J1135" s="755">
        <v>44393.0</v>
      </c>
      <c r="K1135" s="745" t="s">
        <v>3647</v>
      </c>
      <c r="L1135" s="754"/>
      <c r="M1135" s="754"/>
      <c r="N1135" s="754"/>
      <c r="O1135" s="754"/>
      <c r="P1135" s="754"/>
      <c r="Q1135" s="754"/>
      <c r="R1135" s="754"/>
      <c r="S1135" s="754"/>
      <c r="T1135" s="754"/>
      <c r="U1135" s="754"/>
      <c r="V1135" s="754"/>
      <c r="W1135" s="754"/>
      <c r="X1135" s="754"/>
      <c r="Y1135" s="754"/>
      <c r="Z1135" s="754"/>
      <c r="AA1135" s="754"/>
      <c r="AB1135" s="754"/>
      <c r="AC1135" s="754"/>
      <c r="AD1135" s="754"/>
      <c r="AE1135" s="754"/>
      <c r="AF1135" s="754"/>
      <c r="AG1135" s="754"/>
      <c r="AH1135" s="754"/>
      <c r="AI1135" s="754"/>
      <c r="AJ1135" s="754"/>
      <c r="AK1135" s="754"/>
      <c r="AL1135" s="754"/>
      <c r="AM1135" s="754"/>
      <c r="AN1135" s="754"/>
      <c r="AO1135" s="754"/>
      <c r="AP1135" s="754"/>
      <c r="AQ1135" s="754"/>
      <c r="AR1135" s="754"/>
      <c r="AS1135" s="754"/>
      <c r="AT1135" s="754"/>
      <c r="AU1135" s="754"/>
    </row>
    <row r="1136" ht="15.75" customHeight="1">
      <c r="A1136" s="755">
        <v>44937.0</v>
      </c>
      <c r="B1136" s="756" t="s">
        <v>3475</v>
      </c>
      <c r="C1136" s="745" t="s">
        <v>3458</v>
      </c>
      <c r="D1136" s="745" t="s">
        <v>5903</v>
      </c>
      <c r="E1136" s="757">
        <v>10000.0</v>
      </c>
      <c r="F1136" s="745" t="s">
        <v>6253</v>
      </c>
      <c r="G1136" s="745" t="s">
        <v>18</v>
      </c>
      <c r="H1136" s="745" t="s">
        <v>29</v>
      </c>
      <c r="I1136" s="745" t="s">
        <v>2633</v>
      </c>
      <c r="J1136" s="755">
        <v>43934.0</v>
      </c>
      <c r="K1136" s="745" t="s">
        <v>3647</v>
      </c>
      <c r="L1136" s="754"/>
      <c r="M1136" s="754"/>
      <c r="N1136" s="754"/>
      <c r="O1136" s="754"/>
      <c r="P1136" s="754"/>
      <c r="Q1136" s="754"/>
      <c r="R1136" s="754"/>
      <c r="S1136" s="754"/>
      <c r="T1136" s="754"/>
      <c r="U1136" s="754"/>
      <c r="V1136" s="754"/>
      <c r="W1136" s="754"/>
      <c r="X1136" s="754"/>
      <c r="Y1136" s="754"/>
      <c r="Z1136" s="754"/>
      <c r="AA1136" s="754"/>
      <c r="AB1136" s="754"/>
      <c r="AC1136" s="754"/>
      <c r="AD1136" s="754"/>
      <c r="AE1136" s="754"/>
      <c r="AF1136" s="754"/>
      <c r="AG1136" s="754"/>
      <c r="AH1136" s="754"/>
      <c r="AI1136" s="754"/>
      <c r="AJ1136" s="754"/>
      <c r="AK1136" s="754"/>
      <c r="AL1136" s="754"/>
      <c r="AM1136" s="754"/>
      <c r="AN1136" s="754"/>
      <c r="AO1136" s="754"/>
      <c r="AP1136" s="754"/>
      <c r="AQ1136" s="754"/>
      <c r="AR1136" s="754"/>
      <c r="AS1136" s="754"/>
      <c r="AT1136" s="754"/>
      <c r="AU1136" s="754"/>
    </row>
    <row r="1137" ht="15.75" customHeight="1">
      <c r="A1137" s="755">
        <v>44935.0</v>
      </c>
      <c r="B1137" s="756" t="s">
        <v>6254</v>
      </c>
      <c r="C1137" s="745" t="s">
        <v>3642</v>
      </c>
      <c r="D1137" s="745" t="s">
        <v>2387</v>
      </c>
      <c r="E1137" s="757" t="s">
        <v>6255</v>
      </c>
      <c r="F1137" s="749" t="s">
        <v>5186</v>
      </c>
      <c r="G1137" s="745" t="s">
        <v>18</v>
      </c>
      <c r="H1137" s="745" t="s">
        <v>19</v>
      </c>
      <c r="I1137" s="745" t="s">
        <v>230</v>
      </c>
      <c r="J1137" s="745" t="s">
        <v>6256</v>
      </c>
      <c r="K1137" s="745" t="s">
        <v>3651</v>
      </c>
      <c r="L1137" s="754"/>
      <c r="M1137" s="754"/>
      <c r="N1137" s="754"/>
      <c r="O1137" s="754"/>
      <c r="P1137" s="754"/>
      <c r="Q1137" s="754"/>
      <c r="R1137" s="754"/>
      <c r="S1137" s="754"/>
      <c r="T1137" s="754"/>
      <c r="U1137" s="754"/>
      <c r="V1137" s="754"/>
      <c r="W1137" s="754"/>
      <c r="X1137" s="754"/>
      <c r="Y1137" s="754"/>
      <c r="Z1137" s="754"/>
      <c r="AA1137" s="754"/>
      <c r="AB1137" s="754"/>
      <c r="AC1137" s="754"/>
      <c r="AD1137" s="754"/>
      <c r="AE1137" s="754"/>
      <c r="AF1137" s="754"/>
      <c r="AG1137" s="754"/>
      <c r="AH1137" s="754"/>
      <c r="AI1137" s="754"/>
      <c r="AJ1137" s="754"/>
      <c r="AK1137" s="754"/>
      <c r="AL1137" s="754"/>
      <c r="AM1137" s="754"/>
      <c r="AN1137" s="754"/>
      <c r="AO1137" s="754"/>
      <c r="AP1137" s="754"/>
      <c r="AQ1137" s="754"/>
      <c r="AR1137" s="754"/>
      <c r="AS1137" s="754"/>
      <c r="AT1137" s="754"/>
      <c r="AU1137" s="754"/>
    </row>
    <row r="1138" ht="15.75" customHeight="1">
      <c r="A1138" s="755">
        <v>44949.0</v>
      </c>
      <c r="B1138" s="756" t="s">
        <v>6150</v>
      </c>
      <c r="C1138" s="745" t="s">
        <v>3642</v>
      </c>
      <c r="D1138" s="745" t="s">
        <v>2387</v>
      </c>
      <c r="E1138" s="757">
        <v>4119326.59</v>
      </c>
      <c r="F1138" s="745" t="s">
        <v>1289</v>
      </c>
      <c r="G1138" s="787" t="s">
        <v>18</v>
      </c>
      <c r="H1138" s="787" t="s">
        <v>19</v>
      </c>
      <c r="I1138" s="787" t="s">
        <v>201</v>
      </c>
      <c r="J1138" s="789">
        <v>44568.0</v>
      </c>
      <c r="K1138" s="786" t="s">
        <v>4309</v>
      </c>
      <c r="L1138" s="754"/>
      <c r="M1138" s="754"/>
      <c r="N1138" s="754"/>
      <c r="O1138" s="754"/>
      <c r="P1138" s="754"/>
      <c r="Q1138" s="754"/>
      <c r="R1138" s="754"/>
      <c r="S1138" s="754"/>
      <c r="T1138" s="754"/>
      <c r="U1138" s="754"/>
      <c r="V1138" s="754"/>
      <c r="W1138" s="754"/>
      <c r="X1138" s="754"/>
      <c r="Y1138" s="754"/>
      <c r="Z1138" s="754"/>
      <c r="AA1138" s="754"/>
      <c r="AB1138" s="754"/>
      <c r="AC1138" s="754"/>
      <c r="AD1138" s="754"/>
      <c r="AE1138" s="754"/>
      <c r="AF1138" s="754"/>
      <c r="AG1138" s="754"/>
      <c r="AH1138" s="754"/>
      <c r="AI1138" s="754"/>
      <c r="AJ1138" s="754"/>
      <c r="AK1138" s="754"/>
      <c r="AL1138" s="754"/>
      <c r="AM1138" s="754"/>
      <c r="AN1138" s="754"/>
      <c r="AO1138" s="754"/>
      <c r="AP1138" s="754"/>
      <c r="AQ1138" s="754"/>
      <c r="AR1138" s="754"/>
      <c r="AS1138" s="754"/>
      <c r="AT1138" s="754"/>
      <c r="AU1138" s="754"/>
    </row>
    <row r="1139" ht="15.75" customHeight="1">
      <c r="A1139" s="755">
        <v>44931.0</v>
      </c>
      <c r="B1139" s="853" t="s">
        <v>5941</v>
      </c>
      <c r="C1139" s="745" t="s">
        <v>3642</v>
      </c>
      <c r="D1139" s="745" t="s">
        <v>2387</v>
      </c>
      <c r="E1139" s="757">
        <v>97046.39</v>
      </c>
      <c r="F1139" s="748" t="s">
        <v>4928</v>
      </c>
      <c r="G1139" s="745" t="s">
        <v>86</v>
      </c>
      <c r="H1139" s="745" t="s">
        <v>29</v>
      </c>
      <c r="I1139" s="745" t="s">
        <v>3711</v>
      </c>
      <c r="J1139" s="755">
        <v>44180.0</v>
      </c>
      <c r="K1139" s="745" t="s">
        <v>3651</v>
      </c>
      <c r="L1139" s="754"/>
      <c r="M1139" s="754"/>
      <c r="N1139" s="754"/>
      <c r="O1139" s="754"/>
      <c r="P1139" s="754"/>
      <c r="Q1139" s="754"/>
      <c r="R1139" s="754"/>
      <c r="S1139" s="754"/>
      <c r="T1139" s="754"/>
      <c r="U1139" s="754"/>
      <c r="V1139" s="754"/>
      <c r="W1139" s="754"/>
      <c r="X1139" s="754"/>
      <c r="Y1139" s="754"/>
      <c r="Z1139" s="754"/>
      <c r="AA1139" s="754"/>
      <c r="AB1139" s="754"/>
      <c r="AC1139" s="754"/>
      <c r="AD1139" s="754"/>
      <c r="AE1139" s="754"/>
      <c r="AF1139" s="754"/>
      <c r="AG1139" s="754"/>
      <c r="AH1139" s="754"/>
      <c r="AI1139" s="754"/>
      <c r="AJ1139" s="754"/>
      <c r="AK1139" s="754"/>
      <c r="AL1139" s="754"/>
      <c r="AM1139" s="754"/>
      <c r="AN1139" s="754"/>
      <c r="AO1139" s="754"/>
      <c r="AP1139" s="754"/>
      <c r="AQ1139" s="754"/>
      <c r="AR1139" s="754"/>
      <c r="AS1139" s="754"/>
      <c r="AT1139" s="754"/>
      <c r="AU1139" s="754"/>
    </row>
    <row r="1140" ht="15.75" customHeight="1">
      <c r="A1140" s="755">
        <v>44938.0</v>
      </c>
      <c r="B1140" s="756" t="s">
        <v>919</v>
      </c>
      <c r="C1140" s="745" t="s">
        <v>36</v>
      </c>
      <c r="D1140" s="745" t="s">
        <v>5903</v>
      </c>
      <c r="E1140" s="757">
        <v>13092.93</v>
      </c>
      <c r="F1140" s="745" t="s">
        <v>6257</v>
      </c>
      <c r="G1140" s="745" t="s">
        <v>18</v>
      </c>
      <c r="H1140" s="745" t="s">
        <v>19</v>
      </c>
      <c r="I1140" s="745" t="s">
        <v>230</v>
      </c>
      <c r="J1140" s="852">
        <v>44951.0</v>
      </c>
      <c r="K1140" s="745" t="s">
        <v>3657</v>
      </c>
      <c r="L1140" s="754"/>
      <c r="M1140" s="754"/>
      <c r="N1140" s="754"/>
      <c r="O1140" s="754"/>
      <c r="P1140" s="754"/>
      <c r="Q1140" s="754"/>
      <c r="R1140" s="754"/>
      <c r="S1140" s="754"/>
      <c r="T1140" s="754"/>
      <c r="U1140" s="754"/>
      <c r="V1140" s="754"/>
      <c r="W1140" s="754"/>
      <c r="X1140" s="754"/>
      <c r="Y1140" s="754"/>
      <c r="Z1140" s="754"/>
      <c r="AA1140" s="754"/>
      <c r="AB1140" s="754"/>
      <c r="AC1140" s="754"/>
      <c r="AD1140" s="754"/>
      <c r="AE1140" s="754"/>
      <c r="AF1140" s="754"/>
      <c r="AG1140" s="754"/>
      <c r="AH1140" s="754"/>
      <c r="AI1140" s="754"/>
      <c r="AJ1140" s="754"/>
      <c r="AK1140" s="754"/>
      <c r="AL1140" s="754"/>
      <c r="AM1140" s="754"/>
      <c r="AN1140" s="754"/>
      <c r="AO1140" s="754"/>
      <c r="AP1140" s="754"/>
      <c r="AQ1140" s="754"/>
      <c r="AR1140" s="754"/>
      <c r="AS1140" s="754"/>
      <c r="AT1140" s="754"/>
      <c r="AU1140" s="754"/>
    </row>
    <row r="1141" ht="15.75" customHeight="1">
      <c r="A1141" s="755">
        <v>44939.0</v>
      </c>
      <c r="B1141" s="756" t="s">
        <v>6223</v>
      </c>
      <c r="C1141" s="745" t="s">
        <v>3642</v>
      </c>
      <c r="D1141" s="745" t="s">
        <v>5903</v>
      </c>
      <c r="E1141" s="757">
        <v>1000.0</v>
      </c>
      <c r="F1141" s="745" t="s">
        <v>295</v>
      </c>
      <c r="G1141" s="745" t="s">
        <v>18</v>
      </c>
      <c r="H1141" s="745" t="s">
        <v>19</v>
      </c>
      <c r="I1141" s="745" t="s">
        <v>201</v>
      </c>
      <c r="J1141" s="852">
        <v>44767.0</v>
      </c>
      <c r="K1141" s="745" t="s">
        <v>3657</v>
      </c>
      <c r="L1141" s="754"/>
      <c r="M1141" s="754"/>
      <c r="N1141" s="754"/>
      <c r="O1141" s="754"/>
      <c r="P1141" s="754"/>
      <c r="Q1141" s="754"/>
      <c r="R1141" s="754"/>
      <c r="S1141" s="754"/>
      <c r="T1141" s="754"/>
      <c r="U1141" s="754"/>
      <c r="V1141" s="754"/>
      <c r="W1141" s="754"/>
      <c r="X1141" s="754"/>
      <c r="Y1141" s="754"/>
      <c r="Z1141" s="754"/>
      <c r="AA1141" s="754"/>
      <c r="AB1141" s="754"/>
      <c r="AC1141" s="754"/>
      <c r="AD1141" s="754"/>
      <c r="AE1141" s="754"/>
      <c r="AF1141" s="754"/>
      <c r="AG1141" s="754"/>
      <c r="AH1141" s="754"/>
      <c r="AI1141" s="754"/>
      <c r="AJ1141" s="754"/>
      <c r="AK1141" s="754"/>
      <c r="AL1141" s="754"/>
      <c r="AM1141" s="754"/>
      <c r="AN1141" s="754"/>
      <c r="AO1141" s="754"/>
      <c r="AP1141" s="754"/>
      <c r="AQ1141" s="754"/>
      <c r="AR1141" s="754"/>
      <c r="AS1141" s="754"/>
      <c r="AT1141" s="754"/>
      <c r="AU1141" s="754"/>
    </row>
    <row r="1142" ht="15.75" customHeight="1">
      <c r="A1142" s="782"/>
      <c r="B1142" s="765"/>
      <c r="C1142" s="774"/>
      <c r="D1142" s="774"/>
      <c r="E1142" s="764"/>
      <c r="F1142" s="782"/>
      <c r="G1142" s="782"/>
      <c r="H1142" s="782"/>
      <c r="I1142" s="782"/>
      <c r="J1142" s="782"/>
      <c r="K1142" s="782"/>
      <c r="L1142" s="754"/>
      <c r="M1142" s="754"/>
      <c r="N1142" s="754"/>
      <c r="O1142" s="754"/>
      <c r="P1142" s="754"/>
      <c r="Q1142" s="754"/>
      <c r="R1142" s="754"/>
      <c r="S1142" s="754"/>
      <c r="T1142" s="754"/>
      <c r="U1142" s="754"/>
      <c r="V1142" s="754"/>
      <c r="W1142" s="754"/>
      <c r="X1142" s="754"/>
      <c r="Y1142" s="754"/>
      <c r="Z1142" s="754"/>
      <c r="AA1142" s="754"/>
      <c r="AB1142" s="754"/>
      <c r="AC1142" s="754"/>
      <c r="AD1142" s="754"/>
      <c r="AE1142" s="754"/>
      <c r="AF1142" s="754"/>
      <c r="AG1142" s="754"/>
      <c r="AH1142" s="754"/>
      <c r="AI1142" s="754"/>
      <c r="AJ1142" s="754"/>
      <c r="AK1142" s="754"/>
      <c r="AL1142" s="754"/>
      <c r="AM1142" s="754"/>
      <c r="AN1142" s="754"/>
      <c r="AO1142" s="754"/>
      <c r="AP1142" s="754"/>
      <c r="AQ1142" s="754"/>
      <c r="AR1142" s="754"/>
      <c r="AS1142" s="754"/>
      <c r="AT1142" s="754"/>
      <c r="AU1142" s="754"/>
    </row>
    <row r="1143" ht="15.75" customHeight="1">
      <c r="A1143" s="782"/>
      <c r="B1143" s="765"/>
      <c r="C1143" s="774"/>
      <c r="D1143" s="774"/>
      <c r="E1143" s="764"/>
      <c r="F1143" s="782"/>
      <c r="G1143" s="782"/>
      <c r="H1143" s="782"/>
      <c r="I1143" s="782"/>
      <c r="J1143" s="782"/>
      <c r="K1143" s="782"/>
      <c r="L1143" s="754"/>
      <c r="M1143" s="754"/>
      <c r="N1143" s="754"/>
      <c r="O1143" s="754"/>
      <c r="P1143" s="754"/>
      <c r="Q1143" s="754"/>
      <c r="R1143" s="754"/>
      <c r="S1143" s="754"/>
      <c r="T1143" s="754"/>
      <c r="U1143" s="754"/>
      <c r="V1143" s="754"/>
      <c r="W1143" s="754"/>
      <c r="X1143" s="754"/>
      <c r="Y1143" s="754"/>
      <c r="Z1143" s="754"/>
      <c r="AA1143" s="754"/>
      <c r="AB1143" s="754"/>
      <c r="AC1143" s="754"/>
      <c r="AD1143" s="754"/>
      <c r="AE1143" s="754"/>
      <c r="AF1143" s="754"/>
      <c r="AG1143" s="754"/>
      <c r="AH1143" s="754"/>
      <c r="AI1143" s="754"/>
      <c r="AJ1143" s="754"/>
      <c r="AK1143" s="754"/>
      <c r="AL1143" s="754"/>
      <c r="AM1143" s="754"/>
      <c r="AN1143" s="754"/>
      <c r="AO1143" s="754"/>
      <c r="AP1143" s="754"/>
      <c r="AQ1143" s="754"/>
      <c r="AR1143" s="754"/>
      <c r="AS1143" s="754"/>
      <c r="AT1143" s="754"/>
      <c r="AU1143" s="754"/>
    </row>
    <row r="1144" ht="15.75" customHeight="1">
      <c r="A1144" s="782"/>
      <c r="B1144" s="765"/>
      <c r="C1144" s="774"/>
      <c r="D1144" s="774"/>
      <c r="E1144" s="764"/>
      <c r="F1144" s="782"/>
      <c r="G1144" s="782"/>
      <c r="H1144" s="782"/>
      <c r="I1144" s="782"/>
      <c r="J1144" s="782"/>
      <c r="K1144" s="782"/>
      <c r="L1144" s="754"/>
      <c r="M1144" s="754"/>
      <c r="N1144" s="754"/>
      <c r="O1144" s="754"/>
      <c r="P1144" s="754"/>
      <c r="Q1144" s="754"/>
      <c r="R1144" s="754"/>
      <c r="S1144" s="754"/>
      <c r="T1144" s="754"/>
      <c r="U1144" s="754"/>
      <c r="V1144" s="754"/>
      <c r="W1144" s="754"/>
      <c r="X1144" s="754"/>
      <c r="Y1144" s="754"/>
      <c r="Z1144" s="754"/>
      <c r="AA1144" s="754"/>
      <c r="AB1144" s="754"/>
      <c r="AC1144" s="754"/>
      <c r="AD1144" s="754"/>
      <c r="AE1144" s="754"/>
      <c r="AF1144" s="754"/>
      <c r="AG1144" s="754"/>
      <c r="AH1144" s="754"/>
      <c r="AI1144" s="754"/>
      <c r="AJ1144" s="754"/>
      <c r="AK1144" s="754"/>
      <c r="AL1144" s="754"/>
      <c r="AM1144" s="754"/>
      <c r="AN1144" s="754"/>
      <c r="AO1144" s="754"/>
      <c r="AP1144" s="754"/>
      <c r="AQ1144" s="754"/>
      <c r="AR1144" s="754"/>
      <c r="AS1144" s="754"/>
      <c r="AT1144" s="754"/>
      <c r="AU1144" s="754"/>
    </row>
    <row r="1145" ht="15.75" customHeight="1">
      <c r="A1145" s="782"/>
      <c r="B1145" s="765"/>
      <c r="C1145" s="774"/>
      <c r="D1145" s="774"/>
      <c r="E1145" s="764"/>
      <c r="F1145" s="782"/>
      <c r="G1145" s="782"/>
      <c r="H1145" s="782"/>
      <c r="I1145" s="782"/>
      <c r="J1145" s="782"/>
      <c r="K1145" s="782"/>
      <c r="L1145" s="754"/>
      <c r="M1145" s="754"/>
      <c r="N1145" s="754"/>
      <c r="O1145" s="754"/>
      <c r="P1145" s="754"/>
      <c r="Q1145" s="754"/>
      <c r="R1145" s="754"/>
      <c r="S1145" s="754"/>
      <c r="T1145" s="754"/>
      <c r="U1145" s="754"/>
      <c r="V1145" s="754"/>
      <c r="W1145" s="754"/>
      <c r="X1145" s="754"/>
      <c r="Y1145" s="754"/>
      <c r="Z1145" s="754"/>
      <c r="AA1145" s="754"/>
      <c r="AB1145" s="754"/>
      <c r="AC1145" s="754"/>
      <c r="AD1145" s="754"/>
      <c r="AE1145" s="754"/>
      <c r="AF1145" s="754"/>
      <c r="AG1145" s="754"/>
      <c r="AH1145" s="754"/>
      <c r="AI1145" s="754"/>
      <c r="AJ1145" s="754"/>
      <c r="AK1145" s="754"/>
      <c r="AL1145" s="754"/>
      <c r="AM1145" s="754"/>
      <c r="AN1145" s="754"/>
      <c r="AO1145" s="754"/>
      <c r="AP1145" s="754"/>
      <c r="AQ1145" s="754"/>
      <c r="AR1145" s="754"/>
      <c r="AS1145" s="754"/>
      <c r="AT1145" s="754"/>
      <c r="AU1145" s="754"/>
    </row>
    <row r="1146" ht="15.75" customHeight="1">
      <c r="A1146" s="782"/>
      <c r="B1146" s="765"/>
      <c r="C1146" s="774"/>
      <c r="D1146" s="774"/>
      <c r="E1146" s="764"/>
      <c r="F1146" s="782"/>
      <c r="G1146" s="782"/>
      <c r="H1146" s="782"/>
      <c r="I1146" s="782"/>
      <c r="J1146" s="782"/>
      <c r="K1146" s="782"/>
      <c r="L1146" s="754"/>
      <c r="M1146" s="754"/>
      <c r="N1146" s="754"/>
      <c r="O1146" s="754"/>
      <c r="P1146" s="754"/>
      <c r="Q1146" s="754"/>
      <c r="R1146" s="754"/>
      <c r="S1146" s="754"/>
      <c r="T1146" s="754"/>
      <c r="U1146" s="754"/>
      <c r="V1146" s="754"/>
      <c r="W1146" s="754"/>
      <c r="X1146" s="754"/>
      <c r="Y1146" s="754"/>
      <c r="Z1146" s="754"/>
      <c r="AA1146" s="754"/>
      <c r="AB1146" s="754"/>
      <c r="AC1146" s="754"/>
      <c r="AD1146" s="754"/>
      <c r="AE1146" s="754"/>
      <c r="AF1146" s="754"/>
      <c r="AG1146" s="754"/>
      <c r="AH1146" s="754"/>
      <c r="AI1146" s="754"/>
      <c r="AJ1146" s="754"/>
      <c r="AK1146" s="754"/>
      <c r="AL1146" s="754"/>
      <c r="AM1146" s="754"/>
      <c r="AN1146" s="754"/>
      <c r="AO1146" s="754"/>
      <c r="AP1146" s="754"/>
      <c r="AQ1146" s="754"/>
      <c r="AR1146" s="754"/>
      <c r="AS1146" s="754"/>
      <c r="AT1146" s="754"/>
      <c r="AU1146" s="754"/>
    </row>
    <row r="1147" ht="15.75" customHeight="1">
      <c r="A1147" s="782"/>
      <c r="B1147" s="765"/>
      <c r="C1147" s="774"/>
      <c r="D1147" s="774"/>
      <c r="E1147" s="764"/>
      <c r="F1147" s="782"/>
      <c r="G1147" s="782"/>
      <c r="H1147" s="782"/>
      <c r="I1147" s="782"/>
      <c r="J1147" s="782"/>
      <c r="K1147" s="782"/>
      <c r="L1147" s="754"/>
      <c r="M1147" s="754"/>
      <c r="N1147" s="754"/>
      <c r="O1147" s="754"/>
      <c r="P1147" s="754"/>
      <c r="Q1147" s="754"/>
      <c r="R1147" s="754"/>
      <c r="S1147" s="754"/>
      <c r="T1147" s="754"/>
      <c r="U1147" s="754"/>
      <c r="V1147" s="754"/>
      <c r="W1147" s="754"/>
      <c r="X1147" s="754"/>
      <c r="Y1147" s="754"/>
      <c r="Z1147" s="754"/>
      <c r="AA1147" s="754"/>
      <c r="AB1147" s="754"/>
      <c r="AC1147" s="754"/>
      <c r="AD1147" s="754"/>
      <c r="AE1147" s="754"/>
      <c r="AF1147" s="754"/>
      <c r="AG1147" s="754"/>
      <c r="AH1147" s="754"/>
      <c r="AI1147" s="754"/>
      <c r="AJ1147" s="754"/>
      <c r="AK1147" s="754"/>
      <c r="AL1147" s="754"/>
      <c r="AM1147" s="754"/>
      <c r="AN1147" s="754"/>
      <c r="AO1147" s="754"/>
      <c r="AP1147" s="754"/>
      <c r="AQ1147" s="754"/>
      <c r="AR1147" s="754"/>
      <c r="AS1147" s="754"/>
      <c r="AT1147" s="754"/>
      <c r="AU1147" s="754"/>
    </row>
    <row r="1148" ht="15.75" customHeight="1">
      <c r="A1148" s="782"/>
      <c r="B1148" s="765"/>
      <c r="C1148" s="774"/>
      <c r="D1148" s="774"/>
      <c r="E1148" s="764"/>
      <c r="F1148" s="782"/>
      <c r="G1148" s="782"/>
      <c r="H1148" s="782"/>
      <c r="I1148" s="782"/>
      <c r="J1148" s="782"/>
      <c r="K1148" s="782"/>
      <c r="L1148" s="754"/>
      <c r="M1148" s="754"/>
      <c r="N1148" s="754"/>
      <c r="O1148" s="754"/>
      <c r="P1148" s="754"/>
      <c r="Q1148" s="754"/>
      <c r="R1148" s="754"/>
      <c r="S1148" s="754"/>
      <c r="T1148" s="754"/>
      <c r="U1148" s="754"/>
      <c r="V1148" s="754"/>
      <c r="W1148" s="754"/>
      <c r="X1148" s="754"/>
      <c r="Y1148" s="754"/>
      <c r="Z1148" s="754"/>
      <c r="AA1148" s="754"/>
      <c r="AB1148" s="754"/>
      <c r="AC1148" s="754"/>
      <c r="AD1148" s="754"/>
      <c r="AE1148" s="754"/>
      <c r="AF1148" s="754"/>
      <c r="AG1148" s="754"/>
      <c r="AH1148" s="754"/>
      <c r="AI1148" s="754"/>
      <c r="AJ1148" s="754"/>
      <c r="AK1148" s="754"/>
      <c r="AL1148" s="754"/>
      <c r="AM1148" s="754"/>
      <c r="AN1148" s="754"/>
      <c r="AO1148" s="754"/>
      <c r="AP1148" s="754"/>
      <c r="AQ1148" s="754"/>
      <c r="AR1148" s="754"/>
      <c r="AS1148" s="754"/>
      <c r="AT1148" s="754"/>
      <c r="AU1148" s="754"/>
    </row>
    <row r="1149" ht="15.75" customHeight="1">
      <c r="A1149" s="782"/>
      <c r="B1149" s="765"/>
      <c r="C1149" s="774"/>
      <c r="D1149" s="774"/>
      <c r="E1149" s="764"/>
      <c r="F1149" s="782"/>
      <c r="G1149" s="782"/>
      <c r="H1149" s="782"/>
      <c r="I1149" s="782"/>
      <c r="J1149" s="782"/>
      <c r="K1149" s="782"/>
      <c r="L1149" s="754"/>
      <c r="M1149" s="754"/>
      <c r="N1149" s="754"/>
      <c r="O1149" s="754"/>
      <c r="P1149" s="754"/>
      <c r="Q1149" s="754"/>
      <c r="R1149" s="754"/>
      <c r="S1149" s="754"/>
      <c r="T1149" s="754"/>
      <c r="U1149" s="754"/>
      <c r="V1149" s="754"/>
      <c r="W1149" s="754"/>
      <c r="X1149" s="754"/>
      <c r="Y1149" s="754"/>
      <c r="Z1149" s="754"/>
      <c r="AA1149" s="754"/>
      <c r="AB1149" s="754"/>
      <c r="AC1149" s="754"/>
      <c r="AD1149" s="754"/>
      <c r="AE1149" s="754"/>
      <c r="AF1149" s="754"/>
      <c r="AG1149" s="754"/>
      <c r="AH1149" s="754"/>
      <c r="AI1149" s="754"/>
      <c r="AJ1149" s="754"/>
      <c r="AK1149" s="754"/>
      <c r="AL1149" s="754"/>
      <c r="AM1149" s="754"/>
      <c r="AN1149" s="754"/>
      <c r="AO1149" s="754"/>
      <c r="AP1149" s="754"/>
      <c r="AQ1149" s="754"/>
      <c r="AR1149" s="754"/>
      <c r="AS1149" s="754"/>
      <c r="AT1149" s="754"/>
      <c r="AU1149" s="754"/>
    </row>
    <row r="1150" ht="15.75" customHeight="1">
      <c r="A1150" s="782"/>
      <c r="B1150" s="765"/>
      <c r="C1150" s="774"/>
      <c r="D1150" s="774"/>
      <c r="E1150" s="764"/>
      <c r="F1150" s="782"/>
      <c r="G1150" s="782"/>
      <c r="H1150" s="782"/>
      <c r="I1150" s="782"/>
      <c r="J1150" s="782"/>
      <c r="K1150" s="782"/>
      <c r="L1150" s="754"/>
      <c r="M1150" s="754"/>
      <c r="N1150" s="754"/>
      <c r="O1150" s="754"/>
      <c r="P1150" s="754"/>
      <c r="Q1150" s="754"/>
      <c r="R1150" s="754"/>
      <c r="S1150" s="754"/>
      <c r="T1150" s="754"/>
      <c r="U1150" s="754"/>
      <c r="V1150" s="754"/>
      <c r="W1150" s="754"/>
      <c r="X1150" s="754"/>
      <c r="Y1150" s="754"/>
      <c r="Z1150" s="754"/>
      <c r="AA1150" s="754"/>
      <c r="AB1150" s="754"/>
      <c r="AC1150" s="754"/>
      <c r="AD1150" s="754"/>
      <c r="AE1150" s="754"/>
      <c r="AF1150" s="754"/>
      <c r="AG1150" s="754"/>
      <c r="AH1150" s="754"/>
      <c r="AI1150" s="754"/>
      <c r="AJ1150" s="754"/>
      <c r="AK1150" s="754"/>
      <c r="AL1150" s="754"/>
      <c r="AM1150" s="754"/>
      <c r="AN1150" s="754"/>
      <c r="AO1150" s="754"/>
      <c r="AP1150" s="754"/>
      <c r="AQ1150" s="754"/>
      <c r="AR1150" s="754"/>
      <c r="AS1150" s="754"/>
      <c r="AT1150" s="754"/>
      <c r="AU1150" s="754"/>
    </row>
    <row r="1151" ht="15.75" customHeight="1">
      <c r="A1151" s="782"/>
      <c r="B1151" s="765"/>
      <c r="C1151" s="774"/>
      <c r="D1151" s="774"/>
      <c r="E1151" s="764"/>
      <c r="F1151" s="782"/>
      <c r="G1151" s="782"/>
      <c r="H1151" s="782"/>
      <c r="I1151" s="782"/>
      <c r="J1151" s="782"/>
      <c r="K1151" s="782"/>
      <c r="L1151" s="754"/>
      <c r="M1151" s="754"/>
      <c r="N1151" s="754"/>
      <c r="O1151" s="754"/>
      <c r="P1151" s="754"/>
      <c r="Q1151" s="754"/>
      <c r="R1151" s="754"/>
      <c r="S1151" s="754"/>
      <c r="T1151" s="754"/>
      <c r="U1151" s="754"/>
      <c r="V1151" s="754"/>
      <c r="W1151" s="754"/>
      <c r="X1151" s="754"/>
      <c r="Y1151" s="754"/>
      <c r="Z1151" s="754"/>
      <c r="AA1151" s="754"/>
      <c r="AB1151" s="754"/>
      <c r="AC1151" s="754"/>
      <c r="AD1151" s="754"/>
      <c r="AE1151" s="754"/>
      <c r="AF1151" s="754"/>
      <c r="AG1151" s="754"/>
      <c r="AH1151" s="754"/>
      <c r="AI1151" s="754"/>
      <c r="AJ1151" s="754"/>
      <c r="AK1151" s="754"/>
      <c r="AL1151" s="754"/>
      <c r="AM1151" s="754"/>
      <c r="AN1151" s="754"/>
      <c r="AO1151" s="754"/>
      <c r="AP1151" s="754"/>
      <c r="AQ1151" s="754"/>
      <c r="AR1151" s="754"/>
      <c r="AS1151" s="754"/>
      <c r="AT1151" s="754"/>
      <c r="AU1151" s="754"/>
    </row>
    <row r="1152" ht="15.75" customHeight="1">
      <c r="A1152" s="782"/>
      <c r="B1152" s="765"/>
      <c r="C1152" s="774"/>
      <c r="D1152" s="774"/>
      <c r="E1152" s="764"/>
      <c r="F1152" s="782"/>
      <c r="G1152" s="782"/>
      <c r="H1152" s="782"/>
      <c r="I1152" s="782"/>
      <c r="J1152" s="782"/>
      <c r="K1152" s="782"/>
      <c r="L1152" s="754"/>
      <c r="M1152" s="754"/>
      <c r="N1152" s="754"/>
      <c r="O1152" s="754"/>
      <c r="P1152" s="754"/>
      <c r="Q1152" s="754"/>
      <c r="R1152" s="754"/>
      <c r="S1152" s="754"/>
      <c r="T1152" s="754"/>
      <c r="U1152" s="754"/>
      <c r="V1152" s="754"/>
      <c r="W1152" s="754"/>
      <c r="X1152" s="754"/>
      <c r="Y1152" s="754"/>
      <c r="Z1152" s="754"/>
      <c r="AA1152" s="754"/>
      <c r="AB1152" s="754"/>
      <c r="AC1152" s="754"/>
      <c r="AD1152" s="754"/>
      <c r="AE1152" s="754"/>
      <c r="AF1152" s="754"/>
      <c r="AG1152" s="754"/>
      <c r="AH1152" s="754"/>
      <c r="AI1152" s="754"/>
      <c r="AJ1152" s="754"/>
      <c r="AK1152" s="754"/>
      <c r="AL1152" s="754"/>
      <c r="AM1152" s="754"/>
      <c r="AN1152" s="754"/>
      <c r="AO1152" s="754"/>
      <c r="AP1152" s="754"/>
      <c r="AQ1152" s="754"/>
      <c r="AR1152" s="754"/>
      <c r="AS1152" s="754"/>
      <c r="AT1152" s="754"/>
      <c r="AU1152" s="754"/>
    </row>
    <row r="1153" ht="15.75" customHeight="1">
      <c r="A1153" s="782"/>
      <c r="B1153" s="765"/>
      <c r="C1153" s="774"/>
      <c r="D1153" s="774"/>
      <c r="E1153" s="764"/>
      <c r="F1153" s="782"/>
      <c r="G1153" s="782"/>
      <c r="H1153" s="782"/>
      <c r="I1153" s="782"/>
      <c r="J1153" s="782"/>
      <c r="K1153" s="782"/>
      <c r="L1153" s="754"/>
      <c r="M1153" s="754"/>
      <c r="N1153" s="754"/>
      <c r="O1153" s="754"/>
      <c r="P1153" s="754"/>
      <c r="Q1153" s="754"/>
      <c r="R1153" s="754"/>
      <c r="S1153" s="754"/>
      <c r="T1153" s="754"/>
      <c r="U1153" s="754"/>
      <c r="V1153" s="754"/>
      <c r="W1153" s="754"/>
      <c r="X1153" s="754"/>
      <c r="Y1153" s="754"/>
      <c r="Z1153" s="754"/>
      <c r="AA1153" s="754"/>
      <c r="AB1153" s="754"/>
      <c r="AC1153" s="754"/>
      <c r="AD1153" s="754"/>
      <c r="AE1153" s="754"/>
      <c r="AF1153" s="754"/>
      <c r="AG1153" s="754"/>
      <c r="AH1153" s="754"/>
      <c r="AI1153" s="754"/>
      <c r="AJ1153" s="754"/>
      <c r="AK1153" s="754"/>
      <c r="AL1153" s="754"/>
      <c r="AM1153" s="754"/>
      <c r="AN1153" s="754"/>
      <c r="AO1153" s="754"/>
      <c r="AP1153" s="754"/>
      <c r="AQ1153" s="754"/>
      <c r="AR1153" s="754"/>
      <c r="AS1153" s="754"/>
      <c r="AT1153" s="754"/>
      <c r="AU1153" s="754"/>
    </row>
    <row r="1154" ht="15.75" customHeight="1">
      <c r="A1154" s="782"/>
      <c r="B1154" s="765"/>
      <c r="C1154" s="774"/>
      <c r="D1154" s="774"/>
      <c r="E1154" s="764"/>
      <c r="F1154" s="782"/>
      <c r="G1154" s="782"/>
      <c r="H1154" s="782"/>
      <c r="I1154" s="782"/>
      <c r="J1154" s="782"/>
      <c r="K1154" s="782"/>
      <c r="L1154" s="754"/>
      <c r="M1154" s="754"/>
      <c r="N1154" s="754"/>
      <c r="O1154" s="754"/>
      <c r="P1154" s="754"/>
      <c r="Q1154" s="754"/>
      <c r="R1154" s="754"/>
      <c r="S1154" s="754"/>
      <c r="T1154" s="754"/>
      <c r="U1154" s="754"/>
      <c r="V1154" s="754"/>
      <c r="W1154" s="754"/>
      <c r="X1154" s="754"/>
      <c r="Y1154" s="754"/>
      <c r="Z1154" s="754"/>
      <c r="AA1154" s="754"/>
      <c r="AB1154" s="754"/>
      <c r="AC1154" s="754"/>
      <c r="AD1154" s="754"/>
      <c r="AE1154" s="754"/>
      <c r="AF1154" s="754"/>
      <c r="AG1154" s="754"/>
      <c r="AH1154" s="754"/>
      <c r="AI1154" s="754"/>
      <c r="AJ1154" s="754"/>
      <c r="AK1154" s="754"/>
      <c r="AL1154" s="754"/>
      <c r="AM1154" s="754"/>
      <c r="AN1154" s="754"/>
      <c r="AO1154" s="754"/>
      <c r="AP1154" s="754"/>
      <c r="AQ1154" s="754"/>
      <c r="AR1154" s="754"/>
      <c r="AS1154" s="754"/>
      <c r="AT1154" s="754"/>
      <c r="AU1154" s="754"/>
    </row>
    <row r="1155" ht="15.75" customHeight="1">
      <c r="A1155" s="782"/>
      <c r="B1155" s="765"/>
      <c r="C1155" s="774"/>
      <c r="D1155" s="774"/>
      <c r="E1155" s="764"/>
      <c r="F1155" s="782"/>
      <c r="G1155" s="782"/>
      <c r="H1155" s="782"/>
      <c r="I1155" s="782"/>
      <c r="J1155" s="782"/>
      <c r="K1155" s="782"/>
      <c r="L1155" s="754"/>
      <c r="M1155" s="754"/>
      <c r="N1155" s="754"/>
      <c r="O1155" s="754"/>
      <c r="P1155" s="754"/>
      <c r="Q1155" s="754"/>
      <c r="R1155" s="754"/>
      <c r="S1155" s="754"/>
      <c r="T1155" s="754"/>
      <c r="U1155" s="754"/>
      <c r="V1155" s="754"/>
      <c r="W1155" s="754"/>
      <c r="X1155" s="754"/>
      <c r="Y1155" s="754"/>
      <c r="Z1155" s="754"/>
      <c r="AA1155" s="754"/>
      <c r="AB1155" s="754"/>
      <c r="AC1155" s="754"/>
      <c r="AD1155" s="754"/>
      <c r="AE1155" s="754"/>
      <c r="AF1155" s="754"/>
      <c r="AG1155" s="754"/>
      <c r="AH1155" s="754"/>
      <c r="AI1155" s="754"/>
      <c r="AJ1155" s="754"/>
      <c r="AK1155" s="754"/>
      <c r="AL1155" s="754"/>
      <c r="AM1155" s="754"/>
      <c r="AN1155" s="754"/>
      <c r="AO1155" s="754"/>
      <c r="AP1155" s="754"/>
      <c r="AQ1155" s="754"/>
      <c r="AR1155" s="754"/>
      <c r="AS1155" s="754"/>
      <c r="AT1155" s="754"/>
      <c r="AU1155" s="754"/>
    </row>
    <row r="1156" ht="15.75" customHeight="1">
      <c r="A1156" s="782"/>
      <c r="B1156" s="765"/>
      <c r="C1156" s="774"/>
      <c r="D1156" s="774"/>
      <c r="E1156" s="764"/>
      <c r="F1156" s="782"/>
      <c r="G1156" s="782"/>
      <c r="H1156" s="782"/>
      <c r="I1156" s="782"/>
      <c r="J1156" s="782"/>
      <c r="K1156" s="782"/>
      <c r="L1156" s="754"/>
      <c r="M1156" s="754"/>
      <c r="N1156" s="754"/>
      <c r="O1156" s="754"/>
      <c r="P1156" s="754"/>
      <c r="Q1156" s="754"/>
      <c r="R1156" s="754"/>
      <c r="S1156" s="754"/>
      <c r="T1156" s="754"/>
      <c r="U1156" s="754"/>
      <c r="V1156" s="754"/>
      <c r="W1156" s="754"/>
      <c r="X1156" s="754"/>
      <c r="Y1156" s="754"/>
      <c r="Z1156" s="754"/>
      <c r="AA1156" s="754"/>
      <c r="AB1156" s="754"/>
      <c r="AC1156" s="754"/>
      <c r="AD1156" s="754"/>
      <c r="AE1156" s="754"/>
      <c r="AF1156" s="754"/>
      <c r="AG1156" s="754"/>
      <c r="AH1156" s="754"/>
      <c r="AI1156" s="754"/>
      <c r="AJ1156" s="754"/>
      <c r="AK1156" s="754"/>
      <c r="AL1156" s="754"/>
      <c r="AM1156" s="754"/>
      <c r="AN1156" s="754"/>
      <c r="AO1156" s="754"/>
      <c r="AP1156" s="754"/>
      <c r="AQ1156" s="754"/>
      <c r="AR1156" s="754"/>
      <c r="AS1156" s="754"/>
      <c r="AT1156" s="754"/>
      <c r="AU1156" s="754"/>
    </row>
    <row r="1157" ht="15.75" customHeight="1">
      <c r="A1157" s="782"/>
      <c r="B1157" s="765"/>
      <c r="C1157" s="774"/>
      <c r="D1157" s="774"/>
      <c r="E1157" s="764"/>
      <c r="F1157" s="782"/>
      <c r="G1157" s="782"/>
      <c r="H1157" s="782"/>
      <c r="I1157" s="782"/>
      <c r="J1157" s="782"/>
      <c r="K1157" s="782"/>
      <c r="L1157" s="754"/>
      <c r="M1157" s="754"/>
      <c r="N1157" s="754"/>
      <c r="O1157" s="754"/>
      <c r="P1157" s="754"/>
      <c r="Q1157" s="754"/>
      <c r="R1157" s="754"/>
      <c r="S1157" s="754"/>
      <c r="T1157" s="754"/>
      <c r="U1157" s="754"/>
      <c r="V1157" s="754"/>
      <c r="W1157" s="754"/>
      <c r="X1157" s="754"/>
      <c r="Y1157" s="754"/>
      <c r="Z1157" s="754"/>
      <c r="AA1157" s="754"/>
      <c r="AB1157" s="754"/>
      <c r="AC1157" s="754"/>
      <c r="AD1157" s="754"/>
      <c r="AE1157" s="754"/>
      <c r="AF1157" s="754"/>
      <c r="AG1157" s="754"/>
      <c r="AH1157" s="754"/>
      <c r="AI1157" s="754"/>
      <c r="AJ1157" s="754"/>
      <c r="AK1157" s="754"/>
      <c r="AL1157" s="754"/>
      <c r="AM1157" s="754"/>
      <c r="AN1157" s="754"/>
      <c r="AO1157" s="754"/>
      <c r="AP1157" s="754"/>
      <c r="AQ1157" s="754"/>
      <c r="AR1157" s="754"/>
      <c r="AS1157" s="754"/>
      <c r="AT1157" s="754"/>
      <c r="AU1157" s="754"/>
    </row>
    <row r="1158" ht="15.75" customHeight="1">
      <c r="A1158" s="782"/>
      <c r="B1158" s="765"/>
      <c r="C1158" s="774"/>
      <c r="D1158" s="774"/>
      <c r="E1158" s="764"/>
      <c r="F1158" s="782"/>
      <c r="G1158" s="782"/>
      <c r="H1158" s="782"/>
      <c r="I1158" s="782"/>
      <c r="J1158" s="782"/>
      <c r="K1158" s="782"/>
      <c r="L1158" s="754"/>
      <c r="M1158" s="754"/>
      <c r="N1158" s="754"/>
      <c r="O1158" s="754"/>
      <c r="P1158" s="754"/>
      <c r="Q1158" s="754"/>
      <c r="R1158" s="754"/>
      <c r="S1158" s="754"/>
      <c r="T1158" s="754"/>
      <c r="U1158" s="754"/>
      <c r="V1158" s="754"/>
      <c r="W1158" s="754"/>
      <c r="X1158" s="754"/>
      <c r="Y1158" s="754"/>
      <c r="Z1158" s="754"/>
      <c r="AA1158" s="754"/>
      <c r="AB1158" s="754"/>
      <c r="AC1158" s="754"/>
      <c r="AD1158" s="754"/>
      <c r="AE1158" s="754"/>
      <c r="AF1158" s="754"/>
      <c r="AG1158" s="754"/>
      <c r="AH1158" s="754"/>
      <c r="AI1158" s="754"/>
      <c r="AJ1158" s="754"/>
      <c r="AK1158" s="754"/>
      <c r="AL1158" s="754"/>
      <c r="AM1158" s="754"/>
      <c r="AN1158" s="754"/>
      <c r="AO1158" s="754"/>
      <c r="AP1158" s="754"/>
      <c r="AQ1158" s="754"/>
      <c r="AR1158" s="754"/>
      <c r="AS1158" s="754"/>
      <c r="AT1158" s="754"/>
      <c r="AU1158" s="754"/>
    </row>
    <row r="1159" ht="15.75" customHeight="1">
      <c r="A1159" s="782"/>
      <c r="B1159" s="765"/>
      <c r="C1159" s="774"/>
      <c r="D1159" s="774"/>
      <c r="E1159" s="764"/>
      <c r="F1159" s="782"/>
      <c r="G1159" s="782"/>
      <c r="H1159" s="782"/>
      <c r="I1159" s="782"/>
      <c r="J1159" s="782"/>
      <c r="K1159" s="782"/>
      <c r="L1159" s="754"/>
      <c r="M1159" s="754"/>
      <c r="N1159" s="754"/>
      <c r="O1159" s="754"/>
      <c r="P1159" s="754"/>
      <c r="Q1159" s="754"/>
      <c r="R1159" s="754"/>
      <c r="S1159" s="754"/>
      <c r="T1159" s="754"/>
      <c r="U1159" s="754"/>
      <c r="V1159" s="754"/>
      <c r="W1159" s="754"/>
      <c r="X1159" s="754"/>
      <c r="Y1159" s="754"/>
      <c r="Z1159" s="754"/>
      <c r="AA1159" s="754"/>
      <c r="AB1159" s="754"/>
      <c r="AC1159" s="754"/>
      <c r="AD1159" s="754"/>
      <c r="AE1159" s="754"/>
      <c r="AF1159" s="754"/>
      <c r="AG1159" s="754"/>
      <c r="AH1159" s="754"/>
      <c r="AI1159" s="754"/>
      <c r="AJ1159" s="754"/>
      <c r="AK1159" s="754"/>
      <c r="AL1159" s="754"/>
      <c r="AM1159" s="754"/>
      <c r="AN1159" s="754"/>
      <c r="AO1159" s="754"/>
      <c r="AP1159" s="754"/>
      <c r="AQ1159" s="754"/>
      <c r="AR1159" s="754"/>
      <c r="AS1159" s="754"/>
      <c r="AT1159" s="754"/>
      <c r="AU1159" s="754"/>
    </row>
    <row r="1160" ht="15.75" customHeight="1">
      <c r="A1160" s="782"/>
      <c r="B1160" s="765"/>
      <c r="C1160" s="774"/>
      <c r="D1160" s="774"/>
      <c r="E1160" s="764"/>
      <c r="F1160" s="782"/>
      <c r="G1160" s="782"/>
      <c r="H1160" s="782"/>
      <c r="I1160" s="782"/>
      <c r="J1160" s="782"/>
      <c r="K1160" s="782"/>
      <c r="L1160" s="754"/>
      <c r="M1160" s="754"/>
      <c r="N1160" s="754"/>
      <c r="O1160" s="754"/>
      <c r="P1160" s="754"/>
      <c r="Q1160" s="754"/>
      <c r="R1160" s="754"/>
      <c r="S1160" s="754"/>
      <c r="T1160" s="754"/>
      <c r="U1160" s="754"/>
      <c r="V1160" s="754"/>
      <c r="W1160" s="754"/>
      <c r="X1160" s="754"/>
      <c r="Y1160" s="754"/>
      <c r="Z1160" s="754"/>
      <c r="AA1160" s="754"/>
      <c r="AB1160" s="754"/>
      <c r="AC1160" s="754"/>
      <c r="AD1160" s="754"/>
      <c r="AE1160" s="754"/>
      <c r="AF1160" s="754"/>
      <c r="AG1160" s="754"/>
      <c r="AH1160" s="754"/>
      <c r="AI1160" s="754"/>
      <c r="AJ1160" s="754"/>
      <c r="AK1160" s="754"/>
      <c r="AL1160" s="754"/>
      <c r="AM1160" s="754"/>
      <c r="AN1160" s="754"/>
      <c r="AO1160" s="754"/>
      <c r="AP1160" s="754"/>
      <c r="AQ1160" s="754"/>
      <c r="AR1160" s="754"/>
      <c r="AS1160" s="754"/>
      <c r="AT1160" s="754"/>
      <c r="AU1160" s="754"/>
    </row>
    <row r="1161" ht="15.75" customHeight="1">
      <c r="A1161" s="782"/>
      <c r="B1161" s="765"/>
      <c r="C1161" s="774"/>
      <c r="D1161" s="774"/>
      <c r="E1161" s="764"/>
      <c r="F1161" s="782"/>
      <c r="G1161" s="782"/>
      <c r="H1161" s="782"/>
      <c r="I1161" s="782"/>
      <c r="J1161" s="782"/>
      <c r="K1161" s="782"/>
      <c r="L1161" s="754"/>
      <c r="M1161" s="754"/>
      <c r="N1161" s="754"/>
      <c r="O1161" s="754"/>
      <c r="P1161" s="754"/>
      <c r="Q1161" s="754"/>
      <c r="R1161" s="754"/>
      <c r="S1161" s="754"/>
      <c r="T1161" s="754"/>
      <c r="U1161" s="754"/>
      <c r="V1161" s="754"/>
      <c r="W1161" s="754"/>
      <c r="X1161" s="754"/>
      <c r="Y1161" s="754"/>
      <c r="Z1161" s="754"/>
      <c r="AA1161" s="754"/>
      <c r="AB1161" s="754"/>
      <c r="AC1161" s="754"/>
      <c r="AD1161" s="754"/>
      <c r="AE1161" s="754"/>
      <c r="AF1161" s="754"/>
      <c r="AG1161" s="754"/>
      <c r="AH1161" s="754"/>
      <c r="AI1161" s="754"/>
      <c r="AJ1161" s="754"/>
      <c r="AK1161" s="754"/>
      <c r="AL1161" s="754"/>
      <c r="AM1161" s="754"/>
      <c r="AN1161" s="754"/>
      <c r="AO1161" s="754"/>
      <c r="AP1161" s="754"/>
      <c r="AQ1161" s="754"/>
      <c r="AR1161" s="754"/>
      <c r="AS1161" s="754"/>
      <c r="AT1161" s="754"/>
      <c r="AU1161" s="754"/>
    </row>
    <row r="1162" ht="15.75" customHeight="1">
      <c r="A1162" s="782"/>
      <c r="B1162" s="765"/>
      <c r="C1162" s="774"/>
      <c r="D1162" s="774"/>
      <c r="E1162" s="764"/>
      <c r="F1162" s="782"/>
      <c r="G1162" s="782"/>
      <c r="H1162" s="782"/>
      <c r="I1162" s="782"/>
      <c r="J1162" s="782"/>
      <c r="K1162" s="782"/>
      <c r="L1162" s="754"/>
      <c r="M1162" s="754"/>
      <c r="N1162" s="754"/>
      <c r="O1162" s="754"/>
      <c r="P1162" s="754"/>
      <c r="Q1162" s="754"/>
      <c r="R1162" s="754"/>
      <c r="S1162" s="754"/>
      <c r="T1162" s="754"/>
      <c r="U1162" s="754"/>
      <c r="V1162" s="754"/>
      <c r="W1162" s="754"/>
      <c r="X1162" s="754"/>
      <c r="Y1162" s="754"/>
      <c r="Z1162" s="754"/>
      <c r="AA1162" s="754"/>
      <c r="AB1162" s="754"/>
      <c r="AC1162" s="754"/>
      <c r="AD1162" s="754"/>
      <c r="AE1162" s="754"/>
      <c r="AF1162" s="754"/>
      <c r="AG1162" s="754"/>
      <c r="AH1162" s="754"/>
      <c r="AI1162" s="754"/>
      <c r="AJ1162" s="754"/>
      <c r="AK1162" s="754"/>
      <c r="AL1162" s="754"/>
      <c r="AM1162" s="754"/>
      <c r="AN1162" s="754"/>
      <c r="AO1162" s="754"/>
      <c r="AP1162" s="754"/>
      <c r="AQ1162" s="754"/>
      <c r="AR1162" s="754"/>
      <c r="AS1162" s="754"/>
      <c r="AT1162" s="754"/>
      <c r="AU1162" s="754"/>
    </row>
    <row r="1163" ht="15.75" customHeight="1">
      <c r="A1163" s="782"/>
      <c r="B1163" s="765"/>
      <c r="C1163" s="774"/>
      <c r="D1163" s="774"/>
      <c r="E1163" s="764"/>
      <c r="F1163" s="782"/>
      <c r="G1163" s="782"/>
      <c r="H1163" s="782"/>
      <c r="I1163" s="782"/>
      <c r="J1163" s="782"/>
      <c r="K1163" s="782"/>
      <c r="L1163" s="754"/>
      <c r="M1163" s="754"/>
      <c r="N1163" s="754"/>
      <c r="O1163" s="754"/>
      <c r="P1163" s="754"/>
      <c r="Q1163" s="754"/>
      <c r="R1163" s="754"/>
      <c r="S1163" s="754"/>
      <c r="T1163" s="754"/>
      <c r="U1163" s="754"/>
      <c r="V1163" s="754"/>
      <c r="W1163" s="754"/>
      <c r="X1163" s="754"/>
      <c r="Y1163" s="754"/>
      <c r="Z1163" s="754"/>
      <c r="AA1163" s="754"/>
      <c r="AB1163" s="754"/>
      <c r="AC1163" s="754"/>
      <c r="AD1163" s="754"/>
      <c r="AE1163" s="754"/>
      <c r="AF1163" s="754"/>
      <c r="AG1163" s="754"/>
      <c r="AH1163" s="754"/>
      <c r="AI1163" s="754"/>
      <c r="AJ1163" s="754"/>
      <c r="AK1163" s="754"/>
      <c r="AL1163" s="754"/>
      <c r="AM1163" s="754"/>
      <c r="AN1163" s="754"/>
      <c r="AO1163" s="754"/>
      <c r="AP1163" s="754"/>
      <c r="AQ1163" s="754"/>
      <c r="AR1163" s="754"/>
      <c r="AS1163" s="754"/>
      <c r="AT1163" s="754"/>
      <c r="AU1163" s="754"/>
    </row>
    <row r="1164" ht="15.75" customHeight="1">
      <c r="A1164" s="782"/>
      <c r="B1164" s="765"/>
      <c r="C1164" s="774"/>
      <c r="D1164" s="774"/>
      <c r="E1164" s="764"/>
      <c r="F1164" s="782"/>
      <c r="G1164" s="782"/>
      <c r="H1164" s="782"/>
      <c r="I1164" s="782"/>
      <c r="J1164" s="782"/>
      <c r="K1164" s="782"/>
      <c r="L1164" s="754"/>
      <c r="M1164" s="754"/>
      <c r="N1164" s="754"/>
      <c r="O1164" s="754"/>
      <c r="P1164" s="754"/>
      <c r="Q1164" s="754"/>
      <c r="R1164" s="754"/>
      <c r="S1164" s="754"/>
      <c r="T1164" s="754"/>
      <c r="U1164" s="754"/>
      <c r="V1164" s="754"/>
      <c r="W1164" s="754"/>
      <c r="X1164" s="754"/>
      <c r="Y1164" s="754"/>
      <c r="Z1164" s="754"/>
      <c r="AA1164" s="754"/>
      <c r="AB1164" s="754"/>
      <c r="AC1164" s="754"/>
      <c r="AD1164" s="754"/>
      <c r="AE1164" s="754"/>
      <c r="AF1164" s="754"/>
      <c r="AG1164" s="754"/>
      <c r="AH1164" s="754"/>
      <c r="AI1164" s="754"/>
      <c r="AJ1164" s="754"/>
      <c r="AK1164" s="754"/>
      <c r="AL1164" s="754"/>
      <c r="AM1164" s="754"/>
      <c r="AN1164" s="754"/>
      <c r="AO1164" s="754"/>
      <c r="AP1164" s="754"/>
      <c r="AQ1164" s="754"/>
      <c r="AR1164" s="754"/>
      <c r="AS1164" s="754"/>
      <c r="AT1164" s="754"/>
      <c r="AU1164" s="754"/>
    </row>
    <row r="1165" ht="15.75" customHeight="1">
      <c r="A1165" s="782"/>
      <c r="B1165" s="765"/>
      <c r="C1165" s="774"/>
      <c r="D1165" s="774"/>
      <c r="E1165" s="764"/>
      <c r="F1165" s="782"/>
      <c r="G1165" s="782"/>
      <c r="H1165" s="782"/>
      <c r="I1165" s="782"/>
      <c r="J1165" s="782"/>
      <c r="K1165" s="782"/>
      <c r="L1165" s="754"/>
      <c r="M1165" s="754"/>
      <c r="N1165" s="754"/>
      <c r="O1165" s="754"/>
      <c r="P1165" s="754"/>
      <c r="Q1165" s="754"/>
      <c r="R1165" s="754"/>
      <c r="S1165" s="754"/>
      <c r="T1165" s="754"/>
      <c r="U1165" s="754"/>
      <c r="V1165" s="754"/>
      <c r="W1165" s="754"/>
      <c r="X1165" s="754"/>
      <c r="Y1165" s="754"/>
      <c r="Z1165" s="754"/>
      <c r="AA1165" s="754"/>
      <c r="AB1165" s="754"/>
      <c r="AC1165" s="754"/>
      <c r="AD1165" s="754"/>
      <c r="AE1165" s="754"/>
      <c r="AF1165" s="754"/>
      <c r="AG1165" s="754"/>
      <c r="AH1165" s="754"/>
      <c r="AI1165" s="754"/>
      <c r="AJ1165" s="754"/>
      <c r="AK1165" s="754"/>
      <c r="AL1165" s="754"/>
      <c r="AM1165" s="754"/>
      <c r="AN1165" s="754"/>
      <c r="AO1165" s="754"/>
      <c r="AP1165" s="754"/>
      <c r="AQ1165" s="754"/>
      <c r="AR1165" s="754"/>
      <c r="AS1165" s="754"/>
      <c r="AT1165" s="754"/>
      <c r="AU1165" s="754"/>
    </row>
    <row r="1166" ht="15.75" customHeight="1">
      <c r="A1166" s="782"/>
      <c r="B1166" s="765"/>
      <c r="C1166" s="774"/>
      <c r="D1166" s="774"/>
      <c r="E1166" s="764"/>
      <c r="F1166" s="782"/>
      <c r="G1166" s="782"/>
      <c r="H1166" s="782"/>
      <c r="I1166" s="782"/>
      <c r="J1166" s="782"/>
      <c r="K1166" s="782"/>
      <c r="L1166" s="754"/>
      <c r="M1166" s="754"/>
      <c r="N1166" s="754"/>
      <c r="O1166" s="754"/>
      <c r="P1166" s="754"/>
      <c r="Q1166" s="754"/>
      <c r="R1166" s="754"/>
      <c r="S1166" s="754"/>
      <c r="T1166" s="754"/>
      <c r="U1166" s="754"/>
      <c r="V1166" s="754"/>
      <c r="W1166" s="754"/>
      <c r="X1166" s="754"/>
      <c r="Y1166" s="754"/>
      <c r="Z1166" s="754"/>
      <c r="AA1166" s="754"/>
      <c r="AB1166" s="754"/>
      <c r="AC1166" s="754"/>
      <c r="AD1166" s="754"/>
      <c r="AE1166" s="754"/>
      <c r="AF1166" s="754"/>
      <c r="AG1166" s="754"/>
      <c r="AH1166" s="754"/>
      <c r="AI1166" s="754"/>
      <c r="AJ1166" s="754"/>
      <c r="AK1166" s="754"/>
      <c r="AL1166" s="754"/>
      <c r="AM1166" s="754"/>
      <c r="AN1166" s="754"/>
      <c r="AO1166" s="754"/>
      <c r="AP1166" s="754"/>
      <c r="AQ1166" s="754"/>
      <c r="AR1166" s="754"/>
      <c r="AS1166" s="754"/>
      <c r="AT1166" s="754"/>
      <c r="AU1166" s="754"/>
    </row>
    <row r="1167" ht="15.75" customHeight="1">
      <c r="A1167" s="782"/>
      <c r="B1167" s="765"/>
      <c r="C1167" s="774"/>
      <c r="D1167" s="774"/>
      <c r="E1167" s="764"/>
      <c r="F1167" s="782"/>
      <c r="G1167" s="782"/>
      <c r="H1167" s="782"/>
      <c r="I1167" s="782"/>
      <c r="J1167" s="782"/>
      <c r="K1167" s="782"/>
      <c r="L1167" s="754"/>
      <c r="M1167" s="754"/>
      <c r="N1167" s="754"/>
      <c r="O1167" s="754"/>
      <c r="P1167" s="754"/>
      <c r="Q1167" s="754"/>
      <c r="R1167" s="754"/>
      <c r="S1167" s="754"/>
      <c r="T1167" s="754"/>
      <c r="U1167" s="754"/>
      <c r="V1167" s="754"/>
      <c r="W1167" s="754"/>
      <c r="X1167" s="754"/>
      <c r="Y1167" s="754"/>
      <c r="Z1167" s="754"/>
      <c r="AA1167" s="754"/>
      <c r="AB1167" s="754"/>
      <c r="AC1167" s="754"/>
      <c r="AD1167" s="754"/>
      <c r="AE1167" s="754"/>
      <c r="AF1167" s="754"/>
      <c r="AG1167" s="754"/>
      <c r="AH1167" s="754"/>
      <c r="AI1167" s="754"/>
      <c r="AJ1167" s="754"/>
      <c r="AK1167" s="754"/>
      <c r="AL1167" s="754"/>
      <c r="AM1167" s="754"/>
      <c r="AN1167" s="754"/>
      <c r="AO1167" s="754"/>
      <c r="AP1167" s="754"/>
      <c r="AQ1167" s="754"/>
      <c r="AR1167" s="754"/>
      <c r="AS1167" s="754"/>
      <c r="AT1167" s="754"/>
      <c r="AU1167" s="754"/>
    </row>
    <row r="1168" ht="15.75" customHeight="1">
      <c r="A1168" s="782"/>
      <c r="B1168" s="765"/>
      <c r="C1168" s="774"/>
      <c r="D1168" s="774"/>
      <c r="E1168" s="764"/>
      <c r="F1168" s="782"/>
      <c r="G1168" s="782"/>
      <c r="H1168" s="782"/>
      <c r="I1168" s="782"/>
      <c r="J1168" s="782"/>
      <c r="K1168" s="782"/>
      <c r="L1168" s="754"/>
      <c r="M1168" s="754"/>
      <c r="N1168" s="754"/>
      <c r="O1168" s="754"/>
      <c r="P1168" s="754"/>
      <c r="Q1168" s="754"/>
      <c r="R1168" s="754"/>
      <c r="S1168" s="754"/>
      <c r="T1168" s="754"/>
      <c r="U1168" s="754"/>
      <c r="V1168" s="754"/>
      <c r="W1168" s="754"/>
      <c r="X1168" s="754"/>
      <c r="Y1168" s="754"/>
      <c r="Z1168" s="754"/>
      <c r="AA1168" s="754"/>
      <c r="AB1168" s="754"/>
      <c r="AC1168" s="754"/>
      <c r="AD1168" s="754"/>
      <c r="AE1168" s="754"/>
      <c r="AF1168" s="754"/>
      <c r="AG1168" s="754"/>
      <c r="AH1168" s="754"/>
      <c r="AI1168" s="754"/>
      <c r="AJ1168" s="754"/>
      <c r="AK1168" s="754"/>
      <c r="AL1168" s="754"/>
      <c r="AM1168" s="754"/>
      <c r="AN1168" s="754"/>
      <c r="AO1168" s="754"/>
      <c r="AP1168" s="754"/>
      <c r="AQ1168" s="754"/>
      <c r="AR1168" s="754"/>
      <c r="AS1168" s="754"/>
      <c r="AT1168" s="754"/>
      <c r="AU1168" s="754"/>
    </row>
    <row r="1169" ht="15.75" customHeight="1">
      <c r="A1169" s="782"/>
      <c r="B1169" s="765"/>
      <c r="C1169" s="774"/>
      <c r="D1169" s="774"/>
      <c r="E1169" s="764"/>
      <c r="F1169" s="782"/>
      <c r="G1169" s="782"/>
      <c r="H1169" s="782"/>
      <c r="I1169" s="782"/>
      <c r="J1169" s="782"/>
      <c r="K1169" s="782"/>
      <c r="L1169" s="754"/>
      <c r="M1169" s="754"/>
      <c r="N1169" s="754"/>
      <c r="O1169" s="754"/>
      <c r="P1169" s="754"/>
      <c r="Q1169" s="754"/>
      <c r="R1169" s="754"/>
      <c r="S1169" s="754"/>
      <c r="T1169" s="754"/>
      <c r="U1169" s="754"/>
      <c r="V1169" s="754"/>
      <c r="W1169" s="754"/>
      <c r="X1169" s="754"/>
      <c r="Y1169" s="754"/>
      <c r="Z1169" s="754"/>
      <c r="AA1169" s="754"/>
      <c r="AB1169" s="754"/>
      <c r="AC1169" s="754"/>
      <c r="AD1169" s="754"/>
      <c r="AE1169" s="754"/>
      <c r="AF1169" s="754"/>
      <c r="AG1169" s="754"/>
      <c r="AH1169" s="754"/>
      <c r="AI1169" s="754"/>
      <c r="AJ1169" s="754"/>
      <c r="AK1169" s="754"/>
      <c r="AL1169" s="754"/>
      <c r="AM1169" s="754"/>
      <c r="AN1169" s="754"/>
      <c r="AO1169" s="754"/>
      <c r="AP1169" s="754"/>
      <c r="AQ1169" s="754"/>
      <c r="AR1169" s="754"/>
      <c r="AS1169" s="754"/>
      <c r="AT1169" s="754"/>
      <c r="AU1169" s="754"/>
    </row>
    <row r="1170" ht="15.75" customHeight="1">
      <c r="A1170" s="782"/>
      <c r="B1170" s="765"/>
      <c r="C1170" s="774"/>
      <c r="D1170" s="774"/>
      <c r="E1170" s="764"/>
      <c r="F1170" s="782"/>
      <c r="G1170" s="782"/>
      <c r="H1170" s="782"/>
      <c r="I1170" s="782"/>
      <c r="J1170" s="782"/>
      <c r="K1170" s="782"/>
      <c r="L1170" s="754"/>
      <c r="M1170" s="754"/>
      <c r="N1170" s="754"/>
      <c r="O1170" s="754"/>
      <c r="P1170" s="754"/>
      <c r="Q1170" s="754"/>
      <c r="R1170" s="754"/>
      <c r="S1170" s="754"/>
      <c r="T1170" s="754"/>
      <c r="U1170" s="754"/>
      <c r="V1170" s="754"/>
      <c r="W1170" s="754"/>
      <c r="X1170" s="754"/>
      <c r="Y1170" s="754"/>
      <c r="Z1170" s="754"/>
      <c r="AA1170" s="754"/>
      <c r="AB1170" s="754"/>
      <c r="AC1170" s="754"/>
      <c r="AD1170" s="754"/>
      <c r="AE1170" s="754"/>
      <c r="AF1170" s="754"/>
      <c r="AG1170" s="754"/>
      <c r="AH1170" s="754"/>
      <c r="AI1170" s="754"/>
      <c r="AJ1170" s="754"/>
      <c r="AK1170" s="754"/>
      <c r="AL1170" s="754"/>
      <c r="AM1170" s="754"/>
      <c r="AN1170" s="754"/>
      <c r="AO1170" s="754"/>
      <c r="AP1170" s="754"/>
      <c r="AQ1170" s="754"/>
      <c r="AR1170" s="754"/>
      <c r="AS1170" s="754"/>
      <c r="AT1170" s="754"/>
      <c r="AU1170" s="754"/>
    </row>
    <row r="1171" ht="15.75" customHeight="1">
      <c r="A1171" s="782"/>
      <c r="B1171" s="765"/>
      <c r="C1171" s="774"/>
      <c r="D1171" s="774"/>
      <c r="E1171" s="764"/>
      <c r="F1171" s="782"/>
      <c r="G1171" s="782"/>
      <c r="H1171" s="782"/>
      <c r="I1171" s="782"/>
      <c r="J1171" s="782"/>
      <c r="K1171" s="782"/>
      <c r="L1171" s="754"/>
      <c r="M1171" s="754"/>
      <c r="N1171" s="754"/>
      <c r="O1171" s="754"/>
      <c r="P1171" s="754"/>
      <c r="Q1171" s="754"/>
      <c r="R1171" s="754"/>
      <c r="S1171" s="754"/>
      <c r="T1171" s="754"/>
      <c r="U1171" s="754"/>
      <c r="V1171" s="754"/>
      <c r="W1171" s="754"/>
      <c r="X1171" s="754"/>
      <c r="Y1171" s="754"/>
      <c r="Z1171" s="754"/>
      <c r="AA1171" s="754"/>
      <c r="AB1171" s="754"/>
      <c r="AC1171" s="754"/>
      <c r="AD1171" s="754"/>
      <c r="AE1171" s="754"/>
      <c r="AF1171" s="754"/>
      <c r="AG1171" s="754"/>
      <c r="AH1171" s="754"/>
      <c r="AI1171" s="754"/>
      <c r="AJ1171" s="754"/>
      <c r="AK1171" s="754"/>
      <c r="AL1171" s="754"/>
      <c r="AM1171" s="754"/>
      <c r="AN1171" s="754"/>
      <c r="AO1171" s="754"/>
      <c r="AP1171" s="754"/>
      <c r="AQ1171" s="754"/>
      <c r="AR1171" s="754"/>
      <c r="AS1171" s="754"/>
      <c r="AT1171" s="754"/>
      <c r="AU1171" s="754"/>
    </row>
    <row r="1172" ht="15.75" customHeight="1">
      <c r="A1172" s="782"/>
      <c r="B1172" s="765"/>
      <c r="C1172" s="774"/>
      <c r="D1172" s="774"/>
      <c r="E1172" s="764"/>
      <c r="F1172" s="782"/>
      <c r="G1172" s="782"/>
      <c r="H1172" s="782"/>
      <c r="I1172" s="782"/>
      <c r="J1172" s="782"/>
      <c r="K1172" s="782"/>
      <c r="L1172" s="754"/>
      <c r="M1172" s="754"/>
      <c r="N1172" s="754"/>
      <c r="O1172" s="754"/>
      <c r="P1172" s="754"/>
      <c r="Q1172" s="754"/>
      <c r="R1172" s="754"/>
      <c r="S1172" s="754"/>
      <c r="T1172" s="754"/>
      <c r="U1172" s="754"/>
      <c r="V1172" s="754"/>
      <c r="W1172" s="754"/>
      <c r="X1172" s="754"/>
      <c r="Y1172" s="754"/>
      <c r="Z1172" s="754"/>
      <c r="AA1172" s="754"/>
      <c r="AB1172" s="754"/>
      <c r="AC1172" s="754"/>
      <c r="AD1172" s="754"/>
      <c r="AE1172" s="754"/>
      <c r="AF1172" s="754"/>
      <c r="AG1172" s="754"/>
      <c r="AH1172" s="754"/>
      <c r="AI1172" s="754"/>
      <c r="AJ1172" s="754"/>
      <c r="AK1172" s="754"/>
      <c r="AL1172" s="754"/>
      <c r="AM1172" s="754"/>
      <c r="AN1172" s="754"/>
      <c r="AO1172" s="754"/>
      <c r="AP1172" s="754"/>
      <c r="AQ1172" s="754"/>
      <c r="AR1172" s="754"/>
      <c r="AS1172" s="754"/>
      <c r="AT1172" s="754"/>
      <c r="AU1172" s="754"/>
    </row>
    <row r="1173" ht="15.75" customHeight="1">
      <c r="A1173" s="782"/>
      <c r="B1173" s="765"/>
      <c r="C1173" s="774"/>
      <c r="D1173" s="774"/>
      <c r="E1173" s="764"/>
      <c r="F1173" s="782"/>
      <c r="G1173" s="782"/>
      <c r="H1173" s="782"/>
      <c r="I1173" s="782"/>
      <c r="J1173" s="782"/>
      <c r="K1173" s="782"/>
      <c r="L1173" s="754"/>
      <c r="M1173" s="754"/>
      <c r="N1173" s="754"/>
      <c r="O1173" s="754"/>
      <c r="P1173" s="754"/>
      <c r="Q1173" s="754"/>
      <c r="R1173" s="754"/>
      <c r="S1173" s="754"/>
      <c r="T1173" s="754"/>
      <c r="U1173" s="754"/>
      <c r="V1173" s="754"/>
      <c r="W1173" s="754"/>
      <c r="X1173" s="754"/>
      <c r="Y1173" s="754"/>
      <c r="Z1173" s="754"/>
      <c r="AA1173" s="754"/>
      <c r="AB1173" s="754"/>
      <c r="AC1173" s="754"/>
      <c r="AD1173" s="754"/>
      <c r="AE1173" s="754"/>
      <c r="AF1173" s="754"/>
      <c r="AG1173" s="754"/>
      <c r="AH1173" s="754"/>
      <c r="AI1173" s="754"/>
      <c r="AJ1173" s="754"/>
      <c r="AK1173" s="754"/>
      <c r="AL1173" s="754"/>
      <c r="AM1173" s="754"/>
      <c r="AN1173" s="754"/>
      <c r="AO1173" s="754"/>
      <c r="AP1173" s="754"/>
      <c r="AQ1173" s="754"/>
      <c r="AR1173" s="754"/>
      <c r="AS1173" s="754"/>
      <c r="AT1173" s="754"/>
      <c r="AU1173" s="754"/>
    </row>
    <row r="1174" ht="15.75" customHeight="1">
      <c r="A1174" s="782"/>
      <c r="B1174" s="765"/>
      <c r="C1174" s="774"/>
      <c r="D1174" s="774"/>
      <c r="E1174" s="764"/>
      <c r="F1174" s="782"/>
      <c r="G1174" s="782"/>
      <c r="H1174" s="782"/>
      <c r="I1174" s="782"/>
      <c r="J1174" s="782"/>
      <c r="K1174" s="782"/>
      <c r="L1174" s="754"/>
      <c r="M1174" s="754"/>
      <c r="N1174" s="754"/>
      <c r="O1174" s="754"/>
      <c r="P1174" s="754"/>
      <c r="Q1174" s="754"/>
      <c r="R1174" s="754"/>
      <c r="S1174" s="754"/>
      <c r="T1174" s="754"/>
      <c r="U1174" s="754"/>
      <c r="V1174" s="754"/>
      <c r="W1174" s="754"/>
      <c r="X1174" s="754"/>
      <c r="Y1174" s="754"/>
      <c r="Z1174" s="754"/>
      <c r="AA1174" s="754"/>
      <c r="AB1174" s="754"/>
      <c r="AC1174" s="754"/>
      <c r="AD1174" s="754"/>
      <c r="AE1174" s="754"/>
      <c r="AF1174" s="754"/>
      <c r="AG1174" s="754"/>
      <c r="AH1174" s="754"/>
      <c r="AI1174" s="754"/>
      <c r="AJ1174" s="754"/>
      <c r="AK1174" s="754"/>
      <c r="AL1174" s="754"/>
      <c r="AM1174" s="754"/>
      <c r="AN1174" s="754"/>
      <c r="AO1174" s="754"/>
      <c r="AP1174" s="754"/>
      <c r="AQ1174" s="754"/>
      <c r="AR1174" s="754"/>
      <c r="AS1174" s="754"/>
      <c r="AT1174" s="754"/>
      <c r="AU1174" s="754"/>
    </row>
    <row r="1175" ht="15.75" customHeight="1">
      <c r="A1175" s="782"/>
      <c r="B1175" s="765"/>
      <c r="C1175" s="774"/>
      <c r="D1175" s="774"/>
      <c r="E1175" s="764"/>
      <c r="F1175" s="782"/>
      <c r="G1175" s="782"/>
      <c r="H1175" s="782"/>
      <c r="I1175" s="782"/>
      <c r="J1175" s="782"/>
      <c r="K1175" s="782"/>
      <c r="L1175" s="754"/>
      <c r="M1175" s="754"/>
      <c r="N1175" s="754"/>
      <c r="O1175" s="754"/>
      <c r="P1175" s="754"/>
      <c r="Q1175" s="754"/>
      <c r="R1175" s="754"/>
      <c r="S1175" s="754"/>
      <c r="T1175" s="754"/>
      <c r="U1175" s="754"/>
      <c r="V1175" s="754"/>
      <c r="W1175" s="754"/>
      <c r="X1175" s="754"/>
      <c r="Y1175" s="754"/>
      <c r="Z1175" s="754"/>
      <c r="AA1175" s="754"/>
      <c r="AB1175" s="754"/>
      <c r="AC1175" s="754"/>
      <c r="AD1175" s="754"/>
      <c r="AE1175" s="754"/>
      <c r="AF1175" s="754"/>
      <c r="AG1175" s="754"/>
      <c r="AH1175" s="754"/>
      <c r="AI1175" s="754"/>
      <c r="AJ1175" s="754"/>
      <c r="AK1175" s="754"/>
      <c r="AL1175" s="754"/>
      <c r="AM1175" s="754"/>
      <c r="AN1175" s="754"/>
      <c r="AO1175" s="754"/>
      <c r="AP1175" s="754"/>
      <c r="AQ1175" s="754"/>
      <c r="AR1175" s="754"/>
      <c r="AS1175" s="754"/>
      <c r="AT1175" s="754"/>
      <c r="AU1175" s="754"/>
    </row>
    <row r="1176" ht="15.75" customHeight="1">
      <c r="A1176" s="782"/>
      <c r="B1176" s="765"/>
      <c r="C1176" s="774"/>
      <c r="D1176" s="774"/>
      <c r="E1176" s="764"/>
      <c r="F1176" s="782"/>
      <c r="G1176" s="782"/>
      <c r="H1176" s="782"/>
      <c r="I1176" s="782"/>
      <c r="J1176" s="782"/>
      <c r="K1176" s="782"/>
      <c r="L1176" s="754"/>
      <c r="M1176" s="754"/>
      <c r="N1176" s="754"/>
      <c r="O1176" s="754"/>
      <c r="P1176" s="754"/>
      <c r="Q1176" s="754"/>
      <c r="R1176" s="754"/>
      <c r="S1176" s="754"/>
      <c r="T1176" s="754"/>
      <c r="U1176" s="754"/>
      <c r="V1176" s="754"/>
      <c r="W1176" s="754"/>
      <c r="X1176" s="754"/>
      <c r="Y1176" s="754"/>
      <c r="Z1176" s="754"/>
      <c r="AA1176" s="754"/>
      <c r="AB1176" s="754"/>
      <c r="AC1176" s="754"/>
      <c r="AD1176" s="754"/>
      <c r="AE1176" s="754"/>
      <c r="AF1176" s="754"/>
      <c r="AG1176" s="754"/>
      <c r="AH1176" s="754"/>
      <c r="AI1176" s="754"/>
      <c r="AJ1176" s="754"/>
      <c r="AK1176" s="754"/>
      <c r="AL1176" s="754"/>
      <c r="AM1176" s="754"/>
      <c r="AN1176" s="754"/>
      <c r="AO1176" s="754"/>
      <c r="AP1176" s="754"/>
      <c r="AQ1176" s="754"/>
      <c r="AR1176" s="754"/>
      <c r="AS1176" s="754"/>
      <c r="AT1176" s="754"/>
      <c r="AU1176" s="754"/>
    </row>
    <row r="1177" ht="15.75" customHeight="1">
      <c r="A1177" s="782"/>
      <c r="B1177" s="765"/>
      <c r="C1177" s="774"/>
      <c r="D1177" s="774"/>
      <c r="E1177" s="764"/>
      <c r="F1177" s="782"/>
      <c r="G1177" s="782"/>
      <c r="H1177" s="782"/>
      <c r="I1177" s="782"/>
      <c r="J1177" s="782"/>
      <c r="K1177" s="782"/>
      <c r="L1177" s="754"/>
      <c r="M1177" s="754"/>
      <c r="N1177" s="754"/>
      <c r="O1177" s="754"/>
      <c r="P1177" s="754"/>
      <c r="Q1177" s="754"/>
      <c r="R1177" s="754"/>
      <c r="S1177" s="754"/>
      <c r="T1177" s="754"/>
      <c r="U1177" s="754"/>
      <c r="V1177" s="754"/>
      <c r="W1177" s="754"/>
      <c r="X1177" s="754"/>
      <c r="Y1177" s="754"/>
      <c r="Z1177" s="754"/>
      <c r="AA1177" s="754"/>
      <c r="AB1177" s="754"/>
      <c r="AC1177" s="754"/>
      <c r="AD1177" s="754"/>
      <c r="AE1177" s="754"/>
      <c r="AF1177" s="754"/>
      <c r="AG1177" s="754"/>
      <c r="AH1177" s="754"/>
      <c r="AI1177" s="754"/>
      <c r="AJ1177" s="754"/>
      <c r="AK1177" s="754"/>
      <c r="AL1177" s="754"/>
      <c r="AM1177" s="754"/>
      <c r="AN1177" s="754"/>
      <c r="AO1177" s="754"/>
      <c r="AP1177" s="754"/>
      <c r="AQ1177" s="754"/>
      <c r="AR1177" s="754"/>
      <c r="AS1177" s="754"/>
      <c r="AT1177" s="754"/>
      <c r="AU1177" s="754"/>
    </row>
    <row r="1178" ht="15.75" customHeight="1">
      <c r="A1178" s="782"/>
      <c r="B1178" s="765"/>
      <c r="C1178" s="774"/>
      <c r="D1178" s="774"/>
      <c r="E1178" s="764"/>
      <c r="F1178" s="782"/>
      <c r="G1178" s="782"/>
      <c r="H1178" s="782"/>
      <c r="I1178" s="782"/>
      <c r="J1178" s="782"/>
      <c r="K1178" s="782"/>
      <c r="L1178" s="754"/>
      <c r="M1178" s="754"/>
      <c r="N1178" s="754"/>
      <c r="O1178" s="754"/>
      <c r="P1178" s="754"/>
      <c r="Q1178" s="754"/>
      <c r="R1178" s="754"/>
      <c r="S1178" s="754"/>
      <c r="T1178" s="754"/>
      <c r="U1178" s="754"/>
      <c r="V1178" s="754"/>
      <c r="W1178" s="754"/>
      <c r="X1178" s="754"/>
      <c r="Y1178" s="754"/>
      <c r="Z1178" s="754"/>
      <c r="AA1178" s="754"/>
      <c r="AB1178" s="754"/>
      <c r="AC1178" s="754"/>
      <c r="AD1178" s="754"/>
      <c r="AE1178" s="754"/>
      <c r="AF1178" s="754"/>
      <c r="AG1178" s="754"/>
      <c r="AH1178" s="754"/>
      <c r="AI1178" s="754"/>
      <c r="AJ1178" s="754"/>
      <c r="AK1178" s="754"/>
      <c r="AL1178" s="754"/>
      <c r="AM1178" s="754"/>
      <c r="AN1178" s="754"/>
      <c r="AO1178" s="754"/>
      <c r="AP1178" s="754"/>
      <c r="AQ1178" s="754"/>
      <c r="AR1178" s="754"/>
      <c r="AS1178" s="754"/>
      <c r="AT1178" s="754"/>
      <c r="AU1178" s="754"/>
    </row>
    <row r="1179" ht="15.75" customHeight="1">
      <c r="A1179" s="782"/>
      <c r="B1179" s="765"/>
      <c r="C1179" s="774"/>
      <c r="D1179" s="774"/>
      <c r="E1179" s="764"/>
      <c r="F1179" s="782"/>
      <c r="G1179" s="782"/>
      <c r="H1179" s="782"/>
      <c r="I1179" s="782"/>
      <c r="J1179" s="782"/>
      <c r="K1179" s="782"/>
      <c r="L1179" s="754"/>
      <c r="M1179" s="754"/>
      <c r="N1179" s="754"/>
      <c r="O1179" s="754"/>
      <c r="P1179" s="754"/>
      <c r="Q1179" s="754"/>
      <c r="R1179" s="754"/>
      <c r="S1179" s="754"/>
      <c r="T1179" s="754"/>
      <c r="U1179" s="754"/>
      <c r="V1179" s="754"/>
      <c r="W1179" s="754"/>
      <c r="X1179" s="754"/>
      <c r="Y1179" s="754"/>
      <c r="Z1179" s="754"/>
      <c r="AA1179" s="754"/>
      <c r="AB1179" s="754"/>
      <c r="AC1179" s="754"/>
      <c r="AD1179" s="754"/>
      <c r="AE1179" s="754"/>
      <c r="AF1179" s="754"/>
      <c r="AG1179" s="754"/>
      <c r="AH1179" s="754"/>
      <c r="AI1179" s="754"/>
      <c r="AJ1179" s="754"/>
      <c r="AK1179" s="754"/>
      <c r="AL1179" s="754"/>
      <c r="AM1179" s="754"/>
      <c r="AN1179" s="754"/>
      <c r="AO1179" s="754"/>
      <c r="AP1179" s="754"/>
      <c r="AQ1179" s="754"/>
      <c r="AR1179" s="754"/>
      <c r="AS1179" s="754"/>
      <c r="AT1179" s="754"/>
      <c r="AU1179" s="754"/>
    </row>
    <row r="1180" ht="15.75" customHeight="1">
      <c r="A1180" s="782"/>
      <c r="B1180" s="765"/>
      <c r="C1180" s="774"/>
      <c r="D1180" s="774"/>
      <c r="E1180" s="764"/>
      <c r="F1180" s="782"/>
      <c r="G1180" s="782"/>
      <c r="H1180" s="782"/>
      <c r="I1180" s="782"/>
      <c r="J1180" s="782"/>
      <c r="K1180" s="782"/>
      <c r="L1180" s="754"/>
      <c r="M1180" s="754"/>
      <c r="N1180" s="754"/>
      <c r="O1180" s="754"/>
      <c r="P1180" s="754"/>
      <c r="Q1180" s="754"/>
      <c r="R1180" s="754"/>
      <c r="S1180" s="754"/>
      <c r="T1180" s="754"/>
      <c r="U1180" s="754"/>
      <c r="V1180" s="754"/>
      <c r="W1180" s="754"/>
      <c r="X1180" s="754"/>
      <c r="Y1180" s="754"/>
      <c r="Z1180" s="754"/>
      <c r="AA1180" s="754"/>
      <c r="AB1180" s="754"/>
      <c r="AC1180" s="754"/>
      <c r="AD1180" s="754"/>
      <c r="AE1180" s="754"/>
      <c r="AF1180" s="754"/>
      <c r="AG1180" s="754"/>
      <c r="AH1180" s="754"/>
      <c r="AI1180" s="754"/>
      <c r="AJ1180" s="754"/>
      <c r="AK1180" s="754"/>
      <c r="AL1180" s="754"/>
      <c r="AM1180" s="754"/>
      <c r="AN1180" s="754"/>
      <c r="AO1180" s="754"/>
      <c r="AP1180" s="754"/>
      <c r="AQ1180" s="754"/>
      <c r="AR1180" s="754"/>
      <c r="AS1180" s="754"/>
      <c r="AT1180" s="754"/>
      <c r="AU1180" s="754"/>
    </row>
    <row r="1181" ht="15.75" customHeight="1">
      <c r="A1181" s="782"/>
      <c r="B1181" s="765"/>
      <c r="C1181" s="774"/>
      <c r="D1181" s="774"/>
      <c r="E1181" s="764"/>
      <c r="F1181" s="782"/>
      <c r="G1181" s="782"/>
      <c r="H1181" s="782"/>
      <c r="I1181" s="782"/>
      <c r="J1181" s="782"/>
      <c r="K1181" s="782"/>
      <c r="L1181" s="754"/>
      <c r="M1181" s="754"/>
      <c r="N1181" s="754"/>
      <c r="O1181" s="754"/>
      <c r="P1181" s="754"/>
      <c r="Q1181" s="754"/>
      <c r="R1181" s="754"/>
      <c r="S1181" s="754"/>
      <c r="T1181" s="754"/>
      <c r="U1181" s="754"/>
      <c r="V1181" s="754"/>
      <c r="W1181" s="754"/>
      <c r="X1181" s="754"/>
      <c r="Y1181" s="754"/>
      <c r="Z1181" s="754"/>
      <c r="AA1181" s="754"/>
      <c r="AB1181" s="754"/>
      <c r="AC1181" s="754"/>
      <c r="AD1181" s="754"/>
      <c r="AE1181" s="754"/>
      <c r="AF1181" s="754"/>
      <c r="AG1181" s="754"/>
      <c r="AH1181" s="754"/>
      <c r="AI1181" s="754"/>
      <c r="AJ1181" s="754"/>
      <c r="AK1181" s="754"/>
      <c r="AL1181" s="754"/>
      <c r="AM1181" s="754"/>
      <c r="AN1181" s="754"/>
      <c r="AO1181" s="754"/>
      <c r="AP1181" s="754"/>
      <c r="AQ1181" s="754"/>
      <c r="AR1181" s="754"/>
      <c r="AS1181" s="754"/>
      <c r="AT1181" s="754"/>
      <c r="AU1181" s="754"/>
    </row>
    <row r="1182" ht="15.75" customHeight="1">
      <c r="A1182" s="782"/>
      <c r="B1182" s="765"/>
      <c r="C1182" s="774"/>
      <c r="D1182" s="774"/>
      <c r="E1182" s="764"/>
      <c r="F1182" s="782"/>
      <c r="G1182" s="782"/>
      <c r="H1182" s="782"/>
      <c r="I1182" s="782"/>
      <c r="J1182" s="782"/>
      <c r="K1182" s="782"/>
      <c r="L1182" s="754"/>
      <c r="M1182" s="754"/>
      <c r="N1182" s="754"/>
      <c r="O1182" s="754"/>
      <c r="P1182" s="754"/>
      <c r="Q1182" s="754"/>
      <c r="R1182" s="754"/>
      <c r="S1182" s="754"/>
      <c r="T1182" s="754"/>
      <c r="U1182" s="754"/>
      <c r="V1182" s="754"/>
      <c r="W1182" s="754"/>
      <c r="X1182" s="754"/>
      <c r="Y1182" s="754"/>
      <c r="Z1182" s="754"/>
      <c r="AA1182" s="754"/>
      <c r="AB1182" s="754"/>
      <c r="AC1182" s="754"/>
      <c r="AD1182" s="754"/>
      <c r="AE1182" s="754"/>
      <c r="AF1182" s="754"/>
      <c r="AG1182" s="754"/>
      <c r="AH1182" s="754"/>
      <c r="AI1182" s="754"/>
      <c r="AJ1182" s="754"/>
      <c r="AK1182" s="754"/>
      <c r="AL1182" s="754"/>
      <c r="AM1182" s="754"/>
      <c r="AN1182" s="754"/>
      <c r="AO1182" s="754"/>
      <c r="AP1182" s="754"/>
      <c r="AQ1182" s="754"/>
      <c r="AR1182" s="754"/>
      <c r="AS1182" s="754"/>
      <c r="AT1182" s="754"/>
      <c r="AU1182" s="754"/>
    </row>
    <row r="1183" ht="15.75" customHeight="1">
      <c r="A1183" s="782"/>
      <c r="B1183" s="765"/>
      <c r="C1183" s="774"/>
      <c r="D1183" s="774"/>
      <c r="E1183" s="764"/>
      <c r="F1183" s="782"/>
      <c r="G1183" s="782"/>
      <c r="H1183" s="782"/>
      <c r="I1183" s="782"/>
      <c r="J1183" s="782"/>
      <c r="K1183" s="782"/>
      <c r="L1183" s="754"/>
      <c r="M1183" s="754"/>
      <c r="N1183" s="754"/>
      <c r="O1183" s="754"/>
      <c r="P1183" s="754"/>
      <c r="Q1183" s="754"/>
      <c r="R1183" s="754"/>
      <c r="S1183" s="754"/>
      <c r="T1183" s="754"/>
      <c r="U1183" s="754"/>
      <c r="V1183" s="754"/>
      <c r="W1183" s="754"/>
      <c r="X1183" s="754"/>
      <c r="Y1183" s="754"/>
      <c r="Z1183" s="754"/>
      <c r="AA1183" s="754"/>
      <c r="AB1183" s="754"/>
      <c r="AC1183" s="754"/>
      <c r="AD1183" s="754"/>
      <c r="AE1183" s="754"/>
      <c r="AF1183" s="754"/>
      <c r="AG1183" s="754"/>
      <c r="AH1183" s="754"/>
      <c r="AI1183" s="754"/>
      <c r="AJ1183" s="754"/>
      <c r="AK1183" s="754"/>
      <c r="AL1183" s="754"/>
      <c r="AM1183" s="754"/>
      <c r="AN1183" s="754"/>
      <c r="AO1183" s="754"/>
      <c r="AP1183" s="754"/>
      <c r="AQ1183" s="754"/>
      <c r="AR1183" s="754"/>
      <c r="AS1183" s="754"/>
      <c r="AT1183" s="754"/>
      <c r="AU1183" s="754"/>
    </row>
    <row r="1184" ht="15.75" customHeight="1">
      <c r="A1184" s="782"/>
      <c r="B1184" s="765"/>
      <c r="C1184" s="774"/>
      <c r="D1184" s="774"/>
      <c r="E1184" s="764"/>
      <c r="F1184" s="782"/>
      <c r="G1184" s="782"/>
      <c r="H1184" s="782"/>
      <c r="I1184" s="782"/>
      <c r="J1184" s="782"/>
      <c r="K1184" s="782"/>
      <c r="L1184" s="754"/>
      <c r="M1184" s="754"/>
      <c r="N1184" s="754"/>
      <c r="O1184" s="754"/>
      <c r="P1184" s="754"/>
      <c r="Q1184" s="754"/>
      <c r="R1184" s="754"/>
      <c r="S1184" s="754"/>
      <c r="T1184" s="754"/>
      <c r="U1184" s="754"/>
      <c r="V1184" s="754"/>
      <c r="W1184" s="754"/>
      <c r="X1184" s="754"/>
      <c r="Y1184" s="754"/>
      <c r="Z1184" s="754"/>
      <c r="AA1184" s="754"/>
      <c r="AB1184" s="754"/>
      <c r="AC1184" s="754"/>
      <c r="AD1184" s="754"/>
      <c r="AE1184" s="754"/>
      <c r="AF1184" s="754"/>
      <c r="AG1184" s="754"/>
      <c r="AH1184" s="754"/>
      <c r="AI1184" s="754"/>
      <c r="AJ1184" s="754"/>
      <c r="AK1184" s="754"/>
      <c r="AL1184" s="754"/>
      <c r="AM1184" s="754"/>
      <c r="AN1184" s="754"/>
      <c r="AO1184" s="754"/>
      <c r="AP1184" s="754"/>
      <c r="AQ1184" s="754"/>
      <c r="AR1184" s="754"/>
      <c r="AS1184" s="754"/>
      <c r="AT1184" s="754"/>
      <c r="AU1184" s="754"/>
    </row>
    <row r="1185" ht="15.75" customHeight="1">
      <c r="A1185" s="782"/>
      <c r="B1185" s="765"/>
      <c r="C1185" s="774"/>
      <c r="D1185" s="774"/>
      <c r="E1185" s="764"/>
      <c r="F1185" s="782"/>
      <c r="G1185" s="782"/>
      <c r="H1185" s="782"/>
      <c r="I1185" s="782"/>
      <c r="J1185" s="782"/>
      <c r="K1185" s="782"/>
      <c r="L1185" s="754"/>
      <c r="M1185" s="754"/>
      <c r="N1185" s="754"/>
      <c r="O1185" s="754"/>
      <c r="P1185" s="754"/>
      <c r="Q1185" s="754"/>
      <c r="R1185" s="754"/>
      <c r="S1185" s="754"/>
      <c r="T1185" s="754"/>
      <c r="U1185" s="754"/>
      <c r="V1185" s="754"/>
      <c r="W1185" s="754"/>
      <c r="X1185" s="754"/>
      <c r="Y1185" s="754"/>
      <c r="Z1185" s="754"/>
      <c r="AA1185" s="754"/>
      <c r="AB1185" s="754"/>
      <c r="AC1185" s="754"/>
      <c r="AD1185" s="754"/>
      <c r="AE1185" s="754"/>
      <c r="AF1185" s="754"/>
      <c r="AG1185" s="754"/>
      <c r="AH1185" s="754"/>
      <c r="AI1185" s="754"/>
      <c r="AJ1185" s="754"/>
      <c r="AK1185" s="754"/>
      <c r="AL1185" s="754"/>
      <c r="AM1185" s="754"/>
      <c r="AN1185" s="754"/>
      <c r="AO1185" s="754"/>
      <c r="AP1185" s="754"/>
      <c r="AQ1185" s="754"/>
      <c r="AR1185" s="754"/>
      <c r="AS1185" s="754"/>
      <c r="AT1185" s="754"/>
      <c r="AU1185" s="754"/>
    </row>
    <row r="1186" ht="15.75" customHeight="1">
      <c r="A1186" s="782"/>
      <c r="B1186" s="765"/>
      <c r="C1186" s="774"/>
      <c r="D1186" s="774"/>
      <c r="E1186" s="764"/>
      <c r="F1186" s="782"/>
      <c r="G1186" s="782"/>
      <c r="H1186" s="782"/>
      <c r="I1186" s="782"/>
      <c r="J1186" s="782"/>
      <c r="K1186" s="782"/>
      <c r="L1186" s="754"/>
      <c r="M1186" s="754"/>
      <c r="N1186" s="754"/>
      <c r="O1186" s="754"/>
      <c r="P1186" s="754"/>
      <c r="Q1186" s="754"/>
      <c r="R1186" s="754"/>
      <c r="S1186" s="754"/>
      <c r="T1186" s="754"/>
      <c r="U1186" s="754"/>
      <c r="V1186" s="754"/>
      <c r="W1186" s="754"/>
      <c r="X1186" s="754"/>
      <c r="Y1186" s="754"/>
      <c r="Z1186" s="754"/>
      <c r="AA1186" s="754"/>
      <c r="AB1186" s="754"/>
      <c r="AC1186" s="754"/>
      <c r="AD1186" s="754"/>
      <c r="AE1186" s="754"/>
      <c r="AF1186" s="754"/>
      <c r="AG1186" s="754"/>
      <c r="AH1186" s="754"/>
      <c r="AI1186" s="754"/>
      <c r="AJ1186" s="754"/>
      <c r="AK1186" s="754"/>
      <c r="AL1186" s="754"/>
      <c r="AM1186" s="754"/>
      <c r="AN1186" s="754"/>
      <c r="AO1186" s="754"/>
      <c r="AP1186" s="754"/>
      <c r="AQ1186" s="754"/>
      <c r="AR1186" s="754"/>
      <c r="AS1186" s="754"/>
      <c r="AT1186" s="754"/>
      <c r="AU1186" s="754"/>
    </row>
    <row r="1187" ht="15.75" customHeight="1">
      <c r="A1187" s="782"/>
      <c r="B1187" s="765"/>
      <c r="C1187" s="774"/>
      <c r="D1187" s="774"/>
      <c r="E1187" s="764"/>
      <c r="F1187" s="782"/>
      <c r="G1187" s="782"/>
      <c r="H1187" s="782"/>
      <c r="I1187" s="782"/>
      <c r="J1187" s="782"/>
      <c r="K1187" s="782"/>
      <c r="L1187" s="754"/>
      <c r="M1187" s="754"/>
      <c r="N1187" s="754"/>
      <c r="O1187" s="754"/>
      <c r="P1187" s="754"/>
      <c r="Q1187" s="754"/>
      <c r="R1187" s="754"/>
      <c r="S1187" s="754"/>
      <c r="T1187" s="754"/>
      <c r="U1187" s="754"/>
      <c r="V1187" s="754"/>
      <c r="W1187" s="754"/>
      <c r="X1187" s="754"/>
      <c r="Y1187" s="754"/>
      <c r="Z1187" s="754"/>
      <c r="AA1187" s="754"/>
      <c r="AB1187" s="754"/>
      <c r="AC1187" s="754"/>
      <c r="AD1187" s="754"/>
      <c r="AE1187" s="754"/>
      <c r="AF1187" s="754"/>
      <c r="AG1187" s="754"/>
      <c r="AH1187" s="754"/>
      <c r="AI1187" s="754"/>
      <c r="AJ1187" s="754"/>
      <c r="AK1187" s="754"/>
      <c r="AL1187" s="754"/>
      <c r="AM1187" s="754"/>
      <c r="AN1187" s="754"/>
      <c r="AO1187" s="754"/>
      <c r="AP1187" s="754"/>
      <c r="AQ1187" s="754"/>
      <c r="AR1187" s="754"/>
      <c r="AS1187" s="754"/>
      <c r="AT1187" s="754"/>
      <c r="AU1187" s="754"/>
    </row>
    <row r="1188" ht="15.75" customHeight="1">
      <c r="A1188" s="782"/>
      <c r="B1188" s="765"/>
      <c r="C1188" s="774"/>
      <c r="D1188" s="774"/>
      <c r="E1188" s="764"/>
      <c r="F1188" s="782"/>
      <c r="G1188" s="782"/>
      <c r="H1188" s="782"/>
      <c r="I1188" s="782"/>
      <c r="J1188" s="782"/>
      <c r="K1188" s="782"/>
      <c r="L1188" s="754"/>
      <c r="M1188" s="754"/>
      <c r="N1188" s="754"/>
      <c r="O1188" s="754"/>
      <c r="P1188" s="754"/>
      <c r="Q1188" s="754"/>
      <c r="R1188" s="754"/>
      <c r="S1188" s="754"/>
      <c r="T1188" s="754"/>
      <c r="U1188" s="754"/>
      <c r="V1188" s="754"/>
      <c r="W1188" s="754"/>
      <c r="X1188" s="754"/>
      <c r="Y1188" s="754"/>
      <c r="Z1188" s="754"/>
      <c r="AA1188" s="754"/>
      <c r="AB1188" s="754"/>
      <c r="AC1188" s="754"/>
      <c r="AD1188" s="754"/>
      <c r="AE1188" s="754"/>
      <c r="AF1188" s="754"/>
      <c r="AG1188" s="754"/>
      <c r="AH1188" s="754"/>
      <c r="AI1188" s="754"/>
      <c r="AJ1188" s="754"/>
      <c r="AK1188" s="754"/>
      <c r="AL1188" s="754"/>
      <c r="AM1188" s="754"/>
      <c r="AN1188" s="754"/>
      <c r="AO1188" s="754"/>
      <c r="AP1188" s="754"/>
      <c r="AQ1188" s="754"/>
      <c r="AR1188" s="754"/>
      <c r="AS1188" s="754"/>
      <c r="AT1188" s="754"/>
      <c r="AU1188" s="754"/>
    </row>
    <row r="1189" ht="15.75" customHeight="1">
      <c r="A1189" s="782"/>
      <c r="B1189" s="765"/>
      <c r="C1189" s="774"/>
      <c r="D1189" s="774"/>
      <c r="E1189" s="764"/>
      <c r="F1189" s="782"/>
      <c r="G1189" s="782"/>
      <c r="H1189" s="782"/>
      <c r="I1189" s="782"/>
      <c r="J1189" s="782"/>
      <c r="K1189" s="782"/>
      <c r="L1189" s="754"/>
      <c r="M1189" s="754"/>
      <c r="N1189" s="754"/>
      <c r="O1189" s="754"/>
      <c r="P1189" s="754"/>
      <c r="Q1189" s="754"/>
      <c r="R1189" s="754"/>
      <c r="S1189" s="754"/>
      <c r="T1189" s="754"/>
      <c r="U1189" s="754"/>
      <c r="V1189" s="754"/>
      <c r="W1189" s="754"/>
      <c r="X1189" s="754"/>
      <c r="Y1189" s="754"/>
      <c r="Z1189" s="754"/>
      <c r="AA1189" s="754"/>
      <c r="AB1189" s="754"/>
      <c r="AC1189" s="754"/>
      <c r="AD1189" s="754"/>
      <c r="AE1189" s="754"/>
      <c r="AF1189" s="754"/>
      <c r="AG1189" s="754"/>
      <c r="AH1189" s="754"/>
      <c r="AI1189" s="754"/>
      <c r="AJ1189" s="754"/>
      <c r="AK1189" s="754"/>
      <c r="AL1189" s="754"/>
      <c r="AM1189" s="754"/>
      <c r="AN1189" s="754"/>
      <c r="AO1189" s="754"/>
      <c r="AP1189" s="754"/>
      <c r="AQ1189" s="754"/>
      <c r="AR1189" s="754"/>
      <c r="AS1189" s="754"/>
      <c r="AT1189" s="754"/>
      <c r="AU1189" s="754"/>
    </row>
    <row r="1190" ht="15.75" customHeight="1">
      <c r="A1190" s="782"/>
      <c r="B1190" s="765"/>
      <c r="C1190" s="774"/>
      <c r="D1190" s="774"/>
      <c r="E1190" s="764"/>
      <c r="F1190" s="782"/>
      <c r="G1190" s="782"/>
      <c r="H1190" s="782"/>
      <c r="I1190" s="782"/>
      <c r="J1190" s="782"/>
      <c r="K1190" s="782"/>
      <c r="L1190" s="754"/>
      <c r="M1190" s="754"/>
      <c r="N1190" s="754"/>
      <c r="O1190" s="754"/>
      <c r="P1190" s="754"/>
      <c r="Q1190" s="754"/>
      <c r="R1190" s="754"/>
      <c r="S1190" s="754"/>
      <c r="T1190" s="754"/>
      <c r="U1190" s="754"/>
      <c r="V1190" s="754"/>
      <c r="W1190" s="754"/>
      <c r="X1190" s="754"/>
      <c r="Y1190" s="754"/>
      <c r="Z1190" s="754"/>
      <c r="AA1190" s="754"/>
      <c r="AB1190" s="754"/>
      <c r="AC1190" s="754"/>
      <c r="AD1190" s="754"/>
      <c r="AE1190" s="754"/>
      <c r="AF1190" s="754"/>
      <c r="AG1190" s="754"/>
      <c r="AH1190" s="754"/>
      <c r="AI1190" s="754"/>
      <c r="AJ1190" s="754"/>
      <c r="AK1190" s="754"/>
      <c r="AL1190" s="754"/>
      <c r="AM1190" s="754"/>
      <c r="AN1190" s="754"/>
      <c r="AO1190" s="754"/>
      <c r="AP1190" s="754"/>
      <c r="AQ1190" s="754"/>
      <c r="AR1190" s="754"/>
      <c r="AS1190" s="754"/>
      <c r="AT1190" s="754"/>
      <c r="AU1190" s="754"/>
    </row>
    <row r="1191" ht="15.75" customHeight="1">
      <c r="A1191" s="782"/>
      <c r="B1191" s="765"/>
      <c r="C1191" s="774"/>
      <c r="D1191" s="774"/>
      <c r="E1191" s="764"/>
      <c r="F1191" s="782"/>
      <c r="G1191" s="782"/>
      <c r="H1191" s="782"/>
      <c r="I1191" s="782"/>
      <c r="J1191" s="782"/>
      <c r="K1191" s="782"/>
      <c r="L1191" s="754"/>
      <c r="M1191" s="754"/>
      <c r="N1191" s="754"/>
      <c r="O1191" s="754"/>
      <c r="P1191" s="754"/>
      <c r="Q1191" s="754"/>
      <c r="R1191" s="754"/>
      <c r="S1191" s="754"/>
      <c r="T1191" s="754"/>
      <c r="U1191" s="754"/>
      <c r="V1191" s="754"/>
      <c r="W1191" s="754"/>
      <c r="X1191" s="754"/>
      <c r="Y1191" s="754"/>
      <c r="Z1191" s="754"/>
      <c r="AA1191" s="754"/>
      <c r="AB1191" s="754"/>
      <c r="AC1191" s="754"/>
      <c r="AD1191" s="754"/>
      <c r="AE1191" s="754"/>
      <c r="AF1191" s="754"/>
      <c r="AG1191" s="754"/>
      <c r="AH1191" s="754"/>
      <c r="AI1191" s="754"/>
      <c r="AJ1191" s="754"/>
      <c r="AK1191" s="754"/>
      <c r="AL1191" s="754"/>
      <c r="AM1191" s="754"/>
      <c r="AN1191" s="754"/>
      <c r="AO1191" s="754"/>
      <c r="AP1191" s="754"/>
      <c r="AQ1191" s="754"/>
      <c r="AR1191" s="754"/>
      <c r="AS1191" s="754"/>
      <c r="AT1191" s="754"/>
      <c r="AU1191" s="754"/>
    </row>
    <row r="1192" ht="15.75" customHeight="1">
      <c r="A1192" s="782"/>
      <c r="B1192" s="765"/>
      <c r="C1192" s="774"/>
      <c r="D1192" s="774"/>
      <c r="E1192" s="764"/>
      <c r="F1192" s="782"/>
      <c r="G1192" s="782"/>
      <c r="H1192" s="782"/>
      <c r="I1192" s="782"/>
      <c r="J1192" s="782"/>
      <c r="K1192" s="782"/>
      <c r="L1192" s="754"/>
      <c r="M1192" s="754"/>
      <c r="N1192" s="754"/>
      <c r="O1192" s="754"/>
      <c r="P1192" s="754"/>
      <c r="Q1192" s="754"/>
      <c r="R1192" s="754"/>
      <c r="S1192" s="754"/>
      <c r="T1192" s="754"/>
      <c r="U1192" s="754"/>
      <c r="V1192" s="754"/>
      <c r="W1192" s="754"/>
      <c r="X1192" s="754"/>
      <c r="Y1192" s="754"/>
      <c r="Z1192" s="754"/>
      <c r="AA1192" s="754"/>
      <c r="AB1192" s="754"/>
      <c r="AC1192" s="754"/>
      <c r="AD1192" s="754"/>
      <c r="AE1192" s="754"/>
      <c r="AF1192" s="754"/>
      <c r="AG1192" s="754"/>
      <c r="AH1192" s="754"/>
      <c r="AI1192" s="754"/>
      <c r="AJ1192" s="754"/>
      <c r="AK1192" s="754"/>
      <c r="AL1192" s="754"/>
      <c r="AM1192" s="754"/>
      <c r="AN1192" s="754"/>
      <c r="AO1192" s="754"/>
      <c r="AP1192" s="754"/>
      <c r="AQ1192" s="754"/>
      <c r="AR1192" s="754"/>
      <c r="AS1192" s="754"/>
      <c r="AT1192" s="754"/>
      <c r="AU1192" s="754"/>
    </row>
    <row r="1193" ht="15.75" customHeight="1">
      <c r="A1193" s="782"/>
      <c r="B1193" s="765"/>
      <c r="C1193" s="774"/>
      <c r="D1193" s="774"/>
      <c r="E1193" s="764"/>
      <c r="F1193" s="782"/>
      <c r="G1193" s="782"/>
      <c r="H1193" s="782"/>
      <c r="I1193" s="782"/>
      <c r="J1193" s="782"/>
      <c r="K1193" s="782"/>
      <c r="L1193" s="754"/>
      <c r="M1193" s="754"/>
      <c r="N1193" s="754"/>
      <c r="O1193" s="754"/>
      <c r="P1193" s="754"/>
      <c r="Q1193" s="754"/>
      <c r="R1193" s="754"/>
      <c r="S1193" s="754"/>
      <c r="T1193" s="754"/>
      <c r="U1193" s="754"/>
      <c r="V1193" s="754"/>
      <c r="W1193" s="754"/>
      <c r="X1193" s="754"/>
      <c r="Y1193" s="754"/>
      <c r="Z1193" s="754"/>
      <c r="AA1193" s="754"/>
      <c r="AB1193" s="754"/>
      <c r="AC1193" s="754"/>
      <c r="AD1193" s="754"/>
      <c r="AE1193" s="754"/>
      <c r="AF1193" s="754"/>
      <c r="AG1193" s="754"/>
      <c r="AH1193" s="754"/>
      <c r="AI1193" s="754"/>
      <c r="AJ1193" s="754"/>
      <c r="AK1193" s="754"/>
      <c r="AL1193" s="754"/>
      <c r="AM1193" s="754"/>
      <c r="AN1193" s="754"/>
      <c r="AO1193" s="754"/>
      <c r="AP1193" s="754"/>
      <c r="AQ1193" s="754"/>
      <c r="AR1193" s="754"/>
      <c r="AS1193" s="754"/>
      <c r="AT1193" s="754"/>
      <c r="AU1193" s="754"/>
    </row>
    <row r="1194" ht="15.75" customHeight="1">
      <c r="A1194" s="782"/>
      <c r="B1194" s="765"/>
      <c r="C1194" s="774"/>
      <c r="D1194" s="774"/>
      <c r="E1194" s="764"/>
      <c r="F1194" s="782"/>
      <c r="G1194" s="782"/>
      <c r="H1194" s="782"/>
      <c r="I1194" s="782"/>
      <c r="J1194" s="782"/>
      <c r="K1194" s="782"/>
      <c r="L1194" s="754"/>
      <c r="M1194" s="754"/>
      <c r="N1194" s="754"/>
      <c r="O1194" s="754"/>
      <c r="P1194" s="754"/>
      <c r="Q1194" s="754"/>
      <c r="R1194" s="754"/>
      <c r="S1194" s="754"/>
      <c r="T1194" s="754"/>
      <c r="U1194" s="754"/>
      <c r="V1194" s="754"/>
      <c r="W1194" s="754"/>
      <c r="X1194" s="754"/>
      <c r="Y1194" s="754"/>
      <c r="Z1194" s="754"/>
      <c r="AA1194" s="754"/>
      <c r="AB1194" s="754"/>
      <c r="AC1194" s="754"/>
      <c r="AD1194" s="754"/>
      <c r="AE1194" s="754"/>
      <c r="AF1194" s="754"/>
      <c r="AG1194" s="754"/>
      <c r="AH1194" s="754"/>
      <c r="AI1194" s="754"/>
      <c r="AJ1194" s="754"/>
      <c r="AK1194" s="754"/>
      <c r="AL1194" s="754"/>
      <c r="AM1194" s="754"/>
      <c r="AN1194" s="754"/>
      <c r="AO1194" s="754"/>
      <c r="AP1194" s="754"/>
      <c r="AQ1194" s="754"/>
      <c r="AR1194" s="754"/>
      <c r="AS1194" s="754"/>
      <c r="AT1194" s="754"/>
      <c r="AU1194" s="754"/>
    </row>
    <row r="1195" ht="15.75" customHeight="1">
      <c r="A1195" s="782"/>
      <c r="B1195" s="765"/>
      <c r="C1195" s="774"/>
      <c r="D1195" s="774"/>
      <c r="E1195" s="764"/>
      <c r="F1195" s="782"/>
      <c r="G1195" s="782"/>
      <c r="H1195" s="782"/>
      <c r="I1195" s="782"/>
      <c r="J1195" s="782"/>
      <c r="K1195" s="782"/>
      <c r="L1195" s="754"/>
      <c r="M1195" s="754"/>
      <c r="N1195" s="754"/>
      <c r="O1195" s="754"/>
      <c r="P1195" s="754"/>
      <c r="Q1195" s="754"/>
      <c r="R1195" s="754"/>
      <c r="S1195" s="754"/>
      <c r="T1195" s="754"/>
      <c r="U1195" s="754"/>
      <c r="V1195" s="754"/>
      <c r="W1195" s="754"/>
      <c r="X1195" s="754"/>
      <c r="Y1195" s="754"/>
      <c r="Z1195" s="754"/>
      <c r="AA1195" s="754"/>
      <c r="AB1195" s="754"/>
      <c r="AC1195" s="754"/>
      <c r="AD1195" s="754"/>
      <c r="AE1195" s="754"/>
      <c r="AF1195" s="754"/>
      <c r="AG1195" s="754"/>
      <c r="AH1195" s="754"/>
      <c r="AI1195" s="754"/>
      <c r="AJ1195" s="754"/>
      <c r="AK1195" s="754"/>
      <c r="AL1195" s="754"/>
      <c r="AM1195" s="754"/>
      <c r="AN1195" s="754"/>
      <c r="AO1195" s="754"/>
      <c r="AP1195" s="754"/>
      <c r="AQ1195" s="754"/>
      <c r="AR1195" s="754"/>
      <c r="AS1195" s="754"/>
      <c r="AT1195" s="754"/>
      <c r="AU1195" s="754"/>
    </row>
    <row r="1196" ht="15.75" customHeight="1">
      <c r="A1196" s="782"/>
      <c r="B1196" s="765"/>
      <c r="C1196" s="774"/>
      <c r="D1196" s="774"/>
      <c r="E1196" s="764"/>
      <c r="F1196" s="782"/>
      <c r="G1196" s="782"/>
      <c r="H1196" s="782"/>
      <c r="I1196" s="782"/>
      <c r="J1196" s="782"/>
      <c r="K1196" s="782"/>
      <c r="L1196" s="754"/>
      <c r="M1196" s="754"/>
      <c r="N1196" s="754"/>
      <c r="O1196" s="754"/>
      <c r="P1196" s="754"/>
      <c r="Q1196" s="754"/>
      <c r="R1196" s="754"/>
      <c r="S1196" s="754"/>
      <c r="T1196" s="754"/>
      <c r="U1196" s="754"/>
      <c r="V1196" s="754"/>
      <c r="W1196" s="754"/>
      <c r="X1196" s="754"/>
      <c r="Y1196" s="754"/>
      <c r="Z1196" s="754"/>
      <c r="AA1196" s="754"/>
      <c r="AB1196" s="754"/>
      <c r="AC1196" s="754"/>
      <c r="AD1196" s="754"/>
      <c r="AE1196" s="754"/>
      <c r="AF1196" s="754"/>
      <c r="AG1196" s="754"/>
      <c r="AH1196" s="754"/>
      <c r="AI1196" s="754"/>
      <c r="AJ1196" s="754"/>
      <c r="AK1196" s="754"/>
      <c r="AL1196" s="754"/>
      <c r="AM1196" s="754"/>
      <c r="AN1196" s="754"/>
      <c r="AO1196" s="754"/>
      <c r="AP1196" s="754"/>
      <c r="AQ1196" s="754"/>
      <c r="AR1196" s="754"/>
      <c r="AS1196" s="754"/>
      <c r="AT1196" s="754"/>
      <c r="AU1196" s="754"/>
    </row>
    <row r="1197" ht="15.75" customHeight="1">
      <c r="A1197" s="782"/>
      <c r="B1197" s="765"/>
      <c r="C1197" s="774"/>
      <c r="D1197" s="774"/>
      <c r="E1197" s="764"/>
      <c r="F1197" s="782"/>
      <c r="G1197" s="782"/>
      <c r="H1197" s="782"/>
      <c r="I1197" s="782"/>
      <c r="J1197" s="782"/>
      <c r="K1197" s="782"/>
      <c r="L1197" s="754"/>
      <c r="M1197" s="754"/>
      <c r="N1197" s="754"/>
      <c r="O1197" s="754"/>
      <c r="P1197" s="754"/>
      <c r="Q1197" s="754"/>
      <c r="R1197" s="754"/>
      <c r="S1197" s="754"/>
      <c r="T1197" s="754"/>
      <c r="U1197" s="754"/>
      <c r="V1197" s="754"/>
      <c r="W1197" s="754"/>
      <c r="X1197" s="754"/>
      <c r="Y1197" s="754"/>
      <c r="Z1197" s="754"/>
      <c r="AA1197" s="754"/>
      <c r="AB1197" s="754"/>
      <c r="AC1197" s="754"/>
      <c r="AD1197" s="754"/>
      <c r="AE1197" s="754"/>
      <c r="AF1197" s="754"/>
      <c r="AG1197" s="754"/>
      <c r="AH1197" s="754"/>
      <c r="AI1197" s="754"/>
      <c r="AJ1197" s="754"/>
      <c r="AK1197" s="754"/>
      <c r="AL1197" s="754"/>
      <c r="AM1197" s="754"/>
      <c r="AN1197" s="754"/>
      <c r="AO1197" s="754"/>
      <c r="AP1197" s="754"/>
      <c r="AQ1197" s="754"/>
      <c r="AR1197" s="754"/>
      <c r="AS1197" s="754"/>
      <c r="AT1197" s="754"/>
      <c r="AU1197" s="754"/>
    </row>
    <row r="1198" ht="15.75" customHeight="1">
      <c r="A1198" s="782"/>
      <c r="B1198" s="765"/>
      <c r="C1198" s="774"/>
      <c r="D1198" s="774"/>
      <c r="E1198" s="764"/>
      <c r="F1198" s="782"/>
      <c r="G1198" s="782"/>
      <c r="H1198" s="782"/>
      <c r="I1198" s="782"/>
      <c r="J1198" s="782"/>
      <c r="K1198" s="782"/>
      <c r="L1198" s="754"/>
      <c r="M1198" s="754"/>
      <c r="N1198" s="754"/>
      <c r="O1198" s="754"/>
      <c r="P1198" s="754"/>
      <c r="Q1198" s="754"/>
      <c r="R1198" s="754"/>
      <c r="S1198" s="754"/>
      <c r="T1198" s="754"/>
      <c r="U1198" s="754"/>
      <c r="V1198" s="754"/>
      <c r="W1198" s="754"/>
      <c r="X1198" s="754"/>
      <c r="Y1198" s="754"/>
      <c r="Z1198" s="754"/>
      <c r="AA1198" s="754"/>
      <c r="AB1198" s="754"/>
      <c r="AC1198" s="754"/>
      <c r="AD1198" s="754"/>
      <c r="AE1198" s="754"/>
      <c r="AF1198" s="754"/>
      <c r="AG1198" s="754"/>
      <c r="AH1198" s="754"/>
      <c r="AI1198" s="754"/>
      <c r="AJ1198" s="754"/>
      <c r="AK1198" s="754"/>
      <c r="AL1198" s="754"/>
      <c r="AM1198" s="754"/>
      <c r="AN1198" s="754"/>
      <c r="AO1198" s="754"/>
      <c r="AP1198" s="754"/>
      <c r="AQ1198" s="754"/>
      <c r="AR1198" s="754"/>
      <c r="AS1198" s="754"/>
      <c r="AT1198" s="754"/>
      <c r="AU1198" s="754"/>
    </row>
    <row r="1199" ht="15.75" customHeight="1">
      <c r="A1199" s="782"/>
      <c r="B1199" s="765"/>
      <c r="C1199" s="774"/>
      <c r="D1199" s="774"/>
      <c r="E1199" s="764"/>
      <c r="F1199" s="782"/>
      <c r="G1199" s="782"/>
      <c r="H1199" s="782"/>
      <c r="I1199" s="782"/>
      <c r="J1199" s="782"/>
      <c r="K1199" s="782"/>
      <c r="L1199" s="754"/>
      <c r="M1199" s="754"/>
      <c r="N1199" s="754"/>
      <c r="O1199" s="754"/>
      <c r="P1199" s="754"/>
      <c r="Q1199" s="754"/>
      <c r="R1199" s="754"/>
      <c r="S1199" s="754"/>
      <c r="T1199" s="754"/>
      <c r="U1199" s="754"/>
      <c r="V1199" s="754"/>
      <c r="W1199" s="754"/>
      <c r="X1199" s="754"/>
      <c r="Y1199" s="754"/>
      <c r="Z1199" s="754"/>
      <c r="AA1199" s="754"/>
      <c r="AB1199" s="754"/>
      <c r="AC1199" s="754"/>
      <c r="AD1199" s="754"/>
      <c r="AE1199" s="754"/>
      <c r="AF1199" s="754"/>
      <c r="AG1199" s="754"/>
      <c r="AH1199" s="754"/>
      <c r="AI1199" s="754"/>
      <c r="AJ1199" s="754"/>
      <c r="AK1199" s="754"/>
      <c r="AL1199" s="754"/>
      <c r="AM1199" s="754"/>
      <c r="AN1199" s="754"/>
      <c r="AO1199" s="754"/>
      <c r="AP1199" s="754"/>
      <c r="AQ1199" s="754"/>
      <c r="AR1199" s="754"/>
      <c r="AS1199" s="754"/>
      <c r="AT1199" s="754"/>
      <c r="AU1199" s="754"/>
    </row>
    <row r="1200" ht="15.75" customHeight="1">
      <c r="A1200" s="782"/>
      <c r="B1200" s="765"/>
      <c r="C1200" s="774"/>
      <c r="D1200" s="774"/>
      <c r="E1200" s="764"/>
      <c r="F1200" s="782"/>
      <c r="G1200" s="782"/>
      <c r="H1200" s="782"/>
      <c r="I1200" s="782"/>
      <c r="J1200" s="782"/>
      <c r="K1200" s="782"/>
      <c r="L1200" s="754"/>
      <c r="M1200" s="754"/>
      <c r="N1200" s="754"/>
      <c r="O1200" s="754"/>
      <c r="P1200" s="754"/>
      <c r="Q1200" s="754"/>
      <c r="R1200" s="754"/>
      <c r="S1200" s="754"/>
      <c r="T1200" s="754"/>
      <c r="U1200" s="754"/>
      <c r="V1200" s="754"/>
      <c r="W1200" s="754"/>
      <c r="X1200" s="754"/>
      <c r="Y1200" s="754"/>
      <c r="Z1200" s="754"/>
      <c r="AA1200" s="754"/>
      <c r="AB1200" s="754"/>
      <c r="AC1200" s="754"/>
      <c r="AD1200" s="754"/>
      <c r="AE1200" s="754"/>
      <c r="AF1200" s="754"/>
      <c r="AG1200" s="754"/>
      <c r="AH1200" s="754"/>
      <c r="AI1200" s="754"/>
      <c r="AJ1200" s="754"/>
      <c r="AK1200" s="754"/>
      <c r="AL1200" s="754"/>
      <c r="AM1200" s="754"/>
      <c r="AN1200" s="754"/>
      <c r="AO1200" s="754"/>
      <c r="AP1200" s="754"/>
      <c r="AQ1200" s="754"/>
      <c r="AR1200" s="754"/>
      <c r="AS1200" s="754"/>
      <c r="AT1200" s="754"/>
      <c r="AU1200" s="754"/>
    </row>
    <row r="1201" ht="15.75" customHeight="1">
      <c r="A1201" s="782"/>
      <c r="B1201" s="765"/>
      <c r="C1201" s="774"/>
      <c r="D1201" s="774"/>
      <c r="E1201" s="764"/>
      <c r="F1201" s="782"/>
      <c r="G1201" s="782"/>
      <c r="H1201" s="782"/>
      <c r="I1201" s="782"/>
      <c r="J1201" s="782"/>
      <c r="K1201" s="782"/>
      <c r="L1201" s="754"/>
      <c r="M1201" s="754"/>
      <c r="N1201" s="754"/>
      <c r="O1201" s="754"/>
      <c r="P1201" s="754"/>
      <c r="Q1201" s="754"/>
      <c r="R1201" s="754"/>
      <c r="S1201" s="754"/>
      <c r="T1201" s="754"/>
      <c r="U1201" s="754"/>
      <c r="V1201" s="754"/>
      <c r="W1201" s="754"/>
      <c r="X1201" s="754"/>
      <c r="Y1201" s="754"/>
      <c r="Z1201" s="754"/>
      <c r="AA1201" s="754"/>
      <c r="AB1201" s="754"/>
      <c r="AC1201" s="754"/>
      <c r="AD1201" s="754"/>
      <c r="AE1201" s="754"/>
      <c r="AF1201" s="754"/>
      <c r="AG1201" s="754"/>
      <c r="AH1201" s="754"/>
      <c r="AI1201" s="754"/>
      <c r="AJ1201" s="754"/>
      <c r="AK1201" s="754"/>
      <c r="AL1201" s="754"/>
      <c r="AM1201" s="754"/>
      <c r="AN1201" s="754"/>
      <c r="AO1201" s="754"/>
      <c r="AP1201" s="754"/>
      <c r="AQ1201" s="754"/>
      <c r="AR1201" s="754"/>
      <c r="AS1201" s="754"/>
      <c r="AT1201" s="754"/>
      <c r="AU1201" s="754"/>
    </row>
    <row r="1202" ht="15.75" customHeight="1">
      <c r="A1202" s="782"/>
      <c r="B1202" s="765"/>
      <c r="C1202" s="774"/>
      <c r="D1202" s="774"/>
      <c r="E1202" s="764"/>
      <c r="F1202" s="782"/>
      <c r="G1202" s="782"/>
      <c r="H1202" s="782"/>
      <c r="I1202" s="782"/>
      <c r="J1202" s="782"/>
      <c r="K1202" s="782"/>
      <c r="L1202" s="754"/>
      <c r="M1202" s="754"/>
      <c r="N1202" s="754"/>
      <c r="O1202" s="754"/>
      <c r="P1202" s="754"/>
      <c r="Q1202" s="754"/>
      <c r="R1202" s="754"/>
      <c r="S1202" s="754"/>
      <c r="T1202" s="754"/>
      <c r="U1202" s="754"/>
      <c r="V1202" s="754"/>
      <c r="W1202" s="754"/>
      <c r="X1202" s="754"/>
      <c r="Y1202" s="754"/>
      <c r="Z1202" s="754"/>
      <c r="AA1202" s="754"/>
      <c r="AB1202" s="754"/>
      <c r="AC1202" s="754"/>
      <c r="AD1202" s="754"/>
      <c r="AE1202" s="754"/>
      <c r="AF1202" s="754"/>
      <c r="AG1202" s="754"/>
      <c r="AH1202" s="754"/>
      <c r="AI1202" s="754"/>
      <c r="AJ1202" s="754"/>
      <c r="AK1202" s="754"/>
      <c r="AL1202" s="754"/>
      <c r="AM1202" s="754"/>
      <c r="AN1202" s="754"/>
      <c r="AO1202" s="754"/>
      <c r="AP1202" s="754"/>
      <c r="AQ1202" s="754"/>
      <c r="AR1202" s="754"/>
      <c r="AS1202" s="754"/>
      <c r="AT1202" s="754"/>
      <c r="AU1202" s="754"/>
    </row>
    <row r="1203" ht="15.75" customHeight="1">
      <c r="A1203" s="782"/>
      <c r="B1203" s="765"/>
      <c r="C1203" s="774"/>
      <c r="D1203" s="774"/>
      <c r="E1203" s="764"/>
      <c r="F1203" s="782"/>
      <c r="G1203" s="782"/>
      <c r="H1203" s="782"/>
      <c r="I1203" s="782"/>
      <c r="J1203" s="782"/>
      <c r="K1203" s="782"/>
      <c r="L1203" s="754"/>
      <c r="M1203" s="754"/>
      <c r="N1203" s="754"/>
      <c r="O1203" s="754"/>
      <c r="P1203" s="754"/>
      <c r="Q1203" s="754"/>
      <c r="R1203" s="754"/>
      <c r="S1203" s="754"/>
      <c r="T1203" s="754"/>
      <c r="U1203" s="754"/>
      <c r="V1203" s="754"/>
      <c r="W1203" s="754"/>
      <c r="X1203" s="754"/>
      <c r="Y1203" s="754"/>
      <c r="Z1203" s="754"/>
      <c r="AA1203" s="754"/>
      <c r="AB1203" s="754"/>
      <c r="AC1203" s="754"/>
      <c r="AD1203" s="754"/>
      <c r="AE1203" s="754"/>
      <c r="AF1203" s="754"/>
      <c r="AG1203" s="754"/>
      <c r="AH1203" s="754"/>
      <c r="AI1203" s="754"/>
      <c r="AJ1203" s="754"/>
      <c r="AK1203" s="754"/>
      <c r="AL1203" s="754"/>
      <c r="AM1203" s="754"/>
      <c r="AN1203" s="754"/>
      <c r="AO1203" s="754"/>
      <c r="AP1203" s="754"/>
      <c r="AQ1203" s="754"/>
      <c r="AR1203" s="754"/>
      <c r="AS1203" s="754"/>
      <c r="AT1203" s="754"/>
      <c r="AU1203" s="754"/>
    </row>
    <row r="1204" ht="15.75" customHeight="1">
      <c r="A1204" s="782"/>
      <c r="B1204" s="765"/>
      <c r="C1204" s="774"/>
      <c r="D1204" s="774"/>
      <c r="E1204" s="764"/>
      <c r="F1204" s="782"/>
      <c r="G1204" s="782"/>
      <c r="H1204" s="782"/>
      <c r="I1204" s="782"/>
      <c r="J1204" s="782"/>
      <c r="K1204" s="782"/>
      <c r="L1204" s="754"/>
      <c r="M1204" s="754"/>
      <c r="N1204" s="754"/>
      <c r="O1204" s="754"/>
      <c r="P1204" s="754"/>
      <c r="Q1204" s="754"/>
      <c r="R1204" s="754"/>
      <c r="S1204" s="754"/>
      <c r="T1204" s="754"/>
      <c r="U1204" s="754"/>
      <c r="V1204" s="754"/>
      <c r="W1204" s="754"/>
      <c r="X1204" s="754"/>
      <c r="Y1204" s="754"/>
      <c r="Z1204" s="754"/>
      <c r="AA1204" s="754"/>
      <c r="AB1204" s="754"/>
      <c r="AC1204" s="754"/>
      <c r="AD1204" s="754"/>
      <c r="AE1204" s="754"/>
      <c r="AF1204" s="754"/>
      <c r="AG1204" s="754"/>
      <c r="AH1204" s="754"/>
      <c r="AI1204" s="754"/>
      <c r="AJ1204" s="754"/>
      <c r="AK1204" s="754"/>
      <c r="AL1204" s="754"/>
      <c r="AM1204" s="754"/>
      <c r="AN1204" s="754"/>
      <c r="AO1204" s="754"/>
      <c r="AP1204" s="754"/>
      <c r="AQ1204" s="754"/>
      <c r="AR1204" s="754"/>
      <c r="AS1204" s="754"/>
      <c r="AT1204" s="754"/>
      <c r="AU1204" s="754"/>
    </row>
    <row r="1205" ht="15.75" customHeight="1">
      <c r="A1205" s="782"/>
      <c r="B1205" s="765"/>
      <c r="C1205" s="774"/>
      <c r="D1205" s="774"/>
      <c r="E1205" s="764"/>
      <c r="F1205" s="782"/>
      <c r="G1205" s="782"/>
      <c r="H1205" s="782"/>
      <c r="I1205" s="782"/>
      <c r="J1205" s="782"/>
      <c r="K1205" s="782"/>
      <c r="L1205" s="754"/>
      <c r="M1205" s="754"/>
      <c r="N1205" s="754"/>
      <c r="O1205" s="754"/>
      <c r="P1205" s="754"/>
      <c r="Q1205" s="754"/>
      <c r="R1205" s="754"/>
      <c r="S1205" s="754"/>
      <c r="T1205" s="754"/>
      <c r="U1205" s="754"/>
      <c r="V1205" s="754"/>
      <c r="W1205" s="754"/>
      <c r="X1205" s="754"/>
      <c r="Y1205" s="754"/>
      <c r="Z1205" s="754"/>
      <c r="AA1205" s="754"/>
      <c r="AB1205" s="754"/>
      <c r="AC1205" s="754"/>
      <c r="AD1205" s="754"/>
      <c r="AE1205" s="754"/>
      <c r="AF1205" s="754"/>
      <c r="AG1205" s="754"/>
      <c r="AH1205" s="754"/>
      <c r="AI1205" s="754"/>
      <c r="AJ1205" s="754"/>
      <c r="AK1205" s="754"/>
      <c r="AL1205" s="754"/>
      <c r="AM1205" s="754"/>
      <c r="AN1205" s="754"/>
      <c r="AO1205" s="754"/>
      <c r="AP1205" s="754"/>
      <c r="AQ1205" s="754"/>
      <c r="AR1205" s="754"/>
      <c r="AS1205" s="754"/>
      <c r="AT1205" s="754"/>
      <c r="AU1205" s="754"/>
    </row>
    <row r="1206" ht="15.75" customHeight="1">
      <c r="A1206" s="782"/>
      <c r="B1206" s="765"/>
      <c r="C1206" s="774"/>
      <c r="D1206" s="774"/>
      <c r="E1206" s="764"/>
      <c r="F1206" s="782"/>
      <c r="G1206" s="782"/>
      <c r="H1206" s="782"/>
      <c r="I1206" s="782"/>
      <c r="J1206" s="782"/>
      <c r="K1206" s="782"/>
      <c r="L1206" s="754"/>
      <c r="M1206" s="754"/>
      <c r="N1206" s="754"/>
      <c r="O1206" s="754"/>
      <c r="P1206" s="754"/>
      <c r="Q1206" s="754"/>
      <c r="R1206" s="754"/>
      <c r="S1206" s="754"/>
      <c r="T1206" s="754"/>
      <c r="U1206" s="754"/>
      <c r="V1206" s="754"/>
      <c r="W1206" s="754"/>
      <c r="X1206" s="754"/>
      <c r="Y1206" s="754"/>
      <c r="Z1206" s="754"/>
      <c r="AA1206" s="754"/>
      <c r="AB1206" s="754"/>
      <c r="AC1206" s="754"/>
      <c r="AD1206" s="754"/>
      <c r="AE1206" s="754"/>
      <c r="AF1206" s="754"/>
      <c r="AG1206" s="754"/>
      <c r="AH1206" s="754"/>
      <c r="AI1206" s="754"/>
      <c r="AJ1206" s="754"/>
      <c r="AK1206" s="754"/>
      <c r="AL1206" s="754"/>
      <c r="AM1206" s="754"/>
      <c r="AN1206" s="754"/>
      <c r="AO1206" s="754"/>
      <c r="AP1206" s="754"/>
      <c r="AQ1206" s="754"/>
      <c r="AR1206" s="754"/>
      <c r="AS1206" s="754"/>
      <c r="AT1206" s="754"/>
      <c r="AU1206" s="754"/>
    </row>
    <row r="1207" ht="15.75" customHeight="1">
      <c r="A1207" s="782"/>
      <c r="B1207" s="765"/>
      <c r="C1207" s="774"/>
      <c r="D1207" s="774"/>
      <c r="E1207" s="764"/>
      <c r="F1207" s="782"/>
      <c r="G1207" s="782"/>
      <c r="H1207" s="782"/>
      <c r="I1207" s="782"/>
      <c r="J1207" s="782"/>
      <c r="K1207" s="782"/>
      <c r="L1207" s="754"/>
      <c r="M1207" s="754"/>
      <c r="N1207" s="754"/>
      <c r="O1207" s="754"/>
      <c r="P1207" s="754"/>
      <c r="Q1207" s="754"/>
      <c r="R1207" s="754"/>
      <c r="S1207" s="754"/>
      <c r="T1207" s="754"/>
      <c r="U1207" s="754"/>
      <c r="V1207" s="754"/>
      <c r="W1207" s="754"/>
      <c r="X1207" s="754"/>
      <c r="Y1207" s="754"/>
      <c r="Z1207" s="754"/>
      <c r="AA1207" s="754"/>
      <c r="AB1207" s="754"/>
      <c r="AC1207" s="754"/>
      <c r="AD1207" s="754"/>
      <c r="AE1207" s="754"/>
      <c r="AF1207" s="754"/>
      <c r="AG1207" s="754"/>
      <c r="AH1207" s="754"/>
      <c r="AI1207" s="754"/>
      <c r="AJ1207" s="754"/>
      <c r="AK1207" s="754"/>
      <c r="AL1207" s="754"/>
      <c r="AM1207" s="754"/>
      <c r="AN1207" s="754"/>
      <c r="AO1207" s="754"/>
      <c r="AP1207" s="754"/>
      <c r="AQ1207" s="754"/>
      <c r="AR1207" s="754"/>
      <c r="AS1207" s="754"/>
      <c r="AT1207" s="754"/>
      <c r="AU1207" s="754"/>
    </row>
    <row r="1208" ht="15.75" customHeight="1">
      <c r="A1208" s="782"/>
      <c r="B1208" s="765"/>
      <c r="C1208" s="774"/>
      <c r="D1208" s="774"/>
      <c r="E1208" s="764"/>
      <c r="F1208" s="782"/>
      <c r="G1208" s="782"/>
      <c r="H1208" s="782"/>
      <c r="I1208" s="782"/>
      <c r="J1208" s="782"/>
      <c r="K1208" s="782"/>
      <c r="L1208" s="754"/>
      <c r="M1208" s="754"/>
      <c r="N1208" s="754"/>
      <c r="O1208" s="754"/>
      <c r="P1208" s="754"/>
      <c r="Q1208" s="754"/>
      <c r="R1208" s="754"/>
      <c r="S1208" s="754"/>
      <c r="T1208" s="754"/>
      <c r="U1208" s="754"/>
      <c r="V1208" s="754"/>
      <c r="W1208" s="754"/>
      <c r="X1208" s="754"/>
      <c r="Y1208" s="754"/>
      <c r="Z1208" s="754"/>
      <c r="AA1208" s="754"/>
      <c r="AB1208" s="754"/>
      <c r="AC1208" s="754"/>
      <c r="AD1208" s="754"/>
      <c r="AE1208" s="754"/>
      <c r="AF1208" s="754"/>
      <c r="AG1208" s="754"/>
      <c r="AH1208" s="754"/>
      <c r="AI1208" s="754"/>
      <c r="AJ1208" s="754"/>
      <c r="AK1208" s="754"/>
      <c r="AL1208" s="754"/>
      <c r="AM1208" s="754"/>
      <c r="AN1208" s="754"/>
      <c r="AO1208" s="754"/>
      <c r="AP1208" s="754"/>
      <c r="AQ1208" s="754"/>
      <c r="AR1208" s="754"/>
      <c r="AS1208" s="754"/>
      <c r="AT1208" s="754"/>
      <c r="AU1208" s="754"/>
    </row>
    <row r="1209" ht="15.75" customHeight="1">
      <c r="A1209" s="782"/>
      <c r="B1209" s="765"/>
      <c r="C1209" s="774"/>
      <c r="D1209" s="774"/>
      <c r="E1209" s="764"/>
      <c r="F1209" s="782"/>
      <c r="G1209" s="782"/>
      <c r="H1209" s="782"/>
      <c r="I1209" s="782"/>
      <c r="J1209" s="782"/>
      <c r="K1209" s="782"/>
      <c r="L1209" s="754"/>
      <c r="M1209" s="754"/>
      <c r="N1209" s="754"/>
      <c r="O1209" s="754"/>
      <c r="P1209" s="754"/>
      <c r="Q1209" s="754"/>
      <c r="R1209" s="754"/>
      <c r="S1209" s="754"/>
      <c r="T1209" s="754"/>
      <c r="U1209" s="754"/>
      <c r="V1209" s="754"/>
      <c r="W1209" s="754"/>
      <c r="X1209" s="754"/>
      <c r="Y1209" s="754"/>
      <c r="Z1209" s="754"/>
      <c r="AA1209" s="754"/>
      <c r="AB1209" s="754"/>
      <c r="AC1209" s="754"/>
      <c r="AD1209" s="754"/>
      <c r="AE1209" s="754"/>
      <c r="AF1209" s="754"/>
      <c r="AG1209" s="754"/>
      <c r="AH1209" s="754"/>
      <c r="AI1209" s="754"/>
      <c r="AJ1209" s="754"/>
      <c r="AK1209" s="754"/>
      <c r="AL1209" s="754"/>
      <c r="AM1209" s="754"/>
      <c r="AN1209" s="754"/>
      <c r="AO1209" s="754"/>
      <c r="AP1209" s="754"/>
      <c r="AQ1209" s="754"/>
      <c r="AR1209" s="754"/>
      <c r="AS1209" s="754"/>
      <c r="AT1209" s="754"/>
      <c r="AU1209" s="754"/>
    </row>
    <row r="1210" ht="15.75" customHeight="1">
      <c r="A1210" s="782"/>
      <c r="B1210" s="765"/>
      <c r="C1210" s="774"/>
      <c r="D1210" s="774"/>
      <c r="E1210" s="764"/>
      <c r="F1210" s="782"/>
      <c r="G1210" s="782"/>
      <c r="H1210" s="782"/>
      <c r="I1210" s="782"/>
      <c r="J1210" s="782"/>
      <c r="K1210" s="782"/>
      <c r="L1210" s="754"/>
      <c r="M1210" s="754"/>
      <c r="N1210" s="754"/>
      <c r="O1210" s="754"/>
      <c r="P1210" s="754"/>
      <c r="Q1210" s="754"/>
      <c r="R1210" s="754"/>
      <c r="S1210" s="754"/>
      <c r="T1210" s="754"/>
      <c r="U1210" s="754"/>
      <c r="V1210" s="754"/>
      <c r="W1210" s="754"/>
      <c r="X1210" s="754"/>
      <c r="Y1210" s="754"/>
      <c r="Z1210" s="754"/>
      <c r="AA1210" s="754"/>
      <c r="AB1210" s="754"/>
      <c r="AC1210" s="754"/>
      <c r="AD1210" s="754"/>
      <c r="AE1210" s="754"/>
      <c r="AF1210" s="754"/>
      <c r="AG1210" s="754"/>
      <c r="AH1210" s="754"/>
      <c r="AI1210" s="754"/>
      <c r="AJ1210" s="754"/>
      <c r="AK1210" s="754"/>
      <c r="AL1210" s="754"/>
      <c r="AM1210" s="754"/>
      <c r="AN1210" s="754"/>
      <c r="AO1210" s="754"/>
      <c r="AP1210" s="754"/>
      <c r="AQ1210" s="754"/>
      <c r="AR1210" s="754"/>
      <c r="AS1210" s="754"/>
      <c r="AT1210" s="754"/>
      <c r="AU1210" s="754"/>
    </row>
    <row r="1211" ht="15.75" customHeight="1">
      <c r="A1211" s="782"/>
      <c r="B1211" s="765"/>
      <c r="C1211" s="774"/>
      <c r="D1211" s="774"/>
      <c r="E1211" s="764"/>
      <c r="F1211" s="782"/>
      <c r="G1211" s="782"/>
      <c r="H1211" s="782"/>
      <c r="I1211" s="782"/>
      <c r="J1211" s="782"/>
      <c r="K1211" s="782"/>
      <c r="L1211" s="754"/>
      <c r="M1211" s="754"/>
      <c r="N1211" s="754"/>
      <c r="O1211" s="754"/>
      <c r="P1211" s="754"/>
      <c r="Q1211" s="754"/>
      <c r="R1211" s="754"/>
      <c r="S1211" s="754"/>
      <c r="T1211" s="754"/>
      <c r="U1211" s="754"/>
      <c r="V1211" s="754"/>
      <c r="W1211" s="754"/>
      <c r="X1211" s="754"/>
      <c r="Y1211" s="754"/>
      <c r="Z1211" s="754"/>
      <c r="AA1211" s="754"/>
      <c r="AB1211" s="754"/>
      <c r="AC1211" s="754"/>
      <c r="AD1211" s="754"/>
      <c r="AE1211" s="754"/>
      <c r="AF1211" s="754"/>
      <c r="AG1211" s="754"/>
      <c r="AH1211" s="754"/>
      <c r="AI1211" s="754"/>
      <c r="AJ1211" s="754"/>
      <c r="AK1211" s="754"/>
      <c r="AL1211" s="754"/>
      <c r="AM1211" s="754"/>
      <c r="AN1211" s="754"/>
      <c r="AO1211" s="754"/>
      <c r="AP1211" s="754"/>
      <c r="AQ1211" s="754"/>
      <c r="AR1211" s="754"/>
      <c r="AS1211" s="754"/>
      <c r="AT1211" s="754"/>
      <c r="AU1211" s="754"/>
    </row>
    <row r="1212" ht="15.75" customHeight="1">
      <c r="A1212" s="782"/>
      <c r="B1212" s="765"/>
      <c r="C1212" s="774"/>
      <c r="D1212" s="774"/>
      <c r="E1212" s="764"/>
      <c r="F1212" s="782"/>
      <c r="G1212" s="782"/>
      <c r="H1212" s="782"/>
      <c r="I1212" s="782"/>
      <c r="J1212" s="782"/>
      <c r="K1212" s="782"/>
      <c r="L1212" s="754"/>
      <c r="M1212" s="754"/>
      <c r="N1212" s="754"/>
      <c r="O1212" s="754"/>
      <c r="P1212" s="754"/>
      <c r="Q1212" s="754"/>
      <c r="R1212" s="754"/>
      <c r="S1212" s="754"/>
      <c r="T1212" s="754"/>
      <c r="U1212" s="754"/>
      <c r="V1212" s="754"/>
      <c r="W1212" s="754"/>
      <c r="X1212" s="754"/>
      <c r="Y1212" s="754"/>
      <c r="Z1212" s="754"/>
      <c r="AA1212" s="754"/>
      <c r="AB1212" s="754"/>
      <c r="AC1212" s="754"/>
      <c r="AD1212" s="754"/>
      <c r="AE1212" s="754"/>
      <c r="AF1212" s="754"/>
      <c r="AG1212" s="754"/>
      <c r="AH1212" s="754"/>
      <c r="AI1212" s="754"/>
      <c r="AJ1212" s="754"/>
      <c r="AK1212" s="754"/>
      <c r="AL1212" s="754"/>
      <c r="AM1212" s="754"/>
      <c r="AN1212" s="754"/>
      <c r="AO1212" s="754"/>
      <c r="AP1212" s="754"/>
      <c r="AQ1212" s="754"/>
      <c r="AR1212" s="754"/>
      <c r="AS1212" s="754"/>
      <c r="AT1212" s="754"/>
      <c r="AU1212" s="754"/>
    </row>
    <row r="1213" ht="15.75" customHeight="1">
      <c r="A1213" s="782"/>
      <c r="B1213" s="765"/>
      <c r="C1213" s="774"/>
      <c r="D1213" s="774"/>
      <c r="E1213" s="764"/>
      <c r="F1213" s="782"/>
      <c r="G1213" s="782"/>
      <c r="H1213" s="782"/>
      <c r="I1213" s="782"/>
      <c r="J1213" s="782"/>
      <c r="K1213" s="782"/>
      <c r="L1213" s="754"/>
      <c r="M1213" s="754"/>
      <c r="N1213" s="754"/>
      <c r="O1213" s="754"/>
      <c r="P1213" s="754"/>
      <c r="Q1213" s="754"/>
      <c r="R1213" s="754"/>
      <c r="S1213" s="754"/>
      <c r="T1213" s="754"/>
      <c r="U1213" s="754"/>
      <c r="V1213" s="754"/>
      <c r="W1213" s="754"/>
      <c r="X1213" s="754"/>
      <c r="Y1213" s="754"/>
      <c r="Z1213" s="754"/>
      <c r="AA1213" s="754"/>
      <c r="AB1213" s="754"/>
      <c r="AC1213" s="754"/>
      <c r="AD1213" s="754"/>
      <c r="AE1213" s="754"/>
      <c r="AF1213" s="754"/>
      <c r="AG1213" s="754"/>
      <c r="AH1213" s="754"/>
      <c r="AI1213" s="754"/>
      <c r="AJ1213" s="754"/>
      <c r="AK1213" s="754"/>
      <c r="AL1213" s="754"/>
      <c r="AM1213" s="754"/>
      <c r="AN1213" s="754"/>
      <c r="AO1213" s="754"/>
      <c r="AP1213" s="754"/>
      <c r="AQ1213" s="754"/>
      <c r="AR1213" s="754"/>
      <c r="AS1213" s="754"/>
      <c r="AT1213" s="754"/>
      <c r="AU1213" s="754"/>
    </row>
    <row r="1214" ht="15.75" customHeight="1">
      <c r="A1214" s="782"/>
      <c r="B1214" s="765"/>
      <c r="C1214" s="774"/>
      <c r="D1214" s="774"/>
      <c r="E1214" s="764"/>
      <c r="F1214" s="782"/>
      <c r="G1214" s="782"/>
      <c r="H1214" s="782"/>
      <c r="I1214" s="782"/>
      <c r="J1214" s="782"/>
      <c r="K1214" s="782"/>
      <c r="L1214" s="754"/>
      <c r="M1214" s="754"/>
      <c r="N1214" s="754"/>
      <c r="O1214" s="754"/>
      <c r="P1214" s="754"/>
      <c r="Q1214" s="754"/>
      <c r="R1214" s="754"/>
      <c r="S1214" s="754"/>
      <c r="T1214" s="754"/>
      <c r="U1214" s="754"/>
      <c r="V1214" s="754"/>
      <c r="W1214" s="754"/>
      <c r="X1214" s="754"/>
      <c r="Y1214" s="754"/>
      <c r="Z1214" s="754"/>
      <c r="AA1214" s="754"/>
      <c r="AB1214" s="754"/>
      <c r="AC1214" s="754"/>
      <c r="AD1214" s="754"/>
      <c r="AE1214" s="754"/>
      <c r="AF1214" s="754"/>
      <c r="AG1214" s="754"/>
      <c r="AH1214" s="754"/>
      <c r="AI1214" s="754"/>
      <c r="AJ1214" s="754"/>
      <c r="AK1214" s="754"/>
      <c r="AL1214" s="754"/>
      <c r="AM1214" s="754"/>
      <c r="AN1214" s="754"/>
      <c r="AO1214" s="754"/>
      <c r="AP1214" s="754"/>
      <c r="AQ1214" s="754"/>
      <c r="AR1214" s="754"/>
      <c r="AS1214" s="754"/>
      <c r="AT1214" s="754"/>
      <c r="AU1214" s="754"/>
    </row>
    <row r="1215" ht="15.75" customHeight="1">
      <c r="A1215" s="782"/>
      <c r="B1215" s="765"/>
      <c r="C1215" s="774"/>
      <c r="D1215" s="774"/>
      <c r="E1215" s="764"/>
      <c r="F1215" s="782"/>
      <c r="G1215" s="782"/>
      <c r="H1215" s="782"/>
      <c r="I1215" s="782"/>
      <c r="J1215" s="782"/>
      <c r="K1215" s="782"/>
      <c r="L1215" s="754"/>
      <c r="M1215" s="754"/>
      <c r="N1215" s="754"/>
      <c r="O1215" s="754"/>
      <c r="P1215" s="754"/>
      <c r="Q1215" s="754"/>
      <c r="R1215" s="754"/>
      <c r="S1215" s="754"/>
      <c r="T1215" s="754"/>
      <c r="U1215" s="754"/>
      <c r="V1215" s="754"/>
      <c r="W1215" s="754"/>
      <c r="X1215" s="754"/>
      <c r="Y1215" s="754"/>
      <c r="Z1215" s="754"/>
      <c r="AA1215" s="754"/>
      <c r="AB1215" s="754"/>
      <c r="AC1215" s="754"/>
      <c r="AD1215" s="754"/>
      <c r="AE1215" s="754"/>
      <c r="AF1215" s="754"/>
      <c r="AG1215" s="754"/>
      <c r="AH1215" s="754"/>
      <c r="AI1215" s="754"/>
      <c r="AJ1215" s="754"/>
      <c r="AK1215" s="754"/>
      <c r="AL1215" s="754"/>
      <c r="AM1215" s="754"/>
      <c r="AN1215" s="754"/>
      <c r="AO1215" s="754"/>
      <c r="AP1215" s="754"/>
      <c r="AQ1215" s="754"/>
      <c r="AR1215" s="754"/>
      <c r="AS1215" s="754"/>
      <c r="AT1215" s="754"/>
      <c r="AU1215" s="754"/>
    </row>
    <row r="1216" ht="15.75" customHeight="1">
      <c r="A1216" s="782"/>
      <c r="B1216" s="765"/>
      <c r="C1216" s="774"/>
      <c r="D1216" s="774"/>
      <c r="E1216" s="764"/>
      <c r="F1216" s="782"/>
      <c r="G1216" s="782"/>
      <c r="H1216" s="782"/>
      <c r="I1216" s="782"/>
      <c r="J1216" s="782"/>
      <c r="K1216" s="782"/>
      <c r="L1216" s="754"/>
      <c r="M1216" s="754"/>
      <c r="N1216" s="754"/>
      <c r="O1216" s="754"/>
      <c r="P1216" s="754"/>
      <c r="Q1216" s="754"/>
      <c r="R1216" s="754"/>
      <c r="S1216" s="754"/>
      <c r="T1216" s="754"/>
      <c r="U1216" s="754"/>
      <c r="V1216" s="754"/>
      <c r="W1216" s="754"/>
      <c r="X1216" s="754"/>
      <c r="Y1216" s="754"/>
      <c r="Z1216" s="754"/>
      <c r="AA1216" s="754"/>
      <c r="AB1216" s="754"/>
      <c r="AC1216" s="754"/>
      <c r="AD1216" s="754"/>
      <c r="AE1216" s="754"/>
      <c r="AF1216" s="754"/>
      <c r="AG1216" s="754"/>
      <c r="AH1216" s="754"/>
      <c r="AI1216" s="754"/>
      <c r="AJ1216" s="754"/>
      <c r="AK1216" s="754"/>
      <c r="AL1216" s="754"/>
      <c r="AM1216" s="754"/>
      <c r="AN1216" s="754"/>
      <c r="AO1216" s="754"/>
      <c r="AP1216" s="754"/>
      <c r="AQ1216" s="754"/>
      <c r="AR1216" s="754"/>
      <c r="AS1216" s="754"/>
      <c r="AT1216" s="754"/>
      <c r="AU1216" s="754"/>
    </row>
    <row r="1217" ht="15.75" customHeight="1">
      <c r="A1217" s="782"/>
      <c r="B1217" s="765"/>
      <c r="C1217" s="774"/>
      <c r="D1217" s="774"/>
      <c r="E1217" s="764"/>
      <c r="F1217" s="782"/>
      <c r="G1217" s="782"/>
      <c r="H1217" s="782"/>
      <c r="I1217" s="782"/>
      <c r="J1217" s="782"/>
      <c r="K1217" s="782"/>
      <c r="L1217" s="754"/>
      <c r="M1217" s="754"/>
      <c r="N1217" s="754"/>
      <c r="O1217" s="754"/>
      <c r="P1217" s="754"/>
      <c r="Q1217" s="754"/>
      <c r="R1217" s="754"/>
      <c r="S1217" s="754"/>
      <c r="T1217" s="754"/>
      <c r="U1217" s="754"/>
      <c r="V1217" s="754"/>
      <c r="W1217" s="754"/>
      <c r="X1217" s="754"/>
      <c r="Y1217" s="754"/>
      <c r="Z1217" s="754"/>
      <c r="AA1217" s="754"/>
      <c r="AB1217" s="754"/>
      <c r="AC1217" s="754"/>
      <c r="AD1217" s="754"/>
      <c r="AE1217" s="754"/>
      <c r="AF1217" s="754"/>
      <c r="AG1217" s="754"/>
      <c r="AH1217" s="754"/>
      <c r="AI1217" s="754"/>
      <c r="AJ1217" s="754"/>
      <c r="AK1217" s="754"/>
      <c r="AL1217" s="754"/>
      <c r="AM1217" s="754"/>
      <c r="AN1217" s="754"/>
      <c r="AO1217" s="754"/>
      <c r="AP1217" s="754"/>
      <c r="AQ1217" s="754"/>
      <c r="AR1217" s="754"/>
      <c r="AS1217" s="754"/>
      <c r="AT1217" s="754"/>
      <c r="AU1217" s="754"/>
    </row>
    <row r="1218" ht="15.75" customHeight="1">
      <c r="A1218" s="782"/>
      <c r="B1218" s="765"/>
      <c r="C1218" s="774"/>
      <c r="D1218" s="774"/>
      <c r="E1218" s="764"/>
      <c r="F1218" s="782"/>
      <c r="G1218" s="782"/>
      <c r="H1218" s="782"/>
      <c r="I1218" s="782"/>
      <c r="J1218" s="782"/>
      <c r="K1218" s="782"/>
      <c r="L1218" s="754"/>
      <c r="M1218" s="754"/>
      <c r="N1218" s="754"/>
      <c r="O1218" s="754"/>
      <c r="P1218" s="754"/>
      <c r="Q1218" s="754"/>
      <c r="R1218" s="754"/>
      <c r="S1218" s="754"/>
      <c r="T1218" s="754"/>
      <c r="U1218" s="754"/>
      <c r="V1218" s="754"/>
      <c r="W1218" s="754"/>
      <c r="X1218" s="754"/>
      <c r="Y1218" s="754"/>
      <c r="Z1218" s="754"/>
      <c r="AA1218" s="754"/>
      <c r="AB1218" s="754"/>
      <c r="AC1218" s="754"/>
      <c r="AD1218" s="754"/>
      <c r="AE1218" s="754"/>
      <c r="AF1218" s="754"/>
      <c r="AG1218" s="754"/>
      <c r="AH1218" s="754"/>
      <c r="AI1218" s="754"/>
      <c r="AJ1218" s="754"/>
      <c r="AK1218" s="754"/>
      <c r="AL1218" s="754"/>
      <c r="AM1218" s="754"/>
      <c r="AN1218" s="754"/>
      <c r="AO1218" s="754"/>
      <c r="AP1218" s="754"/>
      <c r="AQ1218" s="754"/>
      <c r="AR1218" s="754"/>
      <c r="AS1218" s="754"/>
      <c r="AT1218" s="754"/>
      <c r="AU1218" s="754"/>
    </row>
    <row r="1219" ht="15.75" customHeight="1">
      <c r="A1219" s="782"/>
      <c r="B1219" s="765"/>
      <c r="C1219" s="774"/>
      <c r="D1219" s="774"/>
      <c r="E1219" s="764"/>
      <c r="F1219" s="782"/>
      <c r="G1219" s="782"/>
      <c r="H1219" s="782"/>
      <c r="I1219" s="782"/>
      <c r="J1219" s="782"/>
      <c r="K1219" s="782"/>
      <c r="L1219" s="754"/>
      <c r="M1219" s="754"/>
      <c r="N1219" s="754"/>
      <c r="O1219" s="754"/>
      <c r="P1219" s="754"/>
      <c r="Q1219" s="754"/>
      <c r="R1219" s="754"/>
      <c r="S1219" s="754"/>
      <c r="T1219" s="754"/>
      <c r="U1219" s="754"/>
      <c r="V1219" s="754"/>
      <c r="W1219" s="754"/>
      <c r="X1219" s="754"/>
      <c r="Y1219" s="754"/>
      <c r="Z1219" s="754"/>
      <c r="AA1219" s="754"/>
      <c r="AB1219" s="754"/>
      <c r="AC1219" s="754"/>
      <c r="AD1219" s="754"/>
      <c r="AE1219" s="754"/>
      <c r="AF1219" s="754"/>
      <c r="AG1219" s="754"/>
      <c r="AH1219" s="754"/>
      <c r="AI1219" s="754"/>
      <c r="AJ1219" s="754"/>
      <c r="AK1219" s="754"/>
      <c r="AL1219" s="754"/>
      <c r="AM1219" s="754"/>
      <c r="AN1219" s="754"/>
      <c r="AO1219" s="754"/>
      <c r="AP1219" s="754"/>
      <c r="AQ1219" s="754"/>
      <c r="AR1219" s="754"/>
      <c r="AS1219" s="754"/>
      <c r="AT1219" s="754"/>
      <c r="AU1219" s="754"/>
    </row>
    <row r="1220" ht="15.75" customHeight="1">
      <c r="A1220" s="782"/>
      <c r="B1220" s="765"/>
      <c r="C1220" s="774"/>
      <c r="D1220" s="774"/>
      <c r="E1220" s="764"/>
      <c r="F1220" s="782"/>
      <c r="G1220" s="782"/>
      <c r="H1220" s="782"/>
      <c r="I1220" s="782"/>
      <c r="J1220" s="782"/>
      <c r="K1220" s="782"/>
      <c r="L1220" s="754"/>
      <c r="M1220" s="754"/>
      <c r="N1220" s="754"/>
      <c r="O1220" s="754"/>
      <c r="P1220" s="754"/>
      <c r="Q1220" s="754"/>
      <c r="R1220" s="754"/>
      <c r="S1220" s="754"/>
      <c r="T1220" s="754"/>
      <c r="U1220" s="754"/>
      <c r="V1220" s="754"/>
      <c r="W1220" s="754"/>
      <c r="X1220" s="754"/>
      <c r="Y1220" s="754"/>
      <c r="Z1220" s="754"/>
      <c r="AA1220" s="754"/>
      <c r="AB1220" s="754"/>
      <c r="AC1220" s="754"/>
      <c r="AD1220" s="754"/>
      <c r="AE1220" s="754"/>
      <c r="AF1220" s="754"/>
      <c r="AG1220" s="754"/>
      <c r="AH1220" s="754"/>
      <c r="AI1220" s="754"/>
      <c r="AJ1220" s="754"/>
      <c r="AK1220" s="754"/>
      <c r="AL1220" s="754"/>
      <c r="AM1220" s="754"/>
      <c r="AN1220" s="754"/>
      <c r="AO1220" s="754"/>
      <c r="AP1220" s="754"/>
      <c r="AQ1220" s="754"/>
      <c r="AR1220" s="754"/>
      <c r="AS1220" s="754"/>
      <c r="AT1220" s="754"/>
      <c r="AU1220" s="754"/>
    </row>
    <row r="1221" ht="15.75" customHeight="1">
      <c r="A1221" s="782"/>
      <c r="B1221" s="765"/>
      <c r="C1221" s="774"/>
      <c r="D1221" s="774"/>
      <c r="E1221" s="764"/>
      <c r="F1221" s="782"/>
      <c r="G1221" s="782"/>
      <c r="H1221" s="782"/>
      <c r="I1221" s="782"/>
      <c r="J1221" s="782"/>
      <c r="K1221" s="782"/>
      <c r="L1221" s="754"/>
      <c r="M1221" s="754"/>
      <c r="N1221" s="754"/>
      <c r="O1221" s="754"/>
      <c r="P1221" s="754"/>
      <c r="Q1221" s="754"/>
      <c r="R1221" s="754"/>
      <c r="S1221" s="754"/>
      <c r="T1221" s="754"/>
      <c r="U1221" s="754"/>
      <c r="V1221" s="754"/>
      <c r="W1221" s="754"/>
      <c r="X1221" s="754"/>
      <c r="Y1221" s="754"/>
      <c r="Z1221" s="754"/>
      <c r="AA1221" s="754"/>
      <c r="AB1221" s="754"/>
      <c r="AC1221" s="754"/>
      <c r="AD1221" s="754"/>
      <c r="AE1221" s="754"/>
      <c r="AF1221" s="754"/>
      <c r="AG1221" s="754"/>
      <c r="AH1221" s="754"/>
      <c r="AI1221" s="754"/>
      <c r="AJ1221" s="754"/>
      <c r="AK1221" s="754"/>
      <c r="AL1221" s="754"/>
      <c r="AM1221" s="754"/>
      <c r="AN1221" s="754"/>
      <c r="AO1221" s="754"/>
      <c r="AP1221" s="754"/>
      <c r="AQ1221" s="754"/>
      <c r="AR1221" s="754"/>
      <c r="AS1221" s="754"/>
      <c r="AT1221" s="754"/>
      <c r="AU1221" s="754"/>
    </row>
    <row r="1222" ht="15.75" customHeight="1">
      <c r="A1222" s="782"/>
      <c r="B1222" s="765"/>
      <c r="C1222" s="774"/>
      <c r="D1222" s="774"/>
      <c r="E1222" s="764"/>
      <c r="F1222" s="782"/>
      <c r="G1222" s="782"/>
      <c r="H1222" s="782"/>
      <c r="I1222" s="782"/>
      <c r="J1222" s="782"/>
      <c r="K1222" s="782"/>
      <c r="L1222" s="754"/>
      <c r="M1222" s="754"/>
      <c r="N1222" s="754"/>
      <c r="O1222" s="754"/>
      <c r="P1222" s="754"/>
      <c r="Q1222" s="754"/>
      <c r="R1222" s="754"/>
      <c r="S1222" s="754"/>
      <c r="T1222" s="754"/>
      <c r="U1222" s="754"/>
      <c r="V1222" s="754"/>
      <c r="W1222" s="754"/>
      <c r="X1222" s="754"/>
      <c r="Y1222" s="754"/>
      <c r="Z1222" s="754"/>
      <c r="AA1222" s="754"/>
      <c r="AB1222" s="754"/>
      <c r="AC1222" s="754"/>
      <c r="AD1222" s="754"/>
      <c r="AE1222" s="754"/>
      <c r="AF1222" s="754"/>
      <c r="AG1222" s="754"/>
      <c r="AH1222" s="754"/>
      <c r="AI1222" s="754"/>
      <c r="AJ1222" s="754"/>
      <c r="AK1222" s="754"/>
      <c r="AL1222" s="754"/>
      <c r="AM1222" s="754"/>
      <c r="AN1222" s="754"/>
      <c r="AO1222" s="754"/>
      <c r="AP1222" s="754"/>
      <c r="AQ1222" s="754"/>
      <c r="AR1222" s="754"/>
      <c r="AS1222" s="754"/>
      <c r="AT1222" s="754"/>
      <c r="AU1222" s="754"/>
    </row>
    <row r="1223" ht="15.75" customHeight="1">
      <c r="A1223" s="782"/>
      <c r="B1223" s="765"/>
      <c r="C1223" s="774"/>
      <c r="D1223" s="774"/>
      <c r="E1223" s="764"/>
      <c r="F1223" s="782"/>
      <c r="G1223" s="782"/>
      <c r="H1223" s="782"/>
      <c r="I1223" s="782"/>
      <c r="J1223" s="782"/>
      <c r="K1223" s="782"/>
      <c r="L1223" s="754"/>
      <c r="M1223" s="754"/>
      <c r="N1223" s="754"/>
      <c r="O1223" s="754"/>
      <c r="P1223" s="754"/>
      <c r="Q1223" s="754"/>
      <c r="R1223" s="754"/>
      <c r="S1223" s="754"/>
      <c r="T1223" s="754"/>
      <c r="U1223" s="754"/>
      <c r="V1223" s="754"/>
      <c r="W1223" s="754"/>
      <c r="X1223" s="754"/>
      <c r="Y1223" s="754"/>
      <c r="Z1223" s="754"/>
      <c r="AA1223" s="754"/>
      <c r="AB1223" s="754"/>
      <c r="AC1223" s="754"/>
      <c r="AD1223" s="754"/>
      <c r="AE1223" s="754"/>
      <c r="AF1223" s="754"/>
      <c r="AG1223" s="754"/>
      <c r="AH1223" s="754"/>
      <c r="AI1223" s="754"/>
      <c r="AJ1223" s="754"/>
      <c r="AK1223" s="754"/>
      <c r="AL1223" s="754"/>
      <c r="AM1223" s="754"/>
      <c r="AN1223" s="754"/>
      <c r="AO1223" s="754"/>
      <c r="AP1223" s="754"/>
      <c r="AQ1223" s="754"/>
      <c r="AR1223" s="754"/>
      <c r="AS1223" s="754"/>
      <c r="AT1223" s="754"/>
      <c r="AU1223" s="754"/>
    </row>
    <row r="1224" ht="15.75" customHeight="1">
      <c r="A1224" s="782"/>
      <c r="B1224" s="765"/>
      <c r="C1224" s="774"/>
      <c r="D1224" s="774"/>
      <c r="E1224" s="764"/>
      <c r="F1224" s="782"/>
      <c r="G1224" s="782"/>
      <c r="H1224" s="782"/>
      <c r="I1224" s="782"/>
      <c r="J1224" s="782"/>
      <c r="K1224" s="782"/>
      <c r="L1224" s="754"/>
      <c r="M1224" s="754"/>
      <c r="N1224" s="754"/>
      <c r="O1224" s="754"/>
      <c r="P1224" s="754"/>
      <c r="Q1224" s="754"/>
      <c r="R1224" s="754"/>
      <c r="S1224" s="754"/>
      <c r="T1224" s="754"/>
      <c r="U1224" s="754"/>
      <c r="V1224" s="754"/>
      <c r="W1224" s="754"/>
      <c r="X1224" s="754"/>
      <c r="Y1224" s="754"/>
      <c r="Z1224" s="754"/>
      <c r="AA1224" s="754"/>
      <c r="AB1224" s="754"/>
      <c r="AC1224" s="754"/>
      <c r="AD1224" s="754"/>
      <c r="AE1224" s="754"/>
      <c r="AF1224" s="754"/>
      <c r="AG1224" s="754"/>
      <c r="AH1224" s="754"/>
      <c r="AI1224" s="754"/>
      <c r="AJ1224" s="754"/>
      <c r="AK1224" s="754"/>
      <c r="AL1224" s="754"/>
      <c r="AM1224" s="754"/>
      <c r="AN1224" s="754"/>
      <c r="AO1224" s="754"/>
      <c r="AP1224" s="754"/>
      <c r="AQ1224" s="754"/>
      <c r="AR1224" s="754"/>
      <c r="AS1224" s="754"/>
      <c r="AT1224" s="754"/>
      <c r="AU1224" s="754"/>
    </row>
    <row r="1225" ht="15.75" customHeight="1">
      <c r="A1225" s="782"/>
      <c r="B1225" s="765"/>
      <c r="C1225" s="774"/>
      <c r="D1225" s="774"/>
      <c r="E1225" s="764"/>
      <c r="F1225" s="782"/>
      <c r="G1225" s="782"/>
      <c r="H1225" s="782"/>
      <c r="I1225" s="782"/>
      <c r="J1225" s="782"/>
      <c r="K1225" s="782"/>
      <c r="L1225" s="754"/>
      <c r="M1225" s="754"/>
      <c r="N1225" s="754"/>
      <c r="O1225" s="754"/>
      <c r="P1225" s="754"/>
      <c r="Q1225" s="754"/>
      <c r="R1225" s="754"/>
      <c r="S1225" s="754"/>
      <c r="T1225" s="754"/>
      <c r="U1225" s="754"/>
      <c r="V1225" s="754"/>
      <c r="W1225" s="754"/>
      <c r="X1225" s="754"/>
      <c r="Y1225" s="754"/>
      <c r="Z1225" s="754"/>
      <c r="AA1225" s="754"/>
      <c r="AB1225" s="754"/>
      <c r="AC1225" s="754"/>
      <c r="AD1225" s="754"/>
      <c r="AE1225" s="754"/>
      <c r="AF1225" s="754"/>
      <c r="AG1225" s="754"/>
      <c r="AH1225" s="754"/>
      <c r="AI1225" s="754"/>
      <c r="AJ1225" s="754"/>
      <c r="AK1225" s="754"/>
      <c r="AL1225" s="754"/>
      <c r="AM1225" s="754"/>
      <c r="AN1225" s="754"/>
      <c r="AO1225" s="754"/>
      <c r="AP1225" s="754"/>
      <c r="AQ1225" s="754"/>
      <c r="AR1225" s="754"/>
      <c r="AS1225" s="754"/>
      <c r="AT1225" s="754"/>
      <c r="AU1225" s="754"/>
    </row>
    <row r="1226" ht="15.75" customHeight="1">
      <c r="A1226" s="782"/>
      <c r="B1226" s="765"/>
      <c r="C1226" s="774"/>
      <c r="D1226" s="774"/>
      <c r="E1226" s="764"/>
      <c r="F1226" s="782"/>
      <c r="G1226" s="782"/>
      <c r="H1226" s="782"/>
      <c r="I1226" s="782"/>
      <c r="J1226" s="782"/>
      <c r="K1226" s="782"/>
      <c r="L1226" s="754"/>
      <c r="M1226" s="754"/>
      <c r="N1226" s="754"/>
      <c r="O1226" s="754"/>
      <c r="P1226" s="754"/>
      <c r="Q1226" s="754"/>
      <c r="R1226" s="754"/>
      <c r="S1226" s="754"/>
      <c r="T1226" s="754"/>
      <c r="U1226" s="754"/>
      <c r="V1226" s="754"/>
      <c r="W1226" s="754"/>
      <c r="X1226" s="754"/>
      <c r="Y1226" s="754"/>
      <c r="Z1226" s="754"/>
      <c r="AA1226" s="754"/>
      <c r="AB1226" s="754"/>
      <c r="AC1226" s="754"/>
      <c r="AD1226" s="754"/>
      <c r="AE1226" s="754"/>
      <c r="AF1226" s="754"/>
      <c r="AG1226" s="754"/>
      <c r="AH1226" s="754"/>
      <c r="AI1226" s="754"/>
      <c r="AJ1226" s="754"/>
      <c r="AK1226" s="754"/>
      <c r="AL1226" s="754"/>
      <c r="AM1226" s="754"/>
      <c r="AN1226" s="754"/>
      <c r="AO1226" s="754"/>
      <c r="AP1226" s="754"/>
      <c r="AQ1226" s="754"/>
      <c r="AR1226" s="754"/>
      <c r="AS1226" s="754"/>
      <c r="AT1226" s="754"/>
      <c r="AU1226" s="754"/>
    </row>
    <row r="1227" ht="15.75" customHeight="1">
      <c r="A1227" s="782"/>
      <c r="B1227" s="765"/>
      <c r="C1227" s="774"/>
      <c r="D1227" s="774"/>
      <c r="E1227" s="764"/>
      <c r="F1227" s="782"/>
      <c r="G1227" s="782"/>
      <c r="H1227" s="782"/>
      <c r="I1227" s="782"/>
      <c r="J1227" s="782"/>
      <c r="K1227" s="782"/>
      <c r="L1227" s="754"/>
      <c r="M1227" s="754"/>
      <c r="N1227" s="754"/>
      <c r="O1227" s="754"/>
      <c r="P1227" s="754"/>
      <c r="Q1227" s="754"/>
      <c r="R1227" s="754"/>
      <c r="S1227" s="754"/>
      <c r="T1227" s="754"/>
      <c r="U1227" s="754"/>
      <c r="V1227" s="754"/>
      <c r="W1227" s="754"/>
      <c r="X1227" s="754"/>
      <c r="Y1227" s="754"/>
      <c r="Z1227" s="754"/>
      <c r="AA1227" s="754"/>
      <c r="AB1227" s="754"/>
      <c r="AC1227" s="754"/>
      <c r="AD1227" s="754"/>
      <c r="AE1227" s="754"/>
      <c r="AF1227" s="754"/>
      <c r="AG1227" s="754"/>
      <c r="AH1227" s="754"/>
      <c r="AI1227" s="754"/>
      <c r="AJ1227" s="754"/>
      <c r="AK1227" s="754"/>
      <c r="AL1227" s="754"/>
      <c r="AM1227" s="754"/>
      <c r="AN1227" s="754"/>
      <c r="AO1227" s="754"/>
      <c r="AP1227" s="754"/>
      <c r="AQ1227" s="754"/>
      <c r="AR1227" s="754"/>
      <c r="AS1227" s="754"/>
      <c r="AT1227" s="754"/>
      <c r="AU1227" s="754"/>
    </row>
    <row r="1228" ht="15.75" customHeight="1">
      <c r="A1228" s="782"/>
      <c r="B1228" s="765"/>
      <c r="C1228" s="774"/>
      <c r="D1228" s="774"/>
      <c r="E1228" s="764"/>
      <c r="F1228" s="782"/>
      <c r="G1228" s="782"/>
      <c r="H1228" s="782"/>
      <c r="I1228" s="782"/>
      <c r="J1228" s="782"/>
      <c r="K1228" s="782"/>
      <c r="L1228" s="754"/>
      <c r="M1228" s="754"/>
      <c r="N1228" s="754"/>
      <c r="O1228" s="754"/>
      <c r="P1228" s="754"/>
      <c r="Q1228" s="754"/>
      <c r="R1228" s="754"/>
      <c r="S1228" s="754"/>
      <c r="T1228" s="754"/>
      <c r="U1228" s="754"/>
      <c r="V1228" s="754"/>
      <c r="W1228" s="754"/>
      <c r="X1228" s="754"/>
      <c r="Y1228" s="754"/>
      <c r="Z1228" s="754"/>
      <c r="AA1228" s="754"/>
      <c r="AB1228" s="754"/>
      <c r="AC1228" s="754"/>
      <c r="AD1228" s="754"/>
      <c r="AE1228" s="754"/>
      <c r="AF1228" s="754"/>
      <c r="AG1228" s="754"/>
      <c r="AH1228" s="754"/>
      <c r="AI1228" s="754"/>
      <c r="AJ1228" s="754"/>
      <c r="AK1228" s="754"/>
      <c r="AL1228" s="754"/>
      <c r="AM1228" s="754"/>
      <c r="AN1228" s="754"/>
      <c r="AO1228" s="754"/>
      <c r="AP1228" s="754"/>
      <c r="AQ1228" s="754"/>
      <c r="AR1228" s="754"/>
      <c r="AS1228" s="754"/>
      <c r="AT1228" s="754"/>
      <c r="AU1228" s="754"/>
    </row>
    <row r="1229" ht="15.75" customHeight="1">
      <c r="A1229" s="782"/>
      <c r="B1229" s="765"/>
      <c r="C1229" s="774"/>
      <c r="D1229" s="774"/>
      <c r="E1229" s="764"/>
      <c r="F1229" s="782"/>
      <c r="G1229" s="782"/>
      <c r="H1229" s="782"/>
      <c r="I1229" s="782"/>
      <c r="J1229" s="782"/>
      <c r="K1229" s="782"/>
      <c r="L1229" s="754"/>
      <c r="M1229" s="754"/>
      <c r="N1229" s="754"/>
      <c r="O1229" s="754"/>
      <c r="P1229" s="754"/>
      <c r="Q1229" s="754"/>
      <c r="R1229" s="754"/>
      <c r="S1229" s="754"/>
      <c r="T1229" s="754"/>
      <c r="U1229" s="754"/>
      <c r="V1229" s="754"/>
      <c r="W1229" s="754"/>
      <c r="X1229" s="754"/>
      <c r="Y1229" s="754"/>
      <c r="Z1229" s="754"/>
      <c r="AA1229" s="754"/>
      <c r="AB1229" s="754"/>
      <c r="AC1229" s="754"/>
      <c r="AD1229" s="754"/>
      <c r="AE1229" s="754"/>
      <c r="AF1229" s="754"/>
      <c r="AG1229" s="754"/>
      <c r="AH1229" s="754"/>
      <c r="AI1229" s="754"/>
      <c r="AJ1229" s="754"/>
      <c r="AK1229" s="754"/>
      <c r="AL1229" s="754"/>
      <c r="AM1229" s="754"/>
      <c r="AN1229" s="754"/>
      <c r="AO1229" s="754"/>
      <c r="AP1229" s="754"/>
      <c r="AQ1229" s="754"/>
      <c r="AR1229" s="754"/>
      <c r="AS1229" s="754"/>
      <c r="AT1229" s="754"/>
      <c r="AU1229" s="754"/>
    </row>
    <row r="1230" ht="15.75" customHeight="1">
      <c r="A1230" s="782"/>
      <c r="B1230" s="765"/>
      <c r="C1230" s="774"/>
      <c r="D1230" s="774"/>
      <c r="E1230" s="764"/>
      <c r="F1230" s="782"/>
      <c r="G1230" s="782"/>
      <c r="H1230" s="782"/>
      <c r="I1230" s="782"/>
      <c r="J1230" s="782"/>
      <c r="K1230" s="782"/>
      <c r="L1230" s="754"/>
      <c r="M1230" s="754"/>
      <c r="N1230" s="754"/>
      <c r="O1230" s="754"/>
      <c r="P1230" s="754"/>
      <c r="Q1230" s="754"/>
      <c r="R1230" s="754"/>
      <c r="S1230" s="754"/>
      <c r="T1230" s="754"/>
      <c r="U1230" s="754"/>
      <c r="V1230" s="754"/>
      <c r="W1230" s="754"/>
      <c r="X1230" s="754"/>
      <c r="Y1230" s="754"/>
      <c r="Z1230" s="754"/>
      <c r="AA1230" s="754"/>
      <c r="AB1230" s="754"/>
      <c r="AC1230" s="754"/>
      <c r="AD1230" s="754"/>
      <c r="AE1230" s="754"/>
      <c r="AF1230" s="754"/>
      <c r="AG1230" s="754"/>
      <c r="AH1230" s="754"/>
      <c r="AI1230" s="754"/>
      <c r="AJ1230" s="754"/>
      <c r="AK1230" s="754"/>
      <c r="AL1230" s="754"/>
      <c r="AM1230" s="754"/>
      <c r="AN1230" s="754"/>
      <c r="AO1230" s="754"/>
      <c r="AP1230" s="754"/>
      <c r="AQ1230" s="754"/>
      <c r="AR1230" s="754"/>
      <c r="AS1230" s="754"/>
      <c r="AT1230" s="754"/>
      <c r="AU1230" s="754"/>
    </row>
    <row r="1231" ht="15.75" customHeight="1">
      <c r="A1231" s="782"/>
      <c r="B1231" s="765"/>
      <c r="C1231" s="774"/>
      <c r="D1231" s="774"/>
      <c r="E1231" s="764"/>
      <c r="F1231" s="782"/>
      <c r="G1231" s="782"/>
      <c r="H1231" s="782"/>
      <c r="I1231" s="782"/>
      <c r="J1231" s="782"/>
      <c r="K1231" s="782"/>
      <c r="L1231" s="754"/>
      <c r="M1231" s="754"/>
      <c r="N1231" s="754"/>
      <c r="O1231" s="754"/>
      <c r="P1231" s="754"/>
      <c r="Q1231" s="754"/>
      <c r="R1231" s="754"/>
      <c r="S1231" s="754"/>
      <c r="T1231" s="754"/>
      <c r="U1231" s="754"/>
      <c r="V1231" s="754"/>
      <c r="W1231" s="754"/>
      <c r="X1231" s="754"/>
      <c r="Y1231" s="754"/>
      <c r="Z1231" s="754"/>
      <c r="AA1231" s="754"/>
      <c r="AB1231" s="754"/>
      <c r="AC1231" s="754"/>
      <c r="AD1231" s="754"/>
      <c r="AE1231" s="754"/>
      <c r="AF1231" s="754"/>
      <c r="AG1231" s="754"/>
      <c r="AH1231" s="754"/>
      <c r="AI1231" s="754"/>
      <c r="AJ1231" s="754"/>
      <c r="AK1231" s="754"/>
      <c r="AL1231" s="754"/>
      <c r="AM1231" s="754"/>
      <c r="AN1231" s="754"/>
      <c r="AO1231" s="754"/>
      <c r="AP1231" s="754"/>
      <c r="AQ1231" s="754"/>
      <c r="AR1231" s="754"/>
      <c r="AS1231" s="754"/>
      <c r="AT1231" s="754"/>
      <c r="AU1231" s="754"/>
    </row>
    <row r="1232" ht="15.75" customHeight="1">
      <c r="A1232" s="782"/>
      <c r="B1232" s="765"/>
      <c r="C1232" s="774"/>
      <c r="D1232" s="774"/>
      <c r="E1232" s="764"/>
      <c r="F1232" s="782"/>
      <c r="G1232" s="782"/>
      <c r="H1232" s="782"/>
      <c r="I1232" s="782"/>
      <c r="J1232" s="782"/>
      <c r="K1232" s="782"/>
      <c r="L1232" s="754"/>
      <c r="M1232" s="754"/>
      <c r="N1232" s="754"/>
      <c r="O1232" s="754"/>
      <c r="P1232" s="754"/>
      <c r="Q1232" s="754"/>
      <c r="R1232" s="754"/>
      <c r="S1232" s="754"/>
      <c r="T1232" s="754"/>
      <c r="U1232" s="754"/>
      <c r="V1232" s="754"/>
      <c r="W1232" s="754"/>
      <c r="X1232" s="754"/>
      <c r="Y1232" s="754"/>
      <c r="Z1232" s="754"/>
      <c r="AA1232" s="754"/>
      <c r="AB1232" s="754"/>
      <c r="AC1232" s="754"/>
      <c r="AD1232" s="754"/>
      <c r="AE1232" s="754"/>
      <c r="AF1232" s="754"/>
      <c r="AG1232" s="754"/>
      <c r="AH1232" s="754"/>
      <c r="AI1232" s="754"/>
      <c r="AJ1232" s="754"/>
      <c r="AK1232" s="754"/>
      <c r="AL1232" s="754"/>
      <c r="AM1232" s="754"/>
      <c r="AN1232" s="754"/>
      <c r="AO1232" s="754"/>
      <c r="AP1232" s="754"/>
      <c r="AQ1232" s="754"/>
      <c r="AR1232" s="754"/>
      <c r="AS1232" s="754"/>
      <c r="AT1232" s="754"/>
      <c r="AU1232" s="754"/>
    </row>
    <row r="1233" ht="15.75" customHeight="1">
      <c r="A1233" s="782"/>
      <c r="B1233" s="765"/>
      <c r="C1233" s="774"/>
      <c r="D1233" s="774"/>
      <c r="E1233" s="764"/>
      <c r="F1233" s="782"/>
      <c r="G1233" s="782"/>
      <c r="H1233" s="782"/>
      <c r="I1233" s="782"/>
      <c r="J1233" s="782"/>
      <c r="K1233" s="782"/>
      <c r="L1233" s="754"/>
      <c r="M1233" s="754"/>
      <c r="N1233" s="754"/>
      <c r="O1233" s="754"/>
      <c r="P1233" s="754"/>
      <c r="Q1233" s="754"/>
      <c r="R1233" s="754"/>
      <c r="S1233" s="754"/>
      <c r="T1233" s="754"/>
      <c r="U1233" s="754"/>
      <c r="V1233" s="754"/>
      <c r="W1233" s="754"/>
      <c r="X1233" s="754"/>
      <c r="Y1233" s="754"/>
      <c r="Z1233" s="754"/>
      <c r="AA1233" s="754"/>
      <c r="AB1233" s="754"/>
      <c r="AC1233" s="754"/>
      <c r="AD1233" s="754"/>
      <c r="AE1233" s="754"/>
      <c r="AF1233" s="754"/>
      <c r="AG1233" s="754"/>
      <c r="AH1233" s="754"/>
      <c r="AI1233" s="754"/>
      <c r="AJ1233" s="754"/>
      <c r="AK1233" s="754"/>
      <c r="AL1233" s="754"/>
      <c r="AM1233" s="754"/>
      <c r="AN1233" s="754"/>
      <c r="AO1233" s="754"/>
      <c r="AP1233" s="754"/>
      <c r="AQ1233" s="754"/>
      <c r="AR1233" s="754"/>
      <c r="AS1233" s="754"/>
      <c r="AT1233" s="754"/>
      <c r="AU1233" s="754"/>
    </row>
    <row r="1234" ht="15.75" customHeight="1">
      <c r="A1234" s="782"/>
      <c r="B1234" s="765"/>
      <c r="C1234" s="774"/>
      <c r="D1234" s="774"/>
      <c r="E1234" s="764"/>
      <c r="F1234" s="782"/>
      <c r="G1234" s="782"/>
      <c r="H1234" s="782"/>
      <c r="I1234" s="782"/>
      <c r="J1234" s="782"/>
      <c r="K1234" s="782"/>
      <c r="L1234" s="754"/>
      <c r="M1234" s="754"/>
      <c r="N1234" s="754"/>
      <c r="O1234" s="754"/>
      <c r="P1234" s="754"/>
      <c r="Q1234" s="754"/>
      <c r="R1234" s="754"/>
      <c r="S1234" s="754"/>
      <c r="T1234" s="754"/>
      <c r="U1234" s="754"/>
      <c r="V1234" s="754"/>
      <c r="W1234" s="754"/>
      <c r="X1234" s="754"/>
      <c r="Y1234" s="754"/>
      <c r="Z1234" s="754"/>
      <c r="AA1234" s="754"/>
      <c r="AB1234" s="754"/>
      <c r="AC1234" s="754"/>
      <c r="AD1234" s="754"/>
      <c r="AE1234" s="754"/>
      <c r="AF1234" s="754"/>
      <c r="AG1234" s="754"/>
      <c r="AH1234" s="754"/>
      <c r="AI1234" s="754"/>
      <c r="AJ1234" s="754"/>
      <c r="AK1234" s="754"/>
      <c r="AL1234" s="754"/>
      <c r="AM1234" s="754"/>
      <c r="AN1234" s="754"/>
      <c r="AO1234" s="754"/>
      <c r="AP1234" s="754"/>
      <c r="AQ1234" s="754"/>
      <c r="AR1234" s="754"/>
      <c r="AS1234" s="754"/>
      <c r="AT1234" s="754"/>
      <c r="AU1234" s="754"/>
    </row>
    <row r="1235" ht="15.75" customHeight="1">
      <c r="A1235" s="782"/>
      <c r="B1235" s="765"/>
      <c r="C1235" s="774"/>
      <c r="D1235" s="774"/>
      <c r="E1235" s="764"/>
      <c r="F1235" s="782"/>
      <c r="G1235" s="782"/>
      <c r="H1235" s="782"/>
      <c r="I1235" s="782"/>
      <c r="J1235" s="782"/>
      <c r="K1235" s="782"/>
      <c r="L1235" s="754"/>
      <c r="M1235" s="754"/>
      <c r="N1235" s="754"/>
      <c r="O1235" s="754"/>
      <c r="P1235" s="754"/>
      <c r="Q1235" s="754"/>
      <c r="R1235" s="754"/>
      <c r="S1235" s="754"/>
      <c r="T1235" s="754"/>
      <c r="U1235" s="754"/>
      <c r="V1235" s="754"/>
      <c r="W1235" s="754"/>
      <c r="X1235" s="754"/>
      <c r="Y1235" s="754"/>
      <c r="Z1235" s="754"/>
      <c r="AA1235" s="754"/>
      <c r="AB1235" s="754"/>
      <c r="AC1235" s="754"/>
      <c r="AD1235" s="754"/>
      <c r="AE1235" s="754"/>
      <c r="AF1235" s="754"/>
      <c r="AG1235" s="754"/>
      <c r="AH1235" s="754"/>
      <c r="AI1235" s="754"/>
      <c r="AJ1235" s="754"/>
      <c r="AK1235" s="754"/>
      <c r="AL1235" s="754"/>
      <c r="AM1235" s="754"/>
      <c r="AN1235" s="754"/>
      <c r="AO1235" s="754"/>
      <c r="AP1235" s="754"/>
      <c r="AQ1235" s="754"/>
      <c r="AR1235" s="754"/>
      <c r="AS1235" s="754"/>
      <c r="AT1235" s="754"/>
      <c r="AU1235" s="754"/>
    </row>
    <row r="1236" ht="15.75" customHeight="1">
      <c r="A1236" s="782"/>
      <c r="B1236" s="765"/>
      <c r="C1236" s="774"/>
      <c r="D1236" s="774"/>
      <c r="E1236" s="764"/>
      <c r="F1236" s="782"/>
      <c r="G1236" s="782"/>
      <c r="H1236" s="782"/>
      <c r="I1236" s="782"/>
      <c r="J1236" s="782"/>
      <c r="K1236" s="782"/>
      <c r="L1236" s="754"/>
      <c r="M1236" s="754"/>
      <c r="N1236" s="754"/>
      <c r="O1236" s="754"/>
      <c r="P1236" s="754"/>
      <c r="Q1236" s="754"/>
      <c r="R1236" s="754"/>
      <c r="S1236" s="754"/>
      <c r="T1236" s="754"/>
      <c r="U1236" s="754"/>
      <c r="V1236" s="754"/>
      <c r="W1236" s="754"/>
      <c r="X1236" s="754"/>
      <c r="Y1236" s="754"/>
      <c r="Z1236" s="754"/>
      <c r="AA1236" s="754"/>
      <c r="AB1236" s="754"/>
      <c r="AC1236" s="754"/>
      <c r="AD1236" s="754"/>
      <c r="AE1236" s="754"/>
      <c r="AF1236" s="754"/>
      <c r="AG1236" s="754"/>
      <c r="AH1236" s="754"/>
      <c r="AI1236" s="754"/>
      <c r="AJ1236" s="754"/>
      <c r="AK1236" s="754"/>
      <c r="AL1236" s="754"/>
      <c r="AM1236" s="754"/>
      <c r="AN1236" s="754"/>
      <c r="AO1236" s="754"/>
      <c r="AP1236" s="754"/>
      <c r="AQ1236" s="754"/>
      <c r="AR1236" s="754"/>
      <c r="AS1236" s="754"/>
      <c r="AT1236" s="754"/>
      <c r="AU1236" s="754"/>
    </row>
    <row r="1237" ht="15.75" customHeight="1">
      <c r="A1237" s="782"/>
      <c r="B1237" s="765"/>
      <c r="C1237" s="774"/>
      <c r="D1237" s="774"/>
      <c r="E1237" s="764"/>
      <c r="F1237" s="782"/>
      <c r="G1237" s="782"/>
      <c r="H1237" s="782"/>
      <c r="I1237" s="782"/>
      <c r="J1237" s="782"/>
      <c r="K1237" s="782"/>
      <c r="L1237" s="754"/>
      <c r="M1237" s="754"/>
      <c r="N1237" s="754"/>
      <c r="O1237" s="754"/>
      <c r="P1237" s="754"/>
      <c r="Q1237" s="754"/>
      <c r="R1237" s="754"/>
      <c r="S1237" s="754"/>
      <c r="T1237" s="754"/>
      <c r="U1237" s="754"/>
      <c r="V1237" s="754"/>
      <c r="W1237" s="754"/>
      <c r="X1237" s="754"/>
      <c r="Y1237" s="754"/>
      <c r="Z1237" s="754"/>
      <c r="AA1237" s="754"/>
      <c r="AB1237" s="754"/>
      <c r="AC1237" s="754"/>
      <c r="AD1237" s="754"/>
      <c r="AE1237" s="754"/>
      <c r="AF1237" s="754"/>
      <c r="AG1237" s="754"/>
      <c r="AH1237" s="754"/>
      <c r="AI1237" s="754"/>
      <c r="AJ1237" s="754"/>
      <c r="AK1237" s="754"/>
      <c r="AL1237" s="754"/>
      <c r="AM1237" s="754"/>
      <c r="AN1237" s="754"/>
      <c r="AO1237" s="754"/>
      <c r="AP1237" s="754"/>
      <c r="AQ1237" s="754"/>
      <c r="AR1237" s="754"/>
      <c r="AS1237" s="754"/>
      <c r="AT1237" s="754"/>
      <c r="AU1237" s="754"/>
    </row>
    <row r="1238" ht="15.75" customHeight="1">
      <c r="A1238" s="782"/>
      <c r="B1238" s="765"/>
      <c r="C1238" s="774"/>
      <c r="D1238" s="774"/>
      <c r="E1238" s="764"/>
      <c r="F1238" s="782"/>
      <c r="G1238" s="782"/>
      <c r="H1238" s="782"/>
      <c r="I1238" s="782"/>
      <c r="J1238" s="782"/>
      <c r="K1238" s="782"/>
      <c r="L1238" s="754"/>
      <c r="M1238" s="754"/>
      <c r="N1238" s="754"/>
      <c r="O1238" s="754"/>
      <c r="P1238" s="754"/>
      <c r="Q1238" s="754"/>
      <c r="R1238" s="754"/>
      <c r="S1238" s="754"/>
      <c r="T1238" s="754"/>
      <c r="U1238" s="754"/>
      <c r="V1238" s="754"/>
      <c r="W1238" s="754"/>
      <c r="X1238" s="754"/>
      <c r="Y1238" s="754"/>
      <c r="Z1238" s="754"/>
      <c r="AA1238" s="754"/>
      <c r="AB1238" s="754"/>
      <c r="AC1238" s="754"/>
      <c r="AD1238" s="754"/>
      <c r="AE1238" s="754"/>
      <c r="AF1238" s="754"/>
      <c r="AG1238" s="754"/>
      <c r="AH1238" s="754"/>
      <c r="AI1238" s="754"/>
      <c r="AJ1238" s="754"/>
      <c r="AK1238" s="754"/>
      <c r="AL1238" s="754"/>
      <c r="AM1238" s="754"/>
      <c r="AN1238" s="754"/>
      <c r="AO1238" s="754"/>
      <c r="AP1238" s="754"/>
      <c r="AQ1238" s="754"/>
      <c r="AR1238" s="754"/>
      <c r="AS1238" s="754"/>
      <c r="AT1238" s="754"/>
      <c r="AU1238" s="754"/>
    </row>
    <row r="1239" ht="15.75" customHeight="1">
      <c r="A1239" s="782"/>
      <c r="B1239" s="765"/>
      <c r="C1239" s="774"/>
      <c r="D1239" s="774"/>
      <c r="E1239" s="764"/>
      <c r="F1239" s="782"/>
      <c r="G1239" s="782"/>
      <c r="H1239" s="782"/>
      <c r="I1239" s="782"/>
      <c r="J1239" s="782"/>
      <c r="K1239" s="782"/>
      <c r="L1239" s="754"/>
      <c r="M1239" s="754"/>
      <c r="N1239" s="754"/>
      <c r="O1239" s="754"/>
      <c r="P1239" s="754"/>
      <c r="Q1239" s="754"/>
      <c r="R1239" s="754"/>
      <c r="S1239" s="754"/>
      <c r="T1239" s="754"/>
      <c r="U1239" s="754"/>
      <c r="V1239" s="754"/>
      <c r="W1239" s="754"/>
      <c r="X1239" s="754"/>
      <c r="Y1239" s="754"/>
      <c r="Z1239" s="754"/>
      <c r="AA1239" s="754"/>
      <c r="AB1239" s="754"/>
      <c r="AC1239" s="754"/>
      <c r="AD1239" s="754"/>
      <c r="AE1239" s="754"/>
      <c r="AF1239" s="754"/>
      <c r="AG1239" s="754"/>
      <c r="AH1239" s="754"/>
      <c r="AI1239" s="754"/>
      <c r="AJ1239" s="754"/>
      <c r="AK1239" s="754"/>
      <c r="AL1239" s="754"/>
      <c r="AM1239" s="754"/>
      <c r="AN1239" s="754"/>
      <c r="AO1239" s="754"/>
      <c r="AP1239" s="754"/>
      <c r="AQ1239" s="754"/>
      <c r="AR1239" s="754"/>
      <c r="AS1239" s="754"/>
      <c r="AT1239" s="754"/>
      <c r="AU1239" s="754"/>
    </row>
    <row r="1240" ht="15.75" customHeight="1">
      <c r="A1240" s="782"/>
      <c r="B1240" s="765"/>
      <c r="C1240" s="774"/>
      <c r="D1240" s="774"/>
      <c r="E1240" s="764"/>
      <c r="F1240" s="782"/>
      <c r="G1240" s="782"/>
      <c r="H1240" s="782"/>
      <c r="I1240" s="782"/>
      <c r="J1240" s="782"/>
      <c r="K1240" s="782"/>
      <c r="L1240" s="754"/>
      <c r="M1240" s="754"/>
      <c r="N1240" s="754"/>
      <c r="O1240" s="754"/>
      <c r="P1240" s="754"/>
      <c r="Q1240" s="754"/>
      <c r="R1240" s="754"/>
      <c r="S1240" s="754"/>
      <c r="T1240" s="754"/>
      <c r="U1240" s="754"/>
      <c r="V1240" s="754"/>
      <c r="W1240" s="754"/>
      <c r="X1240" s="754"/>
      <c r="Y1240" s="754"/>
      <c r="Z1240" s="754"/>
      <c r="AA1240" s="754"/>
      <c r="AB1240" s="754"/>
      <c r="AC1240" s="754"/>
      <c r="AD1240" s="754"/>
      <c r="AE1240" s="754"/>
      <c r="AF1240" s="754"/>
      <c r="AG1240" s="754"/>
      <c r="AH1240" s="754"/>
      <c r="AI1240" s="754"/>
      <c r="AJ1240" s="754"/>
      <c r="AK1240" s="754"/>
      <c r="AL1240" s="754"/>
      <c r="AM1240" s="754"/>
      <c r="AN1240" s="754"/>
      <c r="AO1240" s="754"/>
      <c r="AP1240" s="754"/>
      <c r="AQ1240" s="754"/>
      <c r="AR1240" s="754"/>
      <c r="AS1240" s="754"/>
      <c r="AT1240" s="754"/>
      <c r="AU1240" s="754"/>
    </row>
    <row r="1241" ht="15.75" customHeight="1">
      <c r="A1241" s="782"/>
      <c r="B1241" s="765"/>
      <c r="C1241" s="774"/>
      <c r="D1241" s="774"/>
      <c r="E1241" s="764"/>
      <c r="F1241" s="782"/>
      <c r="G1241" s="782"/>
      <c r="H1241" s="782"/>
      <c r="I1241" s="782"/>
      <c r="J1241" s="782"/>
      <c r="K1241" s="782"/>
      <c r="L1241" s="754"/>
      <c r="M1241" s="754"/>
      <c r="N1241" s="754"/>
      <c r="O1241" s="754"/>
      <c r="P1241" s="754"/>
      <c r="Q1241" s="754"/>
      <c r="R1241" s="754"/>
      <c r="S1241" s="754"/>
      <c r="T1241" s="754"/>
      <c r="U1241" s="754"/>
      <c r="V1241" s="754"/>
      <c r="W1241" s="754"/>
      <c r="X1241" s="754"/>
      <c r="Y1241" s="754"/>
      <c r="Z1241" s="754"/>
      <c r="AA1241" s="754"/>
      <c r="AB1241" s="754"/>
      <c r="AC1241" s="754"/>
      <c r="AD1241" s="754"/>
      <c r="AE1241" s="754"/>
      <c r="AF1241" s="754"/>
      <c r="AG1241" s="754"/>
      <c r="AH1241" s="754"/>
      <c r="AI1241" s="754"/>
      <c r="AJ1241" s="754"/>
      <c r="AK1241" s="754"/>
      <c r="AL1241" s="754"/>
      <c r="AM1241" s="754"/>
      <c r="AN1241" s="754"/>
      <c r="AO1241" s="754"/>
      <c r="AP1241" s="754"/>
      <c r="AQ1241" s="754"/>
      <c r="AR1241" s="754"/>
      <c r="AS1241" s="754"/>
      <c r="AT1241" s="754"/>
      <c r="AU1241" s="754"/>
    </row>
    <row r="1242" ht="15.75" customHeight="1">
      <c r="A1242" s="782"/>
      <c r="B1242" s="765"/>
      <c r="C1242" s="774"/>
      <c r="D1242" s="774"/>
      <c r="E1242" s="764"/>
      <c r="F1242" s="782"/>
      <c r="G1242" s="782"/>
      <c r="H1242" s="782"/>
      <c r="I1242" s="782"/>
      <c r="J1242" s="782"/>
      <c r="K1242" s="782"/>
      <c r="L1242" s="754"/>
      <c r="M1242" s="754"/>
      <c r="N1242" s="754"/>
      <c r="O1242" s="754"/>
      <c r="P1242" s="754"/>
      <c r="Q1242" s="754"/>
      <c r="R1242" s="754"/>
      <c r="S1242" s="754"/>
      <c r="T1242" s="754"/>
      <c r="U1242" s="754"/>
      <c r="V1242" s="754"/>
      <c r="W1242" s="754"/>
      <c r="X1242" s="754"/>
      <c r="Y1242" s="754"/>
      <c r="Z1242" s="754"/>
      <c r="AA1242" s="754"/>
      <c r="AB1242" s="754"/>
      <c r="AC1242" s="754"/>
      <c r="AD1242" s="754"/>
      <c r="AE1242" s="754"/>
      <c r="AF1242" s="754"/>
      <c r="AG1242" s="754"/>
      <c r="AH1242" s="754"/>
      <c r="AI1242" s="754"/>
      <c r="AJ1242" s="754"/>
      <c r="AK1242" s="754"/>
      <c r="AL1242" s="754"/>
      <c r="AM1242" s="754"/>
      <c r="AN1242" s="754"/>
      <c r="AO1242" s="754"/>
      <c r="AP1242" s="754"/>
      <c r="AQ1242" s="754"/>
      <c r="AR1242" s="754"/>
      <c r="AS1242" s="754"/>
      <c r="AT1242" s="754"/>
      <c r="AU1242" s="754"/>
    </row>
    <row r="1243" ht="15.75" customHeight="1">
      <c r="A1243" s="782"/>
      <c r="B1243" s="765"/>
      <c r="C1243" s="774"/>
      <c r="D1243" s="774"/>
      <c r="E1243" s="764"/>
      <c r="F1243" s="782"/>
      <c r="G1243" s="782"/>
      <c r="H1243" s="782"/>
      <c r="I1243" s="782"/>
      <c r="J1243" s="782"/>
      <c r="K1243" s="782"/>
      <c r="L1243" s="754"/>
      <c r="M1243" s="754"/>
      <c r="N1243" s="754"/>
      <c r="O1243" s="754"/>
      <c r="P1243" s="754"/>
      <c r="Q1243" s="754"/>
      <c r="R1243" s="754"/>
      <c r="S1243" s="754"/>
      <c r="T1243" s="754"/>
      <c r="U1243" s="754"/>
      <c r="V1243" s="754"/>
      <c r="W1243" s="754"/>
      <c r="X1243" s="754"/>
      <c r="Y1243" s="754"/>
      <c r="Z1243" s="754"/>
      <c r="AA1243" s="754"/>
      <c r="AB1243" s="754"/>
      <c r="AC1243" s="754"/>
      <c r="AD1243" s="754"/>
      <c r="AE1243" s="754"/>
      <c r="AF1243" s="754"/>
      <c r="AG1243" s="754"/>
      <c r="AH1243" s="754"/>
      <c r="AI1243" s="754"/>
      <c r="AJ1243" s="754"/>
      <c r="AK1243" s="754"/>
      <c r="AL1243" s="754"/>
      <c r="AM1243" s="754"/>
      <c r="AN1243" s="754"/>
      <c r="AO1243" s="754"/>
      <c r="AP1243" s="754"/>
      <c r="AQ1243" s="754"/>
      <c r="AR1243" s="754"/>
      <c r="AS1243" s="754"/>
      <c r="AT1243" s="754"/>
      <c r="AU1243" s="754"/>
    </row>
    <row r="1244" ht="15.75" customHeight="1">
      <c r="A1244" s="782"/>
      <c r="B1244" s="765"/>
      <c r="C1244" s="774"/>
      <c r="D1244" s="774"/>
      <c r="E1244" s="764"/>
      <c r="F1244" s="782"/>
      <c r="G1244" s="782"/>
      <c r="H1244" s="782"/>
      <c r="I1244" s="782"/>
      <c r="J1244" s="782"/>
      <c r="K1244" s="782"/>
      <c r="L1244" s="754"/>
      <c r="M1244" s="754"/>
      <c r="N1244" s="754"/>
      <c r="O1244" s="754"/>
      <c r="P1244" s="754"/>
      <c r="Q1244" s="754"/>
      <c r="R1244" s="754"/>
      <c r="S1244" s="754"/>
      <c r="T1244" s="754"/>
      <c r="U1244" s="754"/>
      <c r="V1244" s="754"/>
      <c r="W1244" s="754"/>
      <c r="X1244" s="754"/>
      <c r="Y1244" s="754"/>
      <c r="Z1244" s="754"/>
      <c r="AA1244" s="754"/>
      <c r="AB1244" s="754"/>
      <c r="AC1244" s="754"/>
      <c r="AD1244" s="754"/>
      <c r="AE1244" s="754"/>
      <c r="AF1244" s="754"/>
      <c r="AG1244" s="754"/>
      <c r="AH1244" s="754"/>
      <c r="AI1244" s="754"/>
      <c r="AJ1244" s="754"/>
      <c r="AK1244" s="754"/>
      <c r="AL1244" s="754"/>
      <c r="AM1244" s="754"/>
      <c r="AN1244" s="754"/>
      <c r="AO1244" s="754"/>
      <c r="AP1244" s="754"/>
      <c r="AQ1244" s="754"/>
      <c r="AR1244" s="754"/>
      <c r="AS1244" s="754"/>
      <c r="AT1244" s="754"/>
      <c r="AU1244" s="754"/>
    </row>
    <row r="1245" ht="15.75" customHeight="1">
      <c r="A1245" s="782"/>
      <c r="B1245" s="765"/>
      <c r="C1245" s="774"/>
      <c r="D1245" s="774"/>
      <c r="E1245" s="764"/>
      <c r="F1245" s="782"/>
      <c r="G1245" s="782"/>
      <c r="H1245" s="782"/>
      <c r="I1245" s="782"/>
      <c r="J1245" s="782"/>
      <c r="K1245" s="782"/>
      <c r="L1245" s="754"/>
      <c r="M1245" s="754"/>
      <c r="N1245" s="754"/>
      <c r="O1245" s="754"/>
      <c r="P1245" s="754"/>
      <c r="Q1245" s="754"/>
      <c r="R1245" s="754"/>
      <c r="S1245" s="754"/>
      <c r="T1245" s="754"/>
      <c r="U1245" s="754"/>
      <c r="V1245" s="754"/>
      <c r="W1245" s="754"/>
      <c r="X1245" s="754"/>
      <c r="Y1245" s="754"/>
      <c r="Z1245" s="754"/>
      <c r="AA1245" s="754"/>
      <c r="AB1245" s="754"/>
      <c r="AC1245" s="754"/>
      <c r="AD1245" s="754"/>
      <c r="AE1245" s="754"/>
      <c r="AF1245" s="754"/>
      <c r="AG1245" s="754"/>
      <c r="AH1245" s="754"/>
      <c r="AI1245" s="754"/>
      <c r="AJ1245" s="754"/>
      <c r="AK1245" s="754"/>
      <c r="AL1245" s="754"/>
      <c r="AM1245" s="754"/>
      <c r="AN1245" s="754"/>
      <c r="AO1245" s="754"/>
      <c r="AP1245" s="754"/>
      <c r="AQ1245" s="754"/>
      <c r="AR1245" s="754"/>
      <c r="AS1245" s="754"/>
      <c r="AT1245" s="754"/>
      <c r="AU1245" s="754"/>
    </row>
    <row r="1246" ht="15.75" customHeight="1">
      <c r="A1246" s="782"/>
      <c r="B1246" s="765"/>
      <c r="C1246" s="774"/>
      <c r="D1246" s="774"/>
      <c r="E1246" s="764"/>
      <c r="F1246" s="782"/>
      <c r="G1246" s="782"/>
      <c r="H1246" s="782"/>
      <c r="I1246" s="782"/>
      <c r="J1246" s="782"/>
      <c r="K1246" s="782"/>
      <c r="L1246" s="754"/>
      <c r="M1246" s="754"/>
      <c r="N1246" s="754"/>
      <c r="O1246" s="754"/>
      <c r="P1246" s="754"/>
      <c r="Q1246" s="754"/>
      <c r="R1246" s="754"/>
      <c r="S1246" s="754"/>
      <c r="T1246" s="754"/>
      <c r="U1246" s="754"/>
      <c r="V1246" s="754"/>
      <c r="W1246" s="754"/>
      <c r="X1246" s="754"/>
      <c r="Y1246" s="754"/>
      <c r="Z1246" s="754"/>
      <c r="AA1246" s="754"/>
      <c r="AB1246" s="754"/>
      <c r="AC1246" s="754"/>
      <c r="AD1246" s="754"/>
      <c r="AE1246" s="754"/>
      <c r="AF1246" s="754"/>
      <c r="AG1246" s="754"/>
      <c r="AH1246" s="754"/>
      <c r="AI1246" s="754"/>
      <c r="AJ1246" s="754"/>
      <c r="AK1246" s="754"/>
      <c r="AL1246" s="754"/>
      <c r="AM1246" s="754"/>
      <c r="AN1246" s="754"/>
      <c r="AO1246" s="754"/>
      <c r="AP1246" s="754"/>
      <c r="AQ1246" s="754"/>
      <c r="AR1246" s="754"/>
      <c r="AS1246" s="754"/>
      <c r="AT1246" s="754"/>
      <c r="AU1246" s="754"/>
    </row>
    <row r="1247" ht="15.75" customHeight="1">
      <c r="A1247" s="782"/>
      <c r="B1247" s="765"/>
      <c r="C1247" s="774"/>
      <c r="D1247" s="774"/>
      <c r="E1247" s="764"/>
      <c r="F1247" s="782"/>
      <c r="G1247" s="782"/>
      <c r="H1247" s="782"/>
      <c r="I1247" s="782"/>
      <c r="J1247" s="782"/>
      <c r="K1247" s="782"/>
      <c r="L1247" s="754"/>
      <c r="M1247" s="754"/>
      <c r="N1247" s="754"/>
      <c r="O1247" s="754"/>
      <c r="P1247" s="754"/>
      <c r="Q1247" s="754"/>
      <c r="R1247" s="754"/>
      <c r="S1247" s="754"/>
      <c r="T1247" s="754"/>
      <c r="U1247" s="754"/>
      <c r="V1247" s="754"/>
      <c r="W1247" s="754"/>
      <c r="X1247" s="754"/>
      <c r="Y1247" s="754"/>
      <c r="Z1247" s="754"/>
      <c r="AA1247" s="754"/>
      <c r="AB1247" s="754"/>
      <c r="AC1247" s="754"/>
      <c r="AD1247" s="754"/>
      <c r="AE1247" s="754"/>
      <c r="AF1247" s="754"/>
      <c r="AG1247" s="754"/>
      <c r="AH1247" s="754"/>
      <c r="AI1247" s="754"/>
      <c r="AJ1247" s="754"/>
      <c r="AK1247" s="754"/>
      <c r="AL1247" s="754"/>
      <c r="AM1247" s="754"/>
      <c r="AN1247" s="754"/>
      <c r="AO1247" s="754"/>
      <c r="AP1247" s="754"/>
      <c r="AQ1247" s="754"/>
      <c r="AR1247" s="754"/>
      <c r="AS1247" s="754"/>
      <c r="AT1247" s="754"/>
      <c r="AU1247" s="754"/>
    </row>
    <row r="1248" ht="15.75" customHeight="1">
      <c r="A1248" s="782"/>
      <c r="B1248" s="765"/>
      <c r="C1248" s="774"/>
      <c r="D1248" s="774"/>
      <c r="E1248" s="764"/>
      <c r="F1248" s="782"/>
      <c r="G1248" s="782"/>
      <c r="H1248" s="782"/>
      <c r="I1248" s="782"/>
      <c r="J1248" s="782"/>
      <c r="K1248" s="782"/>
      <c r="L1248" s="754"/>
      <c r="M1248" s="754"/>
      <c r="N1248" s="754"/>
      <c r="O1248" s="754"/>
      <c r="P1248" s="754"/>
      <c r="Q1248" s="754"/>
      <c r="R1248" s="754"/>
      <c r="S1248" s="754"/>
      <c r="T1248" s="754"/>
      <c r="U1248" s="754"/>
      <c r="V1248" s="754"/>
      <c r="W1248" s="754"/>
      <c r="X1248" s="754"/>
      <c r="Y1248" s="754"/>
      <c r="Z1248" s="754"/>
      <c r="AA1248" s="754"/>
      <c r="AB1248" s="754"/>
      <c r="AC1248" s="754"/>
      <c r="AD1248" s="754"/>
      <c r="AE1248" s="754"/>
      <c r="AF1248" s="754"/>
      <c r="AG1248" s="754"/>
      <c r="AH1248" s="754"/>
      <c r="AI1248" s="754"/>
      <c r="AJ1248" s="754"/>
      <c r="AK1248" s="754"/>
      <c r="AL1248" s="754"/>
      <c r="AM1248" s="754"/>
      <c r="AN1248" s="754"/>
      <c r="AO1248" s="754"/>
      <c r="AP1248" s="754"/>
      <c r="AQ1248" s="754"/>
      <c r="AR1248" s="754"/>
      <c r="AS1248" s="754"/>
      <c r="AT1248" s="754"/>
      <c r="AU1248" s="754"/>
    </row>
    <row r="1249" ht="15.75" customHeight="1">
      <c r="A1249" s="782"/>
      <c r="B1249" s="765"/>
      <c r="C1249" s="774"/>
      <c r="D1249" s="774"/>
      <c r="E1249" s="764"/>
      <c r="F1249" s="782"/>
      <c r="G1249" s="782"/>
      <c r="H1249" s="782"/>
      <c r="I1249" s="782"/>
      <c r="J1249" s="782"/>
      <c r="K1249" s="782"/>
      <c r="L1249" s="754"/>
      <c r="M1249" s="754"/>
      <c r="N1249" s="754"/>
      <c r="O1249" s="754"/>
      <c r="P1249" s="754"/>
      <c r="Q1249" s="754"/>
      <c r="R1249" s="754"/>
      <c r="S1249" s="754"/>
      <c r="T1249" s="754"/>
      <c r="U1249" s="754"/>
      <c r="V1249" s="754"/>
      <c r="W1249" s="754"/>
      <c r="X1249" s="754"/>
      <c r="Y1249" s="754"/>
      <c r="Z1249" s="754"/>
      <c r="AA1249" s="754"/>
      <c r="AB1249" s="754"/>
      <c r="AC1249" s="754"/>
      <c r="AD1249" s="754"/>
      <c r="AE1249" s="754"/>
      <c r="AF1249" s="754"/>
      <c r="AG1249" s="754"/>
      <c r="AH1249" s="754"/>
      <c r="AI1249" s="754"/>
      <c r="AJ1249" s="754"/>
      <c r="AK1249" s="754"/>
      <c r="AL1249" s="754"/>
      <c r="AM1249" s="754"/>
      <c r="AN1249" s="754"/>
      <c r="AO1249" s="754"/>
      <c r="AP1249" s="754"/>
      <c r="AQ1249" s="754"/>
      <c r="AR1249" s="754"/>
      <c r="AS1249" s="754"/>
      <c r="AT1249" s="754"/>
      <c r="AU1249" s="754"/>
    </row>
    <row r="1250" ht="15.75" customHeight="1">
      <c r="A1250" s="782"/>
      <c r="B1250" s="765"/>
      <c r="C1250" s="774"/>
      <c r="D1250" s="774"/>
      <c r="E1250" s="764"/>
      <c r="F1250" s="782"/>
      <c r="G1250" s="782"/>
      <c r="H1250" s="782"/>
      <c r="I1250" s="782"/>
      <c r="J1250" s="782"/>
      <c r="K1250" s="782"/>
      <c r="L1250" s="754"/>
      <c r="M1250" s="754"/>
      <c r="N1250" s="754"/>
      <c r="O1250" s="754"/>
      <c r="P1250" s="754"/>
      <c r="Q1250" s="754"/>
      <c r="R1250" s="754"/>
      <c r="S1250" s="754"/>
      <c r="T1250" s="754"/>
      <c r="U1250" s="754"/>
      <c r="V1250" s="754"/>
      <c r="W1250" s="754"/>
      <c r="X1250" s="754"/>
      <c r="Y1250" s="754"/>
      <c r="Z1250" s="754"/>
      <c r="AA1250" s="754"/>
      <c r="AB1250" s="754"/>
      <c r="AC1250" s="754"/>
      <c r="AD1250" s="754"/>
      <c r="AE1250" s="754"/>
      <c r="AF1250" s="754"/>
      <c r="AG1250" s="754"/>
      <c r="AH1250" s="754"/>
      <c r="AI1250" s="754"/>
      <c r="AJ1250" s="754"/>
      <c r="AK1250" s="754"/>
      <c r="AL1250" s="754"/>
      <c r="AM1250" s="754"/>
      <c r="AN1250" s="754"/>
      <c r="AO1250" s="754"/>
      <c r="AP1250" s="754"/>
      <c r="AQ1250" s="754"/>
      <c r="AR1250" s="754"/>
      <c r="AS1250" s="754"/>
      <c r="AT1250" s="754"/>
      <c r="AU1250" s="754"/>
    </row>
    <row r="1251" ht="15.75" customHeight="1">
      <c r="A1251" s="782"/>
      <c r="B1251" s="765"/>
      <c r="C1251" s="774"/>
      <c r="D1251" s="774"/>
      <c r="E1251" s="764"/>
      <c r="F1251" s="782"/>
      <c r="G1251" s="782"/>
      <c r="H1251" s="782"/>
      <c r="I1251" s="782"/>
      <c r="J1251" s="782"/>
      <c r="K1251" s="782"/>
      <c r="L1251" s="754"/>
      <c r="M1251" s="754"/>
      <c r="N1251" s="754"/>
      <c r="O1251" s="754"/>
      <c r="P1251" s="754"/>
      <c r="Q1251" s="754"/>
      <c r="R1251" s="754"/>
      <c r="S1251" s="754"/>
      <c r="T1251" s="754"/>
      <c r="U1251" s="754"/>
      <c r="V1251" s="754"/>
      <c r="W1251" s="754"/>
      <c r="X1251" s="754"/>
      <c r="Y1251" s="754"/>
      <c r="Z1251" s="754"/>
      <c r="AA1251" s="754"/>
      <c r="AB1251" s="754"/>
      <c r="AC1251" s="754"/>
      <c r="AD1251" s="754"/>
      <c r="AE1251" s="754"/>
      <c r="AF1251" s="754"/>
      <c r="AG1251" s="754"/>
      <c r="AH1251" s="754"/>
      <c r="AI1251" s="754"/>
      <c r="AJ1251" s="754"/>
      <c r="AK1251" s="754"/>
      <c r="AL1251" s="754"/>
      <c r="AM1251" s="754"/>
      <c r="AN1251" s="754"/>
      <c r="AO1251" s="754"/>
      <c r="AP1251" s="754"/>
      <c r="AQ1251" s="754"/>
      <c r="AR1251" s="754"/>
      <c r="AS1251" s="754"/>
      <c r="AT1251" s="754"/>
      <c r="AU1251" s="754"/>
    </row>
    <row r="1252" ht="15.75" customHeight="1">
      <c r="A1252" s="782"/>
      <c r="B1252" s="765"/>
      <c r="C1252" s="774"/>
      <c r="D1252" s="774"/>
      <c r="E1252" s="764"/>
      <c r="F1252" s="782"/>
      <c r="G1252" s="782"/>
      <c r="H1252" s="782"/>
      <c r="I1252" s="782"/>
      <c r="J1252" s="782"/>
      <c r="K1252" s="782"/>
      <c r="L1252" s="754"/>
      <c r="M1252" s="754"/>
      <c r="N1252" s="754"/>
      <c r="O1252" s="754"/>
      <c r="P1252" s="754"/>
      <c r="Q1252" s="754"/>
      <c r="R1252" s="754"/>
      <c r="S1252" s="754"/>
      <c r="T1252" s="754"/>
      <c r="U1252" s="754"/>
      <c r="V1252" s="754"/>
      <c r="W1252" s="754"/>
      <c r="X1252" s="754"/>
      <c r="Y1252" s="754"/>
      <c r="Z1252" s="754"/>
      <c r="AA1252" s="754"/>
      <c r="AB1252" s="754"/>
      <c r="AC1252" s="754"/>
      <c r="AD1252" s="754"/>
      <c r="AE1252" s="754"/>
      <c r="AF1252" s="754"/>
      <c r="AG1252" s="754"/>
      <c r="AH1252" s="754"/>
      <c r="AI1252" s="754"/>
      <c r="AJ1252" s="754"/>
      <c r="AK1252" s="754"/>
      <c r="AL1252" s="754"/>
      <c r="AM1252" s="754"/>
      <c r="AN1252" s="754"/>
      <c r="AO1252" s="754"/>
      <c r="AP1252" s="754"/>
      <c r="AQ1252" s="754"/>
      <c r="AR1252" s="754"/>
      <c r="AS1252" s="754"/>
      <c r="AT1252" s="754"/>
      <c r="AU1252" s="754"/>
    </row>
    <row r="1253" ht="15.75" customHeight="1">
      <c r="A1253" s="782"/>
      <c r="B1253" s="765"/>
      <c r="C1253" s="774"/>
      <c r="D1253" s="774"/>
      <c r="E1253" s="764"/>
      <c r="F1253" s="782"/>
      <c r="G1253" s="782"/>
      <c r="H1253" s="782"/>
      <c r="I1253" s="782"/>
      <c r="J1253" s="782"/>
      <c r="K1253" s="782"/>
      <c r="L1253" s="754"/>
      <c r="M1253" s="754"/>
      <c r="N1253" s="754"/>
      <c r="O1253" s="754"/>
      <c r="P1253" s="754"/>
      <c r="Q1253" s="754"/>
      <c r="R1253" s="754"/>
      <c r="S1253" s="754"/>
      <c r="T1253" s="754"/>
      <c r="U1253" s="754"/>
      <c r="V1253" s="754"/>
      <c r="W1253" s="754"/>
      <c r="X1253" s="754"/>
      <c r="Y1253" s="754"/>
      <c r="Z1253" s="754"/>
      <c r="AA1253" s="754"/>
      <c r="AB1253" s="754"/>
      <c r="AC1253" s="754"/>
      <c r="AD1253" s="754"/>
      <c r="AE1253" s="754"/>
      <c r="AF1253" s="754"/>
      <c r="AG1253" s="754"/>
      <c r="AH1253" s="754"/>
      <c r="AI1253" s="754"/>
      <c r="AJ1253" s="754"/>
      <c r="AK1253" s="754"/>
      <c r="AL1253" s="754"/>
      <c r="AM1253" s="754"/>
      <c r="AN1253" s="754"/>
      <c r="AO1253" s="754"/>
      <c r="AP1253" s="754"/>
      <c r="AQ1253" s="754"/>
      <c r="AR1253" s="754"/>
      <c r="AS1253" s="754"/>
      <c r="AT1253" s="754"/>
      <c r="AU1253" s="754"/>
    </row>
    <row r="1254" ht="15.75" customHeight="1">
      <c r="A1254" s="782"/>
      <c r="B1254" s="765"/>
      <c r="C1254" s="774"/>
      <c r="D1254" s="774"/>
      <c r="E1254" s="764"/>
      <c r="F1254" s="782"/>
      <c r="G1254" s="782"/>
      <c r="H1254" s="782"/>
      <c r="I1254" s="782"/>
      <c r="J1254" s="782"/>
      <c r="K1254" s="782"/>
      <c r="L1254" s="754"/>
      <c r="M1254" s="754"/>
      <c r="N1254" s="754"/>
      <c r="O1254" s="754"/>
      <c r="P1254" s="754"/>
      <c r="Q1254" s="754"/>
      <c r="R1254" s="754"/>
      <c r="S1254" s="754"/>
      <c r="T1254" s="754"/>
      <c r="U1254" s="754"/>
      <c r="V1254" s="754"/>
      <c r="W1254" s="754"/>
      <c r="X1254" s="754"/>
      <c r="Y1254" s="754"/>
      <c r="Z1254" s="754"/>
      <c r="AA1254" s="754"/>
      <c r="AB1254" s="754"/>
      <c r="AC1254" s="754"/>
      <c r="AD1254" s="754"/>
      <c r="AE1254" s="754"/>
      <c r="AF1254" s="754"/>
      <c r="AG1254" s="754"/>
      <c r="AH1254" s="754"/>
      <c r="AI1254" s="754"/>
      <c r="AJ1254" s="754"/>
      <c r="AK1254" s="754"/>
      <c r="AL1254" s="754"/>
      <c r="AM1254" s="754"/>
      <c r="AN1254" s="754"/>
      <c r="AO1254" s="754"/>
      <c r="AP1254" s="754"/>
      <c r="AQ1254" s="754"/>
      <c r="AR1254" s="754"/>
      <c r="AS1254" s="754"/>
      <c r="AT1254" s="754"/>
      <c r="AU1254" s="754"/>
    </row>
    <row r="1255" ht="15.75" customHeight="1">
      <c r="A1255" s="782"/>
      <c r="B1255" s="765"/>
      <c r="C1255" s="774"/>
      <c r="D1255" s="774"/>
      <c r="E1255" s="764"/>
      <c r="F1255" s="782"/>
      <c r="G1255" s="782"/>
      <c r="H1255" s="782"/>
      <c r="I1255" s="782"/>
      <c r="J1255" s="782"/>
      <c r="K1255" s="782"/>
      <c r="L1255" s="754"/>
      <c r="M1255" s="754"/>
      <c r="N1255" s="754"/>
      <c r="O1255" s="754"/>
      <c r="P1255" s="754"/>
      <c r="Q1255" s="754"/>
      <c r="R1255" s="754"/>
      <c r="S1255" s="754"/>
      <c r="T1255" s="754"/>
      <c r="U1255" s="754"/>
      <c r="V1255" s="754"/>
      <c r="W1255" s="754"/>
      <c r="X1255" s="754"/>
      <c r="Y1255" s="754"/>
      <c r="Z1255" s="754"/>
      <c r="AA1255" s="754"/>
      <c r="AB1255" s="754"/>
      <c r="AC1255" s="754"/>
      <c r="AD1255" s="754"/>
      <c r="AE1255" s="754"/>
      <c r="AF1255" s="754"/>
      <c r="AG1255" s="754"/>
      <c r="AH1255" s="754"/>
      <c r="AI1255" s="754"/>
      <c r="AJ1255" s="754"/>
      <c r="AK1255" s="754"/>
      <c r="AL1255" s="754"/>
      <c r="AM1255" s="754"/>
      <c r="AN1255" s="754"/>
      <c r="AO1255" s="754"/>
      <c r="AP1255" s="754"/>
      <c r="AQ1255" s="754"/>
      <c r="AR1255" s="754"/>
      <c r="AS1255" s="754"/>
      <c r="AT1255" s="754"/>
      <c r="AU1255" s="754"/>
    </row>
    <row r="1256" ht="15.75" customHeight="1">
      <c r="A1256" s="782"/>
      <c r="B1256" s="765"/>
      <c r="C1256" s="774"/>
      <c r="D1256" s="774"/>
      <c r="E1256" s="764"/>
      <c r="F1256" s="782"/>
      <c r="G1256" s="782"/>
      <c r="H1256" s="782"/>
      <c r="I1256" s="782"/>
      <c r="J1256" s="782"/>
      <c r="K1256" s="782"/>
      <c r="L1256" s="754"/>
      <c r="M1256" s="754"/>
      <c r="N1256" s="754"/>
      <c r="O1256" s="754"/>
      <c r="P1256" s="754"/>
      <c r="Q1256" s="754"/>
      <c r="R1256" s="754"/>
      <c r="S1256" s="754"/>
      <c r="T1256" s="754"/>
      <c r="U1256" s="754"/>
      <c r="V1256" s="754"/>
      <c r="W1256" s="754"/>
      <c r="X1256" s="754"/>
      <c r="Y1256" s="754"/>
      <c r="Z1256" s="754"/>
      <c r="AA1256" s="754"/>
      <c r="AB1256" s="754"/>
      <c r="AC1256" s="754"/>
      <c r="AD1256" s="754"/>
      <c r="AE1256" s="754"/>
      <c r="AF1256" s="754"/>
      <c r="AG1256" s="754"/>
      <c r="AH1256" s="754"/>
      <c r="AI1256" s="754"/>
      <c r="AJ1256" s="754"/>
      <c r="AK1256" s="754"/>
      <c r="AL1256" s="754"/>
      <c r="AM1256" s="754"/>
      <c r="AN1256" s="754"/>
      <c r="AO1256" s="754"/>
      <c r="AP1256" s="754"/>
      <c r="AQ1256" s="754"/>
      <c r="AR1256" s="754"/>
      <c r="AS1256" s="754"/>
      <c r="AT1256" s="754"/>
      <c r="AU1256" s="754"/>
    </row>
    <row r="1257" ht="15.75" customHeight="1">
      <c r="A1257" s="782"/>
      <c r="B1257" s="765"/>
      <c r="C1257" s="774"/>
      <c r="D1257" s="774"/>
      <c r="E1257" s="764"/>
      <c r="F1257" s="782"/>
      <c r="G1257" s="782"/>
      <c r="H1257" s="782"/>
      <c r="I1257" s="782"/>
      <c r="J1257" s="782"/>
      <c r="K1257" s="782"/>
      <c r="L1257" s="754"/>
      <c r="M1257" s="754"/>
      <c r="N1257" s="754"/>
      <c r="O1257" s="754"/>
      <c r="P1257" s="754"/>
      <c r="Q1257" s="754"/>
      <c r="R1257" s="754"/>
      <c r="S1257" s="754"/>
      <c r="T1257" s="754"/>
      <c r="U1257" s="754"/>
      <c r="V1257" s="754"/>
      <c r="W1257" s="754"/>
      <c r="X1257" s="754"/>
      <c r="Y1257" s="754"/>
      <c r="Z1257" s="754"/>
      <c r="AA1257" s="754"/>
      <c r="AB1257" s="754"/>
      <c r="AC1257" s="754"/>
      <c r="AD1257" s="754"/>
      <c r="AE1257" s="754"/>
      <c r="AF1257" s="754"/>
      <c r="AG1257" s="754"/>
      <c r="AH1257" s="754"/>
      <c r="AI1257" s="754"/>
      <c r="AJ1257" s="754"/>
      <c r="AK1257" s="754"/>
      <c r="AL1257" s="754"/>
      <c r="AM1257" s="754"/>
      <c r="AN1257" s="754"/>
      <c r="AO1257" s="754"/>
      <c r="AP1257" s="754"/>
      <c r="AQ1257" s="754"/>
      <c r="AR1257" s="754"/>
      <c r="AS1257" s="754"/>
      <c r="AT1257" s="754"/>
      <c r="AU1257" s="754"/>
    </row>
    <row r="1258" ht="15.75" customHeight="1">
      <c r="A1258" s="782"/>
      <c r="B1258" s="765"/>
      <c r="C1258" s="774"/>
      <c r="D1258" s="774"/>
      <c r="E1258" s="764"/>
      <c r="F1258" s="782"/>
      <c r="G1258" s="782"/>
      <c r="H1258" s="782"/>
      <c r="I1258" s="782"/>
      <c r="J1258" s="782"/>
      <c r="K1258" s="782"/>
      <c r="L1258" s="754"/>
      <c r="M1258" s="754"/>
      <c r="N1258" s="754"/>
      <c r="O1258" s="754"/>
      <c r="P1258" s="754"/>
      <c r="Q1258" s="754"/>
      <c r="R1258" s="754"/>
      <c r="S1258" s="754"/>
      <c r="T1258" s="754"/>
      <c r="U1258" s="754"/>
      <c r="V1258" s="754"/>
      <c r="W1258" s="754"/>
      <c r="X1258" s="754"/>
      <c r="Y1258" s="754"/>
      <c r="Z1258" s="754"/>
      <c r="AA1258" s="754"/>
      <c r="AB1258" s="754"/>
      <c r="AC1258" s="754"/>
      <c r="AD1258" s="754"/>
      <c r="AE1258" s="754"/>
      <c r="AF1258" s="754"/>
      <c r="AG1258" s="754"/>
      <c r="AH1258" s="754"/>
      <c r="AI1258" s="754"/>
      <c r="AJ1258" s="754"/>
      <c r="AK1258" s="754"/>
      <c r="AL1258" s="754"/>
      <c r="AM1258" s="754"/>
      <c r="AN1258" s="754"/>
      <c r="AO1258" s="754"/>
      <c r="AP1258" s="754"/>
      <c r="AQ1258" s="754"/>
      <c r="AR1258" s="754"/>
      <c r="AS1258" s="754"/>
      <c r="AT1258" s="754"/>
      <c r="AU1258" s="754"/>
    </row>
    <row r="1259" ht="15.75" customHeight="1">
      <c r="A1259" s="782"/>
      <c r="B1259" s="765"/>
      <c r="C1259" s="774"/>
      <c r="D1259" s="774"/>
      <c r="E1259" s="764"/>
      <c r="F1259" s="782"/>
      <c r="G1259" s="782"/>
      <c r="H1259" s="782"/>
      <c r="I1259" s="782"/>
      <c r="J1259" s="782"/>
      <c r="K1259" s="782"/>
      <c r="L1259" s="754"/>
      <c r="M1259" s="754"/>
      <c r="N1259" s="754"/>
      <c r="O1259" s="754"/>
      <c r="P1259" s="754"/>
      <c r="Q1259" s="754"/>
      <c r="R1259" s="754"/>
      <c r="S1259" s="754"/>
      <c r="T1259" s="754"/>
      <c r="U1259" s="754"/>
      <c r="V1259" s="754"/>
      <c r="W1259" s="754"/>
      <c r="X1259" s="754"/>
      <c r="Y1259" s="754"/>
      <c r="Z1259" s="754"/>
      <c r="AA1259" s="754"/>
      <c r="AB1259" s="754"/>
      <c r="AC1259" s="754"/>
      <c r="AD1259" s="754"/>
      <c r="AE1259" s="754"/>
      <c r="AF1259" s="754"/>
      <c r="AG1259" s="754"/>
      <c r="AH1259" s="754"/>
      <c r="AI1259" s="754"/>
      <c r="AJ1259" s="754"/>
      <c r="AK1259" s="754"/>
      <c r="AL1259" s="754"/>
      <c r="AM1259" s="754"/>
      <c r="AN1259" s="754"/>
      <c r="AO1259" s="754"/>
      <c r="AP1259" s="754"/>
      <c r="AQ1259" s="754"/>
      <c r="AR1259" s="754"/>
      <c r="AS1259" s="754"/>
      <c r="AT1259" s="754"/>
      <c r="AU1259" s="754"/>
    </row>
    <row r="1260" ht="15.75" customHeight="1">
      <c r="A1260" s="782"/>
      <c r="B1260" s="765"/>
      <c r="C1260" s="774"/>
      <c r="D1260" s="774"/>
      <c r="E1260" s="764"/>
      <c r="F1260" s="782"/>
      <c r="G1260" s="782"/>
      <c r="H1260" s="782"/>
      <c r="I1260" s="782"/>
      <c r="J1260" s="782"/>
      <c r="K1260" s="782"/>
      <c r="L1260" s="754"/>
      <c r="M1260" s="754"/>
      <c r="N1260" s="754"/>
      <c r="O1260" s="754"/>
      <c r="P1260" s="754"/>
      <c r="Q1260" s="754"/>
      <c r="R1260" s="754"/>
      <c r="S1260" s="754"/>
      <c r="T1260" s="754"/>
      <c r="U1260" s="754"/>
      <c r="V1260" s="754"/>
      <c r="W1260" s="754"/>
      <c r="X1260" s="754"/>
      <c r="Y1260" s="754"/>
      <c r="Z1260" s="754"/>
      <c r="AA1260" s="754"/>
      <c r="AB1260" s="754"/>
      <c r="AC1260" s="754"/>
      <c r="AD1260" s="754"/>
      <c r="AE1260" s="754"/>
      <c r="AF1260" s="754"/>
      <c r="AG1260" s="754"/>
      <c r="AH1260" s="754"/>
      <c r="AI1260" s="754"/>
      <c r="AJ1260" s="754"/>
      <c r="AK1260" s="754"/>
      <c r="AL1260" s="754"/>
      <c r="AM1260" s="754"/>
      <c r="AN1260" s="754"/>
      <c r="AO1260" s="754"/>
      <c r="AP1260" s="754"/>
      <c r="AQ1260" s="754"/>
      <c r="AR1260" s="754"/>
      <c r="AS1260" s="754"/>
      <c r="AT1260" s="754"/>
      <c r="AU1260" s="754"/>
    </row>
    <row r="1261" ht="15.75" customHeight="1">
      <c r="A1261" s="782"/>
      <c r="B1261" s="765"/>
      <c r="C1261" s="774"/>
      <c r="D1261" s="774"/>
      <c r="E1261" s="764"/>
      <c r="F1261" s="782"/>
      <c r="G1261" s="782"/>
      <c r="H1261" s="782"/>
      <c r="I1261" s="782"/>
      <c r="J1261" s="782"/>
      <c r="K1261" s="782"/>
      <c r="L1261" s="754"/>
      <c r="M1261" s="754"/>
      <c r="N1261" s="754"/>
      <c r="O1261" s="754"/>
      <c r="P1261" s="754"/>
      <c r="Q1261" s="754"/>
      <c r="R1261" s="754"/>
      <c r="S1261" s="754"/>
      <c r="T1261" s="754"/>
      <c r="U1261" s="754"/>
      <c r="V1261" s="754"/>
      <c r="W1261" s="754"/>
      <c r="X1261" s="754"/>
      <c r="Y1261" s="754"/>
      <c r="Z1261" s="754"/>
      <c r="AA1261" s="754"/>
      <c r="AB1261" s="754"/>
      <c r="AC1261" s="754"/>
      <c r="AD1261" s="754"/>
      <c r="AE1261" s="754"/>
      <c r="AF1261" s="754"/>
      <c r="AG1261" s="754"/>
      <c r="AH1261" s="754"/>
      <c r="AI1261" s="754"/>
      <c r="AJ1261" s="754"/>
      <c r="AK1261" s="754"/>
      <c r="AL1261" s="754"/>
      <c r="AM1261" s="754"/>
      <c r="AN1261" s="754"/>
      <c r="AO1261" s="754"/>
      <c r="AP1261" s="754"/>
      <c r="AQ1261" s="754"/>
      <c r="AR1261" s="754"/>
      <c r="AS1261" s="754"/>
      <c r="AT1261" s="754"/>
      <c r="AU1261" s="754"/>
    </row>
    <row r="1262" ht="15.75" customHeight="1">
      <c r="A1262" s="782"/>
      <c r="B1262" s="765"/>
      <c r="C1262" s="774"/>
      <c r="D1262" s="774"/>
      <c r="E1262" s="764"/>
      <c r="F1262" s="782"/>
      <c r="G1262" s="782"/>
      <c r="H1262" s="782"/>
      <c r="I1262" s="782"/>
      <c r="J1262" s="782"/>
      <c r="K1262" s="782"/>
      <c r="L1262" s="754"/>
      <c r="M1262" s="754"/>
      <c r="N1262" s="754"/>
      <c r="O1262" s="754"/>
      <c r="P1262" s="754"/>
      <c r="Q1262" s="754"/>
      <c r="R1262" s="754"/>
      <c r="S1262" s="754"/>
      <c r="T1262" s="754"/>
      <c r="U1262" s="754"/>
      <c r="V1262" s="754"/>
      <c r="W1262" s="754"/>
      <c r="X1262" s="754"/>
      <c r="Y1262" s="754"/>
      <c r="Z1262" s="754"/>
      <c r="AA1262" s="754"/>
      <c r="AB1262" s="754"/>
      <c r="AC1262" s="754"/>
      <c r="AD1262" s="754"/>
      <c r="AE1262" s="754"/>
      <c r="AF1262" s="754"/>
      <c r="AG1262" s="754"/>
      <c r="AH1262" s="754"/>
      <c r="AI1262" s="754"/>
      <c r="AJ1262" s="754"/>
      <c r="AK1262" s="754"/>
      <c r="AL1262" s="754"/>
      <c r="AM1262" s="754"/>
      <c r="AN1262" s="754"/>
      <c r="AO1262" s="754"/>
      <c r="AP1262" s="754"/>
      <c r="AQ1262" s="754"/>
      <c r="AR1262" s="754"/>
      <c r="AS1262" s="754"/>
      <c r="AT1262" s="754"/>
      <c r="AU1262" s="754"/>
    </row>
    <row r="1263" ht="15.75" customHeight="1">
      <c r="A1263" s="782"/>
      <c r="B1263" s="765"/>
      <c r="C1263" s="774"/>
      <c r="D1263" s="774"/>
      <c r="E1263" s="764"/>
      <c r="F1263" s="782"/>
      <c r="G1263" s="782"/>
      <c r="H1263" s="782"/>
      <c r="I1263" s="782"/>
      <c r="J1263" s="782"/>
      <c r="K1263" s="782"/>
      <c r="L1263" s="754"/>
      <c r="M1263" s="754"/>
      <c r="N1263" s="754"/>
      <c r="O1263" s="754"/>
      <c r="P1263" s="754"/>
      <c r="Q1263" s="754"/>
      <c r="R1263" s="754"/>
      <c r="S1263" s="754"/>
      <c r="T1263" s="754"/>
      <c r="U1263" s="754"/>
      <c r="V1263" s="754"/>
      <c r="W1263" s="754"/>
      <c r="X1263" s="754"/>
      <c r="Y1263" s="754"/>
      <c r="Z1263" s="754"/>
      <c r="AA1263" s="754"/>
      <c r="AB1263" s="754"/>
      <c r="AC1263" s="754"/>
      <c r="AD1263" s="754"/>
      <c r="AE1263" s="754"/>
      <c r="AF1263" s="754"/>
      <c r="AG1263" s="754"/>
      <c r="AH1263" s="754"/>
      <c r="AI1263" s="754"/>
      <c r="AJ1263" s="754"/>
      <c r="AK1263" s="754"/>
      <c r="AL1263" s="754"/>
      <c r="AM1263" s="754"/>
      <c r="AN1263" s="754"/>
      <c r="AO1263" s="754"/>
      <c r="AP1263" s="754"/>
      <c r="AQ1263" s="754"/>
      <c r="AR1263" s="754"/>
      <c r="AS1263" s="754"/>
      <c r="AT1263" s="754"/>
      <c r="AU1263" s="754"/>
    </row>
    <row r="1264" ht="15.75" customHeight="1">
      <c r="A1264" s="782"/>
      <c r="B1264" s="765"/>
      <c r="C1264" s="774"/>
      <c r="D1264" s="774"/>
      <c r="E1264" s="764"/>
      <c r="F1264" s="782"/>
      <c r="G1264" s="782"/>
      <c r="H1264" s="782"/>
      <c r="I1264" s="782"/>
      <c r="J1264" s="782"/>
      <c r="K1264" s="782"/>
      <c r="L1264" s="754"/>
      <c r="M1264" s="754"/>
      <c r="N1264" s="754"/>
      <c r="O1264" s="754"/>
      <c r="P1264" s="754"/>
      <c r="Q1264" s="754"/>
      <c r="R1264" s="754"/>
      <c r="S1264" s="754"/>
      <c r="T1264" s="754"/>
      <c r="U1264" s="754"/>
      <c r="V1264" s="754"/>
      <c r="W1264" s="754"/>
      <c r="X1264" s="754"/>
      <c r="Y1264" s="754"/>
      <c r="Z1264" s="754"/>
      <c r="AA1264" s="754"/>
      <c r="AB1264" s="754"/>
      <c r="AC1264" s="754"/>
      <c r="AD1264" s="754"/>
      <c r="AE1264" s="754"/>
      <c r="AF1264" s="754"/>
      <c r="AG1264" s="754"/>
      <c r="AH1264" s="754"/>
      <c r="AI1264" s="754"/>
      <c r="AJ1264" s="754"/>
      <c r="AK1264" s="754"/>
      <c r="AL1264" s="754"/>
      <c r="AM1264" s="754"/>
      <c r="AN1264" s="754"/>
      <c r="AO1264" s="754"/>
      <c r="AP1264" s="754"/>
      <c r="AQ1264" s="754"/>
      <c r="AR1264" s="754"/>
      <c r="AS1264" s="754"/>
      <c r="AT1264" s="754"/>
      <c r="AU1264" s="754"/>
    </row>
    <row r="1265" ht="15.75" customHeight="1">
      <c r="A1265" s="782"/>
      <c r="B1265" s="765"/>
      <c r="C1265" s="774"/>
      <c r="D1265" s="774"/>
      <c r="E1265" s="764"/>
      <c r="F1265" s="782"/>
      <c r="G1265" s="782"/>
      <c r="H1265" s="782"/>
      <c r="I1265" s="782"/>
      <c r="J1265" s="782"/>
      <c r="K1265" s="782"/>
      <c r="L1265" s="754"/>
      <c r="M1265" s="754"/>
      <c r="N1265" s="754"/>
      <c r="O1265" s="754"/>
      <c r="P1265" s="754"/>
      <c r="Q1265" s="754"/>
      <c r="R1265" s="754"/>
      <c r="S1265" s="754"/>
      <c r="T1265" s="754"/>
      <c r="U1265" s="754"/>
      <c r="V1265" s="754"/>
      <c r="W1265" s="754"/>
      <c r="X1265" s="754"/>
      <c r="Y1265" s="754"/>
      <c r="Z1265" s="754"/>
      <c r="AA1265" s="754"/>
      <c r="AB1265" s="754"/>
      <c r="AC1265" s="754"/>
      <c r="AD1265" s="754"/>
      <c r="AE1265" s="754"/>
      <c r="AF1265" s="754"/>
      <c r="AG1265" s="754"/>
      <c r="AH1265" s="754"/>
      <c r="AI1265" s="754"/>
      <c r="AJ1265" s="754"/>
      <c r="AK1265" s="754"/>
      <c r="AL1265" s="754"/>
      <c r="AM1265" s="754"/>
      <c r="AN1265" s="754"/>
      <c r="AO1265" s="754"/>
      <c r="AP1265" s="754"/>
      <c r="AQ1265" s="754"/>
      <c r="AR1265" s="754"/>
      <c r="AS1265" s="754"/>
      <c r="AT1265" s="754"/>
      <c r="AU1265" s="754"/>
    </row>
    <row r="1266" ht="15.75" customHeight="1">
      <c r="A1266" s="782"/>
      <c r="B1266" s="765"/>
      <c r="C1266" s="774"/>
      <c r="D1266" s="774"/>
      <c r="E1266" s="764"/>
      <c r="F1266" s="782"/>
      <c r="G1266" s="782"/>
      <c r="H1266" s="782"/>
      <c r="I1266" s="782"/>
      <c r="J1266" s="782"/>
      <c r="K1266" s="782"/>
      <c r="L1266" s="754"/>
      <c r="M1266" s="754"/>
      <c r="N1266" s="754"/>
      <c r="O1266" s="754"/>
      <c r="P1266" s="754"/>
      <c r="Q1266" s="754"/>
      <c r="R1266" s="754"/>
      <c r="S1266" s="754"/>
      <c r="T1266" s="754"/>
      <c r="U1266" s="754"/>
      <c r="V1266" s="754"/>
      <c r="W1266" s="754"/>
      <c r="X1266" s="754"/>
      <c r="Y1266" s="754"/>
      <c r="Z1266" s="754"/>
      <c r="AA1266" s="754"/>
      <c r="AB1266" s="754"/>
      <c r="AC1266" s="754"/>
      <c r="AD1266" s="754"/>
      <c r="AE1266" s="754"/>
      <c r="AF1266" s="754"/>
      <c r="AG1266" s="754"/>
      <c r="AH1266" s="754"/>
      <c r="AI1266" s="754"/>
      <c r="AJ1266" s="754"/>
      <c r="AK1266" s="754"/>
      <c r="AL1266" s="754"/>
      <c r="AM1266" s="754"/>
      <c r="AN1266" s="754"/>
      <c r="AO1266" s="754"/>
      <c r="AP1266" s="754"/>
      <c r="AQ1266" s="754"/>
      <c r="AR1266" s="754"/>
      <c r="AS1266" s="754"/>
      <c r="AT1266" s="754"/>
      <c r="AU1266" s="754"/>
    </row>
    <row r="1267" ht="15.75" customHeight="1">
      <c r="A1267" s="782"/>
      <c r="B1267" s="765"/>
      <c r="C1267" s="774"/>
      <c r="D1267" s="774"/>
      <c r="E1267" s="764"/>
      <c r="F1267" s="782"/>
      <c r="G1267" s="782"/>
      <c r="H1267" s="782"/>
      <c r="I1267" s="782"/>
      <c r="J1267" s="782"/>
      <c r="K1267" s="782"/>
      <c r="L1267" s="754"/>
      <c r="M1267" s="754"/>
      <c r="N1267" s="754"/>
      <c r="O1267" s="754"/>
      <c r="P1267" s="754"/>
      <c r="Q1267" s="754"/>
      <c r="R1267" s="754"/>
      <c r="S1267" s="754"/>
      <c r="T1267" s="754"/>
      <c r="U1267" s="754"/>
      <c r="V1267" s="754"/>
      <c r="W1267" s="754"/>
      <c r="X1267" s="754"/>
      <c r="Y1267" s="754"/>
      <c r="Z1267" s="754"/>
      <c r="AA1267" s="754"/>
      <c r="AB1267" s="754"/>
      <c r="AC1267" s="754"/>
      <c r="AD1267" s="754"/>
      <c r="AE1267" s="754"/>
      <c r="AF1267" s="754"/>
      <c r="AG1267" s="754"/>
      <c r="AH1267" s="754"/>
      <c r="AI1267" s="754"/>
      <c r="AJ1267" s="754"/>
      <c r="AK1267" s="754"/>
      <c r="AL1267" s="754"/>
      <c r="AM1267" s="754"/>
      <c r="AN1267" s="754"/>
      <c r="AO1267" s="754"/>
      <c r="AP1267" s="754"/>
      <c r="AQ1267" s="754"/>
      <c r="AR1267" s="754"/>
      <c r="AS1267" s="754"/>
      <c r="AT1267" s="754"/>
      <c r="AU1267" s="754"/>
    </row>
    <row r="1268" ht="15.75" customHeight="1">
      <c r="A1268" s="782"/>
      <c r="B1268" s="765"/>
      <c r="C1268" s="774"/>
      <c r="D1268" s="774"/>
      <c r="E1268" s="764"/>
      <c r="F1268" s="782"/>
      <c r="G1268" s="782"/>
      <c r="H1268" s="782"/>
      <c r="I1268" s="782"/>
      <c r="J1268" s="782"/>
      <c r="K1268" s="782"/>
      <c r="L1268" s="754"/>
      <c r="M1268" s="754"/>
      <c r="N1268" s="754"/>
      <c r="O1268" s="754"/>
      <c r="P1268" s="754"/>
      <c r="Q1268" s="754"/>
      <c r="R1268" s="754"/>
      <c r="S1268" s="754"/>
      <c r="T1268" s="754"/>
      <c r="U1268" s="754"/>
      <c r="V1268" s="754"/>
      <c r="W1268" s="754"/>
      <c r="X1268" s="754"/>
      <c r="Y1268" s="754"/>
      <c r="Z1268" s="754"/>
      <c r="AA1268" s="754"/>
      <c r="AB1268" s="754"/>
      <c r="AC1268" s="754"/>
      <c r="AD1268" s="754"/>
      <c r="AE1268" s="754"/>
      <c r="AF1268" s="754"/>
      <c r="AG1268" s="754"/>
      <c r="AH1268" s="754"/>
      <c r="AI1268" s="754"/>
      <c r="AJ1268" s="754"/>
      <c r="AK1268" s="754"/>
      <c r="AL1268" s="754"/>
      <c r="AM1268" s="754"/>
      <c r="AN1268" s="754"/>
      <c r="AO1268" s="754"/>
      <c r="AP1268" s="754"/>
      <c r="AQ1268" s="754"/>
      <c r="AR1268" s="754"/>
      <c r="AS1268" s="754"/>
      <c r="AT1268" s="754"/>
      <c r="AU1268" s="754"/>
    </row>
    <row r="1269" ht="15.75" customHeight="1">
      <c r="A1269" s="782"/>
      <c r="B1269" s="765"/>
      <c r="C1269" s="774"/>
      <c r="D1269" s="774"/>
      <c r="E1269" s="764"/>
      <c r="F1269" s="782"/>
      <c r="G1269" s="782"/>
      <c r="H1269" s="782"/>
      <c r="I1269" s="782"/>
      <c r="J1269" s="782"/>
      <c r="K1269" s="782"/>
      <c r="L1269" s="754"/>
      <c r="M1269" s="754"/>
      <c r="N1269" s="754"/>
      <c r="O1269" s="754"/>
      <c r="P1269" s="754"/>
      <c r="Q1269" s="754"/>
      <c r="R1269" s="754"/>
      <c r="S1269" s="754"/>
      <c r="T1269" s="754"/>
      <c r="U1269" s="754"/>
      <c r="V1269" s="754"/>
      <c r="W1269" s="754"/>
      <c r="X1269" s="754"/>
      <c r="Y1269" s="754"/>
      <c r="Z1269" s="754"/>
      <c r="AA1269" s="754"/>
      <c r="AB1269" s="754"/>
      <c r="AC1269" s="754"/>
      <c r="AD1269" s="754"/>
      <c r="AE1269" s="754"/>
      <c r="AF1269" s="754"/>
      <c r="AG1269" s="754"/>
      <c r="AH1269" s="754"/>
      <c r="AI1269" s="754"/>
      <c r="AJ1269" s="754"/>
      <c r="AK1269" s="754"/>
      <c r="AL1269" s="754"/>
      <c r="AM1269" s="754"/>
      <c r="AN1269" s="754"/>
      <c r="AO1269" s="754"/>
      <c r="AP1269" s="754"/>
      <c r="AQ1269" s="754"/>
      <c r="AR1269" s="754"/>
      <c r="AS1269" s="754"/>
      <c r="AT1269" s="754"/>
      <c r="AU1269" s="754"/>
    </row>
    <row r="1270" ht="15.75" customHeight="1">
      <c r="A1270" s="782"/>
      <c r="B1270" s="765"/>
      <c r="C1270" s="774"/>
      <c r="D1270" s="774"/>
      <c r="E1270" s="764"/>
      <c r="F1270" s="782"/>
      <c r="G1270" s="782"/>
      <c r="H1270" s="782"/>
      <c r="I1270" s="782"/>
      <c r="J1270" s="782"/>
      <c r="K1270" s="782"/>
      <c r="L1270" s="754"/>
      <c r="M1270" s="754"/>
      <c r="N1270" s="754"/>
      <c r="O1270" s="754"/>
      <c r="P1270" s="754"/>
      <c r="Q1270" s="754"/>
      <c r="R1270" s="754"/>
      <c r="S1270" s="754"/>
      <c r="T1270" s="754"/>
      <c r="U1270" s="754"/>
      <c r="V1270" s="754"/>
      <c r="W1270" s="754"/>
      <c r="X1270" s="754"/>
      <c r="Y1270" s="754"/>
      <c r="Z1270" s="754"/>
      <c r="AA1270" s="754"/>
      <c r="AB1270" s="754"/>
      <c r="AC1270" s="754"/>
      <c r="AD1270" s="754"/>
      <c r="AE1270" s="754"/>
      <c r="AF1270" s="754"/>
      <c r="AG1270" s="754"/>
      <c r="AH1270" s="754"/>
      <c r="AI1270" s="754"/>
      <c r="AJ1270" s="754"/>
      <c r="AK1270" s="754"/>
      <c r="AL1270" s="754"/>
      <c r="AM1270" s="754"/>
      <c r="AN1270" s="754"/>
      <c r="AO1270" s="754"/>
      <c r="AP1270" s="754"/>
      <c r="AQ1270" s="754"/>
      <c r="AR1270" s="754"/>
      <c r="AS1270" s="754"/>
      <c r="AT1270" s="754"/>
      <c r="AU1270" s="754"/>
    </row>
    <row r="1271" ht="15.75" customHeight="1">
      <c r="A1271" s="782"/>
      <c r="B1271" s="765"/>
      <c r="C1271" s="774"/>
      <c r="D1271" s="774"/>
      <c r="E1271" s="764"/>
      <c r="F1271" s="782"/>
      <c r="G1271" s="782"/>
      <c r="H1271" s="782"/>
      <c r="I1271" s="782"/>
      <c r="J1271" s="782"/>
      <c r="K1271" s="782"/>
      <c r="L1271" s="754"/>
      <c r="M1271" s="754"/>
      <c r="N1271" s="754"/>
      <c r="O1271" s="754"/>
      <c r="P1271" s="754"/>
      <c r="Q1271" s="754"/>
      <c r="R1271" s="754"/>
      <c r="S1271" s="754"/>
      <c r="T1271" s="754"/>
      <c r="U1271" s="754"/>
      <c r="V1271" s="754"/>
      <c r="W1271" s="754"/>
      <c r="X1271" s="754"/>
      <c r="Y1271" s="754"/>
      <c r="Z1271" s="754"/>
      <c r="AA1271" s="754"/>
      <c r="AB1271" s="754"/>
      <c r="AC1271" s="754"/>
      <c r="AD1271" s="754"/>
      <c r="AE1271" s="754"/>
      <c r="AF1271" s="754"/>
      <c r="AG1271" s="754"/>
      <c r="AH1271" s="754"/>
      <c r="AI1271" s="754"/>
      <c r="AJ1271" s="754"/>
      <c r="AK1271" s="754"/>
      <c r="AL1271" s="754"/>
      <c r="AM1271" s="754"/>
      <c r="AN1271" s="754"/>
      <c r="AO1271" s="754"/>
      <c r="AP1271" s="754"/>
      <c r="AQ1271" s="754"/>
      <c r="AR1271" s="754"/>
      <c r="AS1271" s="754"/>
      <c r="AT1271" s="754"/>
      <c r="AU1271" s="754"/>
    </row>
    <row r="1272" ht="15.75" customHeight="1">
      <c r="A1272" s="782"/>
      <c r="B1272" s="765"/>
      <c r="C1272" s="774"/>
      <c r="D1272" s="774"/>
      <c r="E1272" s="764"/>
      <c r="F1272" s="782"/>
      <c r="G1272" s="782"/>
      <c r="H1272" s="782"/>
      <c r="I1272" s="782"/>
      <c r="J1272" s="782"/>
      <c r="K1272" s="782"/>
      <c r="L1272" s="754"/>
      <c r="M1272" s="754"/>
      <c r="N1272" s="754"/>
      <c r="O1272" s="754"/>
      <c r="P1272" s="754"/>
      <c r="Q1272" s="754"/>
      <c r="R1272" s="754"/>
      <c r="S1272" s="754"/>
      <c r="T1272" s="754"/>
      <c r="U1272" s="754"/>
      <c r="V1272" s="754"/>
      <c r="W1272" s="754"/>
      <c r="X1272" s="754"/>
      <c r="Y1272" s="754"/>
      <c r="Z1272" s="754"/>
      <c r="AA1272" s="754"/>
      <c r="AB1272" s="754"/>
      <c r="AC1272" s="754"/>
      <c r="AD1272" s="754"/>
      <c r="AE1272" s="754"/>
      <c r="AF1272" s="754"/>
      <c r="AG1272" s="754"/>
      <c r="AH1272" s="754"/>
      <c r="AI1272" s="754"/>
      <c r="AJ1272" s="754"/>
      <c r="AK1272" s="754"/>
      <c r="AL1272" s="754"/>
      <c r="AM1272" s="754"/>
      <c r="AN1272" s="754"/>
      <c r="AO1272" s="754"/>
      <c r="AP1272" s="754"/>
      <c r="AQ1272" s="754"/>
      <c r="AR1272" s="754"/>
      <c r="AS1272" s="754"/>
      <c r="AT1272" s="754"/>
      <c r="AU1272" s="754"/>
    </row>
    <row r="1273" ht="15.75" customHeight="1">
      <c r="A1273" s="782"/>
      <c r="B1273" s="765"/>
      <c r="C1273" s="774"/>
      <c r="D1273" s="774"/>
      <c r="E1273" s="764"/>
      <c r="F1273" s="782"/>
      <c r="G1273" s="782"/>
      <c r="H1273" s="782"/>
      <c r="I1273" s="782"/>
      <c r="J1273" s="782"/>
      <c r="K1273" s="782"/>
      <c r="L1273" s="754"/>
      <c r="M1273" s="754"/>
      <c r="N1273" s="754"/>
      <c r="O1273" s="754"/>
      <c r="P1273" s="754"/>
      <c r="Q1273" s="754"/>
      <c r="R1273" s="754"/>
      <c r="S1273" s="754"/>
      <c r="T1273" s="754"/>
      <c r="U1273" s="754"/>
      <c r="V1273" s="754"/>
      <c r="W1273" s="754"/>
      <c r="X1273" s="754"/>
      <c r="Y1273" s="754"/>
      <c r="Z1273" s="754"/>
      <c r="AA1273" s="754"/>
      <c r="AB1273" s="754"/>
      <c r="AC1273" s="754"/>
      <c r="AD1273" s="754"/>
      <c r="AE1273" s="754"/>
      <c r="AF1273" s="754"/>
      <c r="AG1273" s="754"/>
      <c r="AH1273" s="754"/>
      <c r="AI1273" s="754"/>
      <c r="AJ1273" s="754"/>
      <c r="AK1273" s="754"/>
      <c r="AL1273" s="754"/>
      <c r="AM1273" s="754"/>
      <c r="AN1273" s="754"/>
      <c r="AO1273" s="754"/>
      <c r="AP1273" s="754"/>
      <c r="AQ1273" s="754"/>
      <c r="AR1273" s="754"/>
      <c r="AS1273" s="754"/>
      <c r="AT1273" s="754"/>
      <c r="AU1273" s="754"/>
    </row>
    <row r="1274" ht="15.75" customHeight="1">
      <c r="A1274" s="782"/>
      <c r="B1274" s="765"/>
      <c r="C1274" s="774"/>
      <c r="D1274" s="774"/>
      <c r="E1274" s="764"/>
      <c r="F1274" s="782"/>
      <c r="G1274" s="782"/>
      <c r="H1274" s="782"/>
      <c r="I1274" s="782"/>
      <c r="J1274" s="782"/>
      <c r="K1274" s="782"/>
      <c r="L1274" s="754"/>
      <c r="M1274" s="754"/>
      <c r="N1274" s="754"/>
      <c r="O1274" s="754"/>
      <c r="P1274" s="754"/>
      <c r="Q1274" s="754"/>
      <c r="R1274" s="754"/>
      <c r="S1274" s="754"/>
      <c r="T1274" s="754"/>
      <c r="U1274" s="754"/>
      <c r="V1274" s="754"/>
      <c r="W1274" s="754"/>
      <c r="X1274" s="754"/>
      <c r="Y1274" s="754"/>
      <c r="Z1274" s="754"/>
      <c r="AA1274" s="754"/>
      <c r="AB1274" s="754"/>
      <c r="AC1274" s="754"/>
      <c r="AD1274" s="754"/>
      <c r="AE1274" s="754"/>
      <c r="AF1274" s="754"/>
      <c r="AG1274" s="754"/>
      <c r="AH1274" s="754"/>
      <c r="AI1274" s="754"/>
      <c r="AJ1274" s="754"/>
      <c r="AK1274" s="754"/>
      <c r="AL1274" s="754"/>
      <c r="AM1274" s="754"/>
      <c r="AN1274" s="754"/>
      <c r="AO1274" s="754"/>
      <c r="AP1274" s="754"/>
      <c r="AQ1274" s="754"/>
      <c r="AR1274" s="754"/>
      <c r="AS1274" s="754"/>
      <c r="AT1274" s="754"/>
      <c r="AU1274" s="754"/>
    </row>
    <row r="1275" ht="15.75" customHeight="1">
      <c r="A1275" s="782"/>
      <c r="B1275" s="765"/>
      <c r="C1275" s="774"/>
      <c r="D1275" s="774"/>
      <c r="E1275" s="764"/>
      <c r="F1275" s="782"/>
      <c r="G1275" s="782"/>
      <c r="H1275" s="782"/>
      <c r="I1275" s="782"/>
      <c r="J1275" s="782"/>
      <c r="K1275" s="782"/>
      <c r="L1275" s="754"/>
      <c r="M1275" s="754"/>
      <c r="N1275" s="754"/>
      <c r="O1275" s="754"/>
      <c r="P1275" s="754"/>
      <c r="Q1275" s="754"/>
      <c r="R1275" s="754"/>
      <c r="S1275" s="754"/>
      <c r="T1275" s="754"/>
      <c r="U1275" s="754"/>
      <c r="V1275" s="754"/>
      <c r="W1275" s="754"/>
      <c r="X1275" s="754"/>
      <c r="Y1275" s="754"/>
      <c r="Z1275" s="754"/>
      <c r="AA1275" s="754"/>
      <c r="AB1275" s="754"/>
      <c r="AC1275" s="754"/>
      <c r="AD1275" s="754"/>
      <c r="AE1275" s="754"/>
      <c r="AF1275" s="754"/>
      <c r="AG1275" s="754"/>
      <c r="AH1275" s="754"/>
      <c r="AI1275" s="754"/>
      <c r="AJ1275" s="754"/>
      <c r="AK1275" s="754"/>
      <c r="AL1275" s="754"/>
      <c r="AM1275" s="754"/>
      <c r="AN1275" s="754"/>
      <c r="AO1275" s="754"/>
      <c r="AP1275" s="754"/>
      <c r="AQ1275" s="754"/>
      <c r="AR1275" s="754"/>
      <c r="AS1275" s="754"/>
      <c r="AT1275" s="754"/>
      <c r="AU1275" s="754"/>
    </row>
    <row r="1276" ht="15.75" customHeight="1">
      <c r="A1276" s="782"/>
      <c r="B1276" s="765"/>
      <c r="C1276" s="774"/>
      <c r="D1276" s="774"/>
      <c r="E1276" s="764"/>
      <c r="F1276" s="782"/>
      <c r="G1276" s="782"/>
      <c r="H1276" s="782"/>
      <c r="I1276" s="782"/>
      <c r="J1276" s="782"/>
      <c r="K1276" s="782"/>
      <c r="L1276" s="754"/>
      <c r="M1276" s="754"/>
      <c r="N1276" s="754"/>
      <c r="O1276" s="754"/>
      <c r="P1276" s="754"/>
      <c r="Q1276" s="754"/>
      <c r="R1276" s="754"/>
      <c r="S1276" s="754"/>
      <c r="T1276" s="754"/>
      <c r="U1276" s="754"/>
      <c r="V1276" s="754"/>
      <c r="W1276" s="754"/>
      <c r="X1276" s="754"/>
      <c r="Y1276" s="754"/>
      <c r="Z1276" s="754"/>
      <c r="AA1276" s="754"/>
      <c r="AB1276" s="754"/>
      <c r="AC1276" s="754"/>
      <c r="AD1276" s="754"/>
      <c r="AE1276" s="754"/>
      <c r="AF1276" s="754"/>
      <c r="AG1276" s="754"/>
      <c r="AH1276" s="754"/>
      <c r="AI1276" s="754"/>
      <c r="AJ1276" s="754"/>
      <c r="AK1276" s="754"/>
      <c r="AL1276" s="754"/>
      <c r="AM1276" s="754"/>
      <c r="AN1276" s="754"/>
      <c r="AO1276" s="754"/>
      <c r="AP1276" s="754"/>
      <c r="AQ1276" s="754"/>
      <c r="AR1276" s="754"/>
      <c r="AS1276" s="754"/>
      <c r="AT1276" s="754"/>
      <c r="AU1276" s="754"/>
    </row>
    <row r="1277" ht="15.75" customHeight="1">
      <c r="A1277" s="782"/>
      <c r="B1277" s="765"/>
      <c r="C1277" s="774"/>
      <c r="D1277" s="774"/>
      <c r="E1277" s="764"/>
      <c r="F1277" s="782"/>
      <c r="G1277" s="782"/>
      <c r="H1277" s="782"/>
      <c r="I1277" s="782"/>
      <c r="J1277" s="782"/>
      <c r="K1277" s="782"/>
      <c r="L1277" s="754"/>
      <c r="M1277" s="754"/>
      <c r="N1277" s="754"/>
      <c r="O1277" s="754"/>
      <c r="P1277" s="754"/>
      <c r="Q1277" s="754"/>
      <c r="R1277" s="754"/>
      <c r="S1277" s="754"/>
      <c r="T1277" s="754"/>
      <c r="U1277" s="754"/>
      <c r="V1277" s="754"/>
      <c r="W1277" s="754"/>
      <c r="X1277" s="754"/>
      <c r="Y1277" s="754"/>
      <c r="Z1277" s="754"/>
      <c r="AA1277" s="754"/>
      <c r="AB1277" s="754"/>
      <c r="AC1277" s="754"/>
      <c r="AD1277" s="754"/>
      <c r="AE1277" s="754"/>
      <c r="AF1277" s="754"/>
      <c r="AG1277" s="754"/>
      <c r="AH1277" s="754"/>
      <c r="AI1277" s="754"/>
      <c r="AJ1277" s="754"/>
      <c r="AK1277" s="754"/>
      <c r="AL1277" s="754"/>
      <c r="AM1277" s="754"/>
      <c r="AN1277" s="754"/>
      <c r="AO1277" s="754"/>
      <c r="AP1277" s="754"/>
      <c r="AQ1277" s="754"/>
      <c r="AR1277" s="754"/>
      <c r="AS1277" s="754"/>
      <c r="AT1277" s="754"/>
      <c r="AU1277" s="754"/>
    </row>
    <row r="1278" ht="15.75" customHeight="1">
      <c r="A1278" s="782"/>
      <c r="B1278" s="765"/>
      <c r="C1278" s="774"/>
      <c r="D1278" s="774"/>
      <c r="E1278" s="764"/>
      <c r="F1278" s="782"/>
      <c r="G1278" s="782"/>
      <c r="H1278" s="782"/>
      <c r="I1278" s="782"/>
      <c r="J1278" s="782"/>
      <c r="K1278" s="782"/>
      <c r="L1278" s="754"/>
      <c r="M1278" s="754"/>
      <c r="N1278" s="754"/>
      <c r="O1278" s="754"/>
      <c r="P1278" s="754"/>
      <c r="Q1278" s="754"/>
      <c r="R1278" s="754"/>
      <c r="S1278" s="754"/>
      <c r="T1278" s="754"/>
      <c r="U1278" s="754"/>
      <c r="V1278" s="754"/>
      <c r="W1278" s="754"/>
      <c r="X1278" s="754"/>
      <c r="Y1278" s="754"/>
      <c r="Z1278" s="754"/>
      <c r="AA1278" s="754"/>
      <c r="AB1278" s="754"/>
      <c r="AC1278" s="754"/>
      <c r="AD1278" s="754"/>
      <c r="AE1278" s="754"/>
      <c r="AF1278" s="754"/>
      <c r="AG1278" s="754"/>
      <c r="AH1278" s="754"/>
      <c r="AI1278" s="754"/>
      <c r="AJ1278" s="754"/>
      <c r="AK1278" s="754"/>
      <c r="AL1278" s="754"/>
      <c r="AM1278" s="754"/>
      <c r="AN1278" s="754"/>
      <c r="AO1278" s="754"/>
      <c r="AP1278" s="754"/>
      <c r="AQ1278" s="754"/>
      <c r="AR1278" s="754"/>
      <c r="AS1278" s="754"/>
      <c r="AT1278" s="754"/>
      <c r="AU1278" s="754"/>
    </row>
    <row r="1279" ht="15.75" customHeight="1">
      <c r="A1279" s="782"/>
      <c r="B1279" s="765"/>
      <c r="C1279" s="774"/>
      <c r="D1279" s="774"/>
      <c r="E1279" s="764"/>
      <c r="F1279" s="782"/>
      <c r="G1279" s="782"/>
      <c r="H1279" s="782"/>
      <c r="I1279" s="782"/>
      <c r="J1279" s="782"/>
      <c r="K1279" s="782"/>
      <c r="L1279" s="754"/>
      <c r="M1279" s="754"/>
      <c r="N1279" s="754"/>
      <c r="O1279" s="754"/>
      <c r="P1279" s="754"/>
      <c r="Q1279" s="754"/>
      <c r="R1279" s="754"/>
      <c r="S1279" s="754"/>
      <c r="T1279" s="754"/>
      <c r="U1279" s="754"/>
      <c r="V1279" s="754"/>
      <c r="W1279" s="754"/>
      <c r="X1279" s="754"/>
      <c r="Y1279" s="754"/>
      <c r="Z1279" s="754"/>
      <c r="AA1279" s="754"/>
      <c r="AB1279" s="754"/>
      <c r="AC1279" s="754"/>
      <c r="AD1279" s="754"/>
      <c r="AE1279" s="754"/>
      <c r="AF1279" s="754"/>
      <c r="AG1279" s="754"/>
      <c r="AH1279" s="754"/>
      <c r="AI1279" s="754"/>
      <c r="AJ1279" s="754"/>
      <c r="AK1279" s="754"/>
      <c r="AL1279" s="754"/>
      <c r="AM1279" s="754"/>
      <c r="AN1279" s="754"/>
      <c r="AO1279" s="754"/>
      <c r="AP1279" s="754"/>
      <c r="AQ1279" s="754"/>
      <c r="AR1279" s="754"/>
      <c r="AS1279" s="754"/>
      <c r="AT1279" s="754"/>
      <c r="AU1279" s="754"/>
    </row>
    <row r="1280" ht="15.75" customHeight="1">
      <c r="A1280" s="782"/>
      <c r="B1280" s="765"/>
      <c r="C1280" s="774"/>
      <c r="D1280" s="774"/>
      <c r="E1280" s="764"/>
      <c r="F1280" s="782"/>
      <c r="G1280" s="782"/>
      <c r="H1280" s="782"/>
      <c r="I1280" s="782"/>
      <c r="J1280" s="782"/>
      <c r="K1280" s="782"/>
      <c r="L1280" s="754"/>
      <c r="M1280" s="754"/>
      <c r="N1280" s="754"/>
      <c r="O1280" s="754"/>
      <c r="P1280" s="754"/>
      <c r="Q1280" s="754"/>
      <c r="R1280" s="754"/>
      <c r="S1280" s="754"/>
      <c r="T1280" s="754"/>
      <c r="U1280" s="754"/>
      <c r="V1280" s="754"/>
      <c r="W1280" s="754"/>
      <c r="X1280" s="754"/>
      <c r="Y1280" s="754"/>
      <c r="Z1280" s="754"/>
      <c r="AA1280" s="754"/>
      <c r="AB1280" s="754"/>
      <c r="AC1280" s="754"/>
      <c r="AD1280" s="754"/>
      <c r="AE1280" s="754"/>
      <c r="AF1280" s="754"/>
      <c r="AG1280" s="754"/>
      <c r="AH1280" s="754"/>
      <c r="AI1280" s="754"/>
      <c r="AJ1280" s="754"/>
      <c r="AK1280" s="754"/>
      <c r="AL1280" s="754"/>
      <c r="AM1280" s="754"/>
      <c r="AN1280" s="754"/>
      <c r="AO1280" s="754"/>
      <c r="AP1280" s="754"/>
      <c r="AQ1280" s="754"/>
      <c r="AR1280" s="754"/>
      <c r="AS1280" s="754"/>
      <c r="AT1280" s="754"/>
      <c r="AU1280" s="754"/>
    </row>
    <row r="1281" ht="15.75" customHeight="1">
      <c r="A1281" s="782"/>
      <c r="B1281" s="765"/>
      <c r="C1281" s="774"/>
      <c r="D1281" s="774"/>
      <c r="E1281" s="764"/>
      <c r="F1281" s="782"/>
      <c r="G1281" s="782"/>
      <c r="H1281" s="782"/>
      <c r="I1281" s="782"/>
      <c r="J1281" s="782"/>
      <c r="K1281" s="782"/>
      <c r="L1281" s="754"/>
      <c r="M1281" s="754"/>
      <c r="N1281" s="754"/>
      <c r="O1281" s="754"/>
      <c r="P1281" s="754"/>
      <c r="Q1281" s="754"/>
      <c r="R1281" s="754"/>
      <c r="S1281" s="754"/>
      <c r="T1281" s="754"/>
      <c r="U1281" s="754"/>
      <c r="V1281" s="754"/>
      <c r="W1281" s="754"/>
      <c r="X1281" s="754"/>
      <c r="Y1281" s="754"/>
      <c r="Z1281" s="754"/>
      <c r="AA1281" s="754"/>
      <c r="AB1281" s="754"/>
      <c r="AC1281" s="754"/>
      <c r="AD1281" s="754"/>
      <c r="AE1281" s="754"/>
      <c r="AF1281" s="754"/>
      <c r="AG1281" s="754"/>
      <c r="AH1281" s="754"/>
      <c r="AI1281" s="754"/>
      <c r="AJ1281" s="754"/>
      <c r="AK1281" s="754"/>
      <c r="AL1281" s="754"/>
      <c r="AM1281" s="754"/>
      <c r="AN1281" s="754"/>
      <c r="AO1281" s="754"/>
      <c r="AP1281" s="754"/>
      <c r="AQ1281" s="754"/>
      <c r="AR1281" s="754"/>
      <c r="AS1281" s="754"/>
      <c r="AT1281" s="754"/>
      <c r="AU1281" s="754"/>
    </row>
    <row r="1282" ht="15.75" customHeight="1">
      <c r="A1282" s="782"/>
      <c r="B1282" s="765"/>
      <c r="C1282" s="774"/>
      <c r="D1282" s="774"/>
      <c r="E1282" s="764"/>
      <c r="F1282" s="782"/>
      <c r="G1282" s="782"/>
      <c r="H1282" s="782"/>
      <c r="I1282" s="782"/>
      <c r="J1282" s="782"/>
      <c r="K1282" s="782"/>
      <c r="L1282" s="754"/>
      <c r="M1282" s="754"/>
      <c r="N1282" s="754"/>
      <c r="O1282" s="754"/>
      <c r="P1282" s="754"/>
      <c r="Q1282" s="754"/>
      <c r="R1282" s="754"/>
      <c r="S1282" s="754"/>
      <c r="T1282" s="754"/>
      <c r="U1282" s="754"/>
      <c r="V1282" s="754"/>
      <c r="W1282" s="754"/>
      <c r="X1282" s="754"/>
      <c r="Y1282" s="754"/>
      <c r="Z1282" s="754"/>
      <c r="AA1282" s="754"/>
      <c r="AB1282" s="754"/>
      <c r="AC1282" s="754"/>
      <c r="AD1282" s="754"/>
      <c r="AE1282" s="754"/>
      <c r="AF1282" s="754"/>
      <c r="AG1282" s="754"/>
      <c r="AH1282" s="754"/>
      <c r="AI1282" s="754"/>
      <c r="AJ1282" s="754"/>
      <c r="AK1282" s="754"/>
      <c r="AL1282" s="754"/>
      <c r="AM1282" s="754"/>
      <c r="AN1282" s="754"/>
      <c r="AO1282" s="754"/>
      <c r="AP1282" s="754"/>
      <c r="AQ1282" s="754"/>
      <c r="AR1282" s="754"/>
      <c r="AS1282" s="754"/>
      <c r="AT1282" s="754"/>
      <c r="AU1282" s="754"/>
    </row>
    <row r="1283" ht="15.75" customHeight="1">
      <c r="A1283" s="782"/>
      <c r="B1283" s="765"/>
      <c r="C1283" s="774"/>
      <c r="D1283" s="774"/>
      <c r="E1283" s="764"/>
      <c r="F1283" s="782"/>
      <c r="G1283" s="782"/>
      <c r="H1283" s="782"/>
      <c r="I1283" s="782"/>
      <c r="J1283" s="782"/>
      <c r="K1283" s="782"/>
      <c r="L1283" s="754"/>
      <c r="M1283" s="754"/>
      <c r="N1283" s="754"/>
      <c r="O1283" s="754"/>
      <c r="P1283" s="754"/>
      <c r="Q1283" s="754"/>
      <c r="R1283" s="754"/>
      <c r="S1283" s="754"/>
      <c r="T1283" s="754"/>
      <c r="U1283" s="754"/>
      <c r="V1283" s="754"/>
      <c r="W1283" s="754"/>
      <c r="X1283" s="754"/>
      <c r="Y1283" s="754"/>
      <c r="Z1283" s="754"/>
      <c r="AA1283" s="754"/>
      <c r="AB1283" s="754"/>
      <c r="AC1283" s="754"/>
      <c r="AD1283" s="754"/>
      <c r="AE1283" s="754"/>
      <c r="AF1283" s="754"/>
      <c r="AG1283" s="754"/>
      <c r="AH1283" s="754"/>
      <c r="AI1283" s="754"/>
      <c r="AJ1283" s="754"/>
      <c r="AK1283" s="754"/>
      <c r="AL1283" s="754"/>
      <c r="AM1283" s="754"/>
      <c r="AN1283" s="754"/>
      <c r="AO1283" s="754"/>
      <c r="AP1283" s="754"/>
      <c r="AQ1283" s="754"/>
      <c r="AR1283" s="754"/>
      <c r="AS1283" s="754"/>
      <c r="AT1283" s="754"/>
      <c r="AU1283" s="754"/>
    </row>
    <row r="1284" ht="15.75" customHeight="1">
      <c r="A1284" s="782"/>
      <c r="B1284" s="765"/>
      <c r="C1284" s="774"/>
      <c r="D1284" s="774"/>
      <c r="E1284" s="764"/>
      <c r="F1284" s="782"/>
      <c r="G1284" s="782"/>
      <c r="H1284" s="782"/>
      <c r="I1284" s="782"/>
      <c r="J1284" s="782"/>
      <c r="K1284" s="782"/>
      <c r="L1284" s="754"/>
      <c r="M1284" s="754"/>
      <c r="N1284" s="754"/>
      <c r="O1284" s="754"/>
      <c r="P1284" s="754"/>
      <c r="Q1284" s="754"/>
      <c r="R1284" s="754"/>
      <c r="S1284" s="754"/>
      <c r="T1284" s="754"/>
      <c r="U1284" s="754"/>
      <c r="V1284" s="754"/>
      <c r="W1284" s="754"/>
      <c r="X1284" s="754"/>
      <c r="Y1284" s="754"/>
      <c r="Z1284" s="754"/>
      <c r="AA1284" s="754"/>
      <c r="AB1284" s="754"/>
      <c r="AC1284" s="754"/>
      <c r="AD1284" s="754"/>
      <c r="AE1284" s="754"/>
      <c r="AF1284" s="754"/>
      <c r="AG1284" s="754"/>
      <c r="AH1284" s="754"/>
      <c r="AI1284" s="754"/>
      <c r="AJ1284" s="754"/>
      <c r="AK1284" s="754"/>
      <c r="AL1284" s="754"/>
      <c r="AM1284" s="754"/>
      <c r="AN1284" s="754"/>
      <c r="AO1284" s="754"/>
      <c r="AP1284" s="754"/>
      <c r="AQ1284" s="754"/>
      <c r="AR1284" s="754"/>
      <c r="AS1284" s="754"/>
      <c r="AT1284" s="754"/>
      <c r="AU1284" s="754"/>
    </row>
    <row r="1285" ht="15.75" customHeight="1">
      <c r="A1285" s="782"/>
      <c r="B1285" s="765"/>
      <c r="C1285" s="774"/>
      <c r="D1285" s="774"/>
      <c r="E1285" s="764"/>
      <c r="F1285" s="782"/>
      <c r="G1285" s="782"/>
      <c r="H1285" s="782"/>
      <c r="I1285" s="782"/>
      <c r="J1285" s="782"/>
      <c r="K1285" s="782"/>
      <c r="L1285" s="754"/>
      <c r="M1285" s="754"/>
      <c r="N1285" s="754"/>
      <c r="O1285" s="754"/>
      <c r="P1285" s="754"/>
      <c r="Q1285" s="754"/>
      <c r="R1285" s="754"/>
      <c r="S1285" s="754"/>
      <c r="T1285" s="754"/>
      <c r="U1285" s="754"/>
      <c r="V1285" s="754"/>
      <c r="W1285" s="754"/>
      <c r="X1285" s="754"/>
      <c r="Y1285" s="754"/>
      <c r="Z1285" s="754"/>
      <c r="AA1285" s="754"/>
      <c r="AB1285" s="754"/>
      <c r="AC1285" s="754"/>
      <c r="AD1285" s="754"/>
      <c r="AE1285" s="754"/>
      <c r="AF1285" s="754"/>
      <c r="AG1285" s="754"/>
      <c r="AH1285" s="754"/>
      <c r="AI1285" s="754"/>
      <c r="AJ1285" s="754"/>
      <c r="AK1285" s="754"/>
      <c r="AL1285" s="754"/>
      <c r="AM1285" s="754"/>
      <c r="AN1285" s="754"/>
      <c r="AO1285" s="754"/>
      <c r="AP1285" s="754"/>
      <c r="AQ1285" s="754"/>
      <c r="AR1285" s="754"/>
      <c r="AS1285" s="754"/>
      <c r="AT1285" s="754"/>
      <c r="AU1285" s="754"/>
    </row>
    <row r="1286" ht="15.75" customHeight="1">
      <c r="A1286" s="782"/>
      <c r="B1286" s="765"/>
      <c r="C1286" s="774"/>
      <c r="D1286" s="774"/>
      <c r="E1286" s="764"/>
      <c r="F1286" s="782"/>
      <c r="G1286" s="782"/>
      <c r="H1286" s="782"/>
      <c r="I1286" s="782"/>
      <c r="J1286" s="782"/>
      <c r="K1286" s="782"/>
      <c r="L1286" s="754"/>
      <c r="M1286" s="754"/>
      <c r="N1286" s="754"/>
      <c r="O1286" s="754"/>
      <c r="P1286" s="754"/>
      <c r="Q1286" s="754"/>
      <c r="R1286" s="754"/>
      <c r="S1286" s="754"/>
      <c r="T1286" s="754"/>
      <c r="U1286" s="754"/>
      <c r="V1286" s="754"/>
      <c r="W1286" s="754"/>
      <c r="X1286" s="754"/>
      <c r="Y1286" s="754"/>
      <c r="Z1286" s="754"/>
      <c r="AA1286" s="754"/>
      <c r="AB1286" s="754"/>
      <c r="AC1286" s="754"/>
      <c r="AD1286" s="754"/>
      <c r="AE1286" s="754"/>
      <c r="AF1286" s="754"/>
      <c r="AG1286" s="754"/>
      <c r="AH1286" s="754"/>
      <c r="AI1286" s="754"/>
      <c r="AJ1286" s="754"/>
      <c r="AK1286" s="754"/>
      <c r="AL1286" s="754"/>
      <c r="AM1286" s="754"/>
      <c r="AN1286" s="754"/>
      <c r="AO1286" s="754"/>
      <c r="AP1286" s="754"/>
      <c r="AQ1286" s="754"/>
      <c r="AR1286" s="754"/>
      <c r="AS1286" s="754"/>
      <c r="AT1286" s="754"/>
      <c r="AU1286" s="754"/>
    </row>
    <row r="1287" ht="15.75" customHeight="1">
      <c r="A1287" s="782"/>
      <c r="B1287" s="765"/>
      <c r="C1287" s="774"/>
      <c r="D1287" s="774"/>
      <c r="E1287" s="764"/>
      <c r="F1287" s="782"/>
      <c r="G1287" s="782"/>
      <c r="H1287" s="782"/>
      <c r="I1287" s="782"/>
      <c r="J1287" s="782"/>
      <c r="K1287" s="782"/>
      <c r="L1287" s="754"/>
      <c r="M1287" s="754"/>
      <c r="N1287" s="754"/>
      <c r="O1287" s="754"/>
      <c r="P1287" s="754"/>
      <c r="Q1287" s="754"/>
      <c r="R1287" s="754"/>
      <c r="S1287" s="754"/>
      <c r="T1287" s="754"/>
      <c r="U1287" s="754"/>
      <c r="V1287" s="754"/>
      <c r="W1287" s="754"/>
      <c r="X1287" s="754"/>
      <c r="Y1287" s="754"/>
      <c r="Z1287" s="754"/>
      <c r="AA1287" s="754"/>
      <c r="AB1287" s="754"/>
      <c r="AC1287" s="754"/>
      <c r="AD1287" s="754"/>
      <c r="AE1287" s="754"/>
      <c r="AF1287" s="754"/>
      <c r="AG1287" s="754"/>
      <c r="AH1287" s="754"/>
      <c r="AI1287" s="754"/>
      <c r="AJ1287" s="754"/>
      <c r="AK1287" s="754"/>
      <c r="AL1287" s="754"/>
      <c r="AM1287" s="754"/>
      <c r="AN1287" s="754"/>
      <c r="AO1287" s="754"/>
      <c r="AP1287" s="754"/>
      <c r="AQ1287" s="754"/>
      <c r="AR1287" s="754"/>
      <c r="AS1287" s="754"/>
      <c r="AT1287" s="754"/>
      <c r="AU1287" s="754"/>
    </row>
    <row r="1288" ht="15.75" customHeight="1">
      <c r="A1288" s="782"/>
      <c r="B1288" s="765"/>
      <c r="C1288" s="774"/>
      <c r="D1288" s="774"/>
      <c r="E1288" s="764"/>
      <c r="F1288" s="782"/>
      <c r="G1288" s="782"/>
      <c r="H1288" s="782"/>
      <c r="I1288" s="782"/>
      <c r="J1288" s="782"/>
      <c r="K1288" s="782"/>
      <c r="L1288" s="754"/>
      <c r="M1288" s="754"/>
      <c r="N1288" s="754"/>
      <c r="O1288" s="754"/>
      <c r="P1288" s="754"/>
      <c r="Q1288" s="754"/>
      <c r="R1288" s="754"/>
      <c r="S1288" s="754"/>
      <c r="T1288" s="754"/>
      <c r="U1288" s="754"/>
      <c r="V1288" s="754"/>
      <c r="W1288" s="754"/>
      <c r="X1288" s="754"/>
      <c r="Y1288" s="754"/>
      <c r="Z1288" s="754"/>
      <c r="AA1288" s="754"/>
      <c r="AB1288" s="754"/>
      <c r="AC1288" s="754"/>
      <c r="AD1288" s="754"/>
      <c r="AE1288" s="754"/>
      <c r="AF1288" s="754"/>
      <c r="AG1288" s="754"/>
      <c r="AH1288" s="754"/>
      <c r="AI1288" s="754"/>
      <c r="AJ1288" s="754"/>
      <c r="AK1288" s="754"/>
      <c r="AL1288" s="754"/>
      <c r="AM1288" s="754"/>
      <c r="AN1288" s="754"/>
      <c r="AO1288" s="754"/>
      <c r="AP1288" s="754"/>
      <c r="AQ1288" s="754"/>
      <c r="AR1288" s="754"/>
      <c r="AS1288" s="754"/>
      <c r="AT1288" s="754"/>
      <c r="AU1288" s="754"/>
    </row>
    <row r="1289" ht="15.75" customHeight="1">
      <c r="A1289" s="782"/>
      <c r="B1289" s="765"/>
      <c r="C1289" s="774"/>
      <c r="D1289" s="774"/>
      <c r="E1289" s="764"/>
      <c r="F1289" s="782"/>
      <c r="G1289" s="782"/>
      <c r="H1289" s="782"/>
      <c r="I1289" s="782"/>
      <c r="J1289" s="782"/>
      <c r="K1289" s="782"/>
      <c r="L1289" s="754"/>
      <c r="M1289" s="754"/>
      <c r="N1289" s="754"/>
      <c r="O1289" s="754"/>
      <c r="P1289" s="754"/>
      <c r="Q1289" s="754"/>
      <c r="R1289" s="754"/>
      <c r="S1289" s="754"/>
      <c r="T1289" s="754"/>
      <c r="U1289" s="754"/>
      <c r="V1289" s="754"/>
      <c r="W1289" s="754"/>
      <c r="X1289" s="754"/>
      <c r="Y1289" s="754"/>
      <c r="Z1289" s="754"/>
      <c r="AA1289" s="754"/>
      <c r="AB1289" s="754"/>
      <c r="AC1289" s="754"/>
      <c r="AD1289" s="754"/>
      <c r="AE1289" s="754"/>
      <c r="AF1289" s="754"/>
      <c r="AG1289" s="754"/>
      <c r="AH1289" s="754"/>
      <c r="AI1289" s="754"/>
      <c r="AJ1289" s="754"/>
      <c r="AK1289" s="754"/>
      <c r="AL1289" s="754"/>
      <c r="AM1289" s="754"/>
      <c r="AN1289" s="754"/>
      <c r="AO1289" s="754"/>
      <c r="AP1289" s="754"/>
      <c r="AQ1289" s="754"/>
      <c r="AR1289" s="754"/>
      <c r="AS1289" s="754"/>
      <c r="AT1289" s="754"/>
      <c r="AU1289" s="754"/>
    </row>
    <row r="1290" ht="15.75" customHeight="1">
      <c r="A1290" s="782"/>
      <c r="B1290" s="765"/>
      <c r="C1290" s="774"/>
      <c r="D1290" s="774"/>
      <c r="E1290" s="764"/>
      <c r="F1290" s="782"/>
      <c r="G1290" s="782"/>
      <c r="H1290" s="782"/>
      <c r="I1290" s="782"/>
      <c r="J1290" s="782"/>
      <c r="K1290" s="782"/>
      <c r="L1290" s="754"/>
      <c r="M1290" s="754"/>
      <c r="N1290" s="754"/>
      <c r="O1290" s="754"/>
      <c r="P1290" s="754"/>
      <c r="Q1290" s="754"/>
      <c r="R1290" s="754"/>
      <c r="S1290" s="754"/>
      <c r="T1290" s="754"/>
      <c r="U1290" s="754"/>
      <c r="V1290" s="754"/>
      <c r="W1290" s="754"/>
      <c r="X1290" s="754"/>
      <c r="Y1290" s="754"/>
      <c r="Z1290" s="754"/>
      <c r="AA1290" s="754"/>
      <c r="AB1290" s="754"/>
      <c r="AC1290" s="754"/>
      <c r="AD1290" s="754"/>
      <c r="AE1290" s="754"/>
      <c r="AF1290" s="754"/>
      <c r="AG1290" s="754"/>
      <c r="AH1290" s="754"/>
      <c r="AI1290" s="754"/>
      <c r="AJ1290" s="754"/>
      <c r="AK1290" s="754"/>
      <c r="AL1290" s="754"/>
      <c r="AM1290" s="754"/>
      <c r="AN1290" s="754"/>
      <c r="AO1290" s="754"/>
      <c r="AP1290" s="754"/>
      <c r="AQ1290" s="754"/>
      <c r="AR1290" s="754"/>
      <c r="AS1290" s="754"/>
      <c r="AT1290" s="754"/>
      <c r="AU1290" s="754"/>
    </row>
    <row r="1291" ht="15.75" customHeight="1">
      <c r="A1291" s="782"/>
      <c r="B1291" s="765"/>
      <c r="C1291" s="774"/>
      <c r="D1291" s="774"/>
      <c r="E1291" s="764"/>
      <c r="F1291" s="782"/>
      <c r="G1291" s="782"/>
      <c r="H1291" s="782"/>
      <c r="I1291" s="782"/>
      <c r="J1291" s="782"/>
      <c r="K1291" s="782"/>
      <c r="L1291" s="754"/>
      <c r="M1291" s="754"/>
      <c r="N1291" s="754"/>
      <c r="O1291" s="754"/>
      <c r="P1291" s="754"/>
      <c r="Q1291" s="754"/>
      <c r="R1291" s="754"/>
      <c r="S1291" s="754"/>
      <c r="T1291" s="754"/>
      <c r="U1291" s="754"/>
      <c r="V1291" s="754"/>
      <c r="W1291" s="754"/>
      <c r="X1291" s="754"/>
      <c r="Y1291" s="754"/>
      <c r="Z1291" s="754"/>
      <c r="AA1291" s="754"/>
      <c r="AB1291" s="754"/>
      <c r="AC1291" s="754"/>
      <c r="AD1291" s="754"/>
      <c r="AE1291" s="754"/>
      <c r="AF1291" s="754"/>
      <c r="AG1291" s="754"/>
      <c r="AH1291" s="754"/>
      <c r="AI1291" s="754"/>
      <c r="AJ1291" s="754"/>
      <c r="AK1291" s="754"/>
      <c r="AL1291" s="754"/>
      <c r="AM1291" s="754"/>
      <c r="AN1291" s="754"/>
      <c r="AO1291" s="754"/>
      <c r="AP1291" s="754"/>
      <c r="AQ1291" s="754"/>
      <c r="AR1291" s="754"/>
      <c r="AS1291" s="754"/>
      <c r="AT1291" s="754"/>
      <c r="AU1291" s="754"/>
    </row>
    <row r="1292" ht="15.75" customHeight="1">
      <c r="A1292" s="782"/>
      <c r="B1292" s="765"/>
      <c r="C1292" s="774"/>
      <c r="D1292" s="774"/>
      <c r="E1292" s="764"/>
      <c r="F1292" s="782"/>
      <c r="G1292" s="782"/>
      <c r="H1292" s="782"/>
      <c r="I1292" s="782"/>
      <c r="J1292" s="782"/>
      <c r="K1292" s="782"/>
      <c r="L1292" s="754"/>
      <c r="M1292" s="754"/>
      <c r="N1292" s="754"/>
      <c r="O1292" s="754"/>
      <c r="P1292" s="754"/>
      <c r="Q1292" s="754"/>
      <c r="R1292" s="754"/>
      <c r="S1292" s="754"/>
      <c r="T1292" s="754"/>
      <c r="U1292" s="754"/>
      <c r="V1292" s="754"/>
      <c r="W1292" s="754"/>
      <c r="X1292" s="754"/>
      <c r="Y1292" s="754"/>
      <c r="Z1292" s="754"/>
      <c r="AA1292" s="754"/>
      <c r="AB1292" s="754"/>
      <c r="AC1292" s="754"/>
      <c r="AD1292" s="754"/>
      <c r="AE1292" s="754"/>
      <c r="AF1292" s="754"/>
      <c r="AG1292" s="754"/>
      <c r="AH1292" s="754"/>
      <c r="AI1292" s="754"/>
      <c r="AJ1292" s="754"/>
      <c r="AK1292" s="754"/>
      <c r="AL1292" s="754"/>
      <c r="AM1292" s="754"/>
      <c r="AN1292" s="754"/>
      <c r="AO1292" s="754"/>
      <c r="AP1292" s="754"/>
      <c r="AQ1292" s="754"/>
      <c r="AR1292" s="754"/>
      <c r="AS1292" s="754"/>
      <c r="AT1292" s="754"/>
      <c r="AU1292" s="754"/>
    </row>
    <row r="1293" ht="15.75" customHeight="1">
      <c r="A1293" s="782"/>
      <c r="B1293" s="765"/>
      <c r="C1293" s="774"/>
      <c r="D1293" s="774"/>
      <c r="E1293" s="764"/>
      <c r="F1293" s="782"/>
      <c r="G1293" s="782"/>
      <c r="H1293" s="782"/>
      <c r="I1293" s="782"/>
      <c r="J1293" s="782"/>
      <c r="K1293" s="782"/>
      <c r="L1293" s="754"/>
      <c r="M1293" s="754"/>
      <c r="N1293" s="754"/>
      <c r="O1293" s="754"/>
      <c r="P1293" s="754"/>
      <c r="Q1293" s="754"/>
      <c r="R1293" s="754"/>
      <c r="S1293" s="754"/>
      <c r="T1293" s="754"/>
      <c r="U1293" s="754"/>
      <c r="V1293" s="754"/>
      <c r="W1293" s="754"/>
      <c r="X1293" s="754"/>
      <c r="Y1293" s="754"/>
      <c r="Z1293" s="754"/>
      <c r="AA1293" s="754"/>
      <c r="AB1293" s="754"/>
      <c r="AC1293" s="754"/>
      <c r="AD1293" s="754"/>
      <c r="AE1293" s="754"/>
      <c r="AF1293" s="754"/>
      <c r="AG1293" s="754"/>
      <c r="AH1293" s="754"/>
      <c r="AI1293" s="754"/>
      <c r="AJ1293" s="754"/>
      <c r="AK1293" s="754"/>
      <c r="AL1293" s="754"/>
      <c r="AM1293" s="754"/>
      <c r="AN1293" s="754"/>
      <c r="AO1293" s="754"/>
      <c r="AP1293" s="754"/>
      <c r="AQ1293" s="754"/>
      <c r="AR1293" s="754"/>
      <c r="AS1293" s="754"/>
      <c r="AT1293" s="754"/>
      <c r="AU1293" s="754"/>
    </row>
    <row r="1294" ht="15.75" customHeight="1">
      <c r="A1294" s="782"/>
      <c r="B1294" s="765"/>
      <c r="C1294" s="774"/>
      <c r="D1294" s="774"/>
      <c r="E1294" s="764"/>
      <c r="F1294" s="782"/>
      <c r="G1294" s="782"/>
      <c r="H1294" s="782"/>
      <c r="I1294" s="782"/>
      <c r="J1294" s="782"/>
      <c r="K1294" s="782"/>
      <c r="L1294" s="754"/>
      <c r="M1294" s="754"/>
      <c r="N1294" s="754"/>
      <c r="O1294" s="754"/>
      <c r="P1294" s="754"/>
      <c r="Q1294" s="754"/>
      <c r="R1294" s="754"/>
      <c r="S1294" s="754"/>
      <c r="T1294" s="754"/>
      <c r="U1294" s="754"/>
      <c r="V1294" s="754"/>
      <c r="W1294" s="754"/>
      <c r="X1294" s="754"/>
      <c r="Y1294" s="754"/>
      <c r="Z1294" s="754"/>
      <c r="AA1294" s="754"/>
      <c r="AB1294" s="754"/>
      <c r="AC1294" s="754"/>
      <c r="AD1294" s="754"/>
      <c r="AE1294" s="754"/>
      <c r="AF1294" s="754"/>
      <c r="AG1294" s="754"/>
      <c r="AH1294" s="754"/>
      <c r="AI1294" s="754"/>
      <c r="AJ1294" s="754"/>
      <c r="AK1294" s="754"/>
      <c r="AL1294" s="754"/>
      <c r="AM1294" s="754"/>
      <c r="AN1294" s="754"/>
      <c r="AO1294" s="754"/>
      <c r="AP1294" s="754"/>
      <c r="AQ1294" s="754"/>
      <c r="AR1294" s="754"/>
      <c r="AS1294" s="754"/>
      <c r="AT1294" s="754"/>
      <c r="AU1294" s="754"/>
    </row>
    <row r="1295" ht="15.75" customHeight="1">
      <c r="A1295" s="782"/>
      <c r="B1295" s="765"/>
      <c r="C1295" s="774"/>
      <c r="D1295" s="774"/>
      <c r="E1295" s="764"/>
      <c r="F1295" s="782"/>
      <c r="G1295" s="782"/>
      <c r="H1295" s="782"/>
      <c r="I1295" s="782"/>
      <c r="J1295" s="782"/>
      <c r="K1295" s="782"/>
      <c r="L1295" s="754"/>
      <c r="M1295" s="754"/>
      <c r="N1295" s="754"/>
      <c r="O1295" s="754"/>
      <c r="P1295" s="754"/>
      <c r="Q1295" s="754"/>
      <c r="R1295" s="754"/>
      <c r="S1295" s="754"/>
      <c r="T1295" s="754"/>
      <c r="U1295" s="754"/>
      <c r="V1295" s="754"/>
      <c r="W1295" s="754"/>
      <c r="X1295" s="754"/>
      <c r="Y1295" s="754"/>
      <c r="Z1295" s="754"/>
      <c r="AA1295" s="754"/>
      <c r="AB1295" s="754"/>
      <c r="AC1295" s="754"/>
      <c r="AD1295" s="754"/>
      <c r="AE1295" s="754"/>
      <c r="AF1295" s="754"/>
      <c r="AG1295" s="754"/>
      <c r="AH1295" s="754"/>
      <c r="AI1295" s="754"/>
      <c r="AJ1295" s="754"/>
      <c r="AK1295" s="754"/>
      <c r="AL1295" s="754"/>
      <c r="AM1295" s="754"/>
      <c r="AN1295" s="754"/>
      <c r="AO1295" s="754"/>
      <c r="AP1295" s="754"/>
      <c r="AQ1295" s="754"/>
      <c r="AR1295" s="754"/>
      <c r="AS1295" s="754"/>
      <c r="AT1295" s="754"/>
      <c r="AU1295" s="754"/>
    </row>
    <row r="1296" ht="15.75" customHeight="1">
      <c r="A1296" s="782"/>
      <c r="B1296" s="765"/>
      <c r="C1296" s="774"/>
      <c r="D1296" s="774"/>
      <c r="E1296" s="764"/>
      <c r="F1296" s="782"/>
      <c r="G1296" s="782"/>
      <c r="H1296" s="782"/>
      <c r="I1296" s="782"/>
      <c r="J1296" s="782"/>
      <c r="K1296" s="782"/>
      <c r="L1296" s="754"/>
      <c r="M1296" s="754"/>
      <c r="N1296" s="754"/>
      <c r="O1296" s="754"/>
      <c r="P1296" s="754"/>
      <c r="Q1296" s="754"/>
      <c r="R1296" s="754"/>
      <c r="S1296" s="754"/>
      <c r="T1296" s="754"/>
      <c r="U1296" s="754"/>
      <c r="V1296" s="754"/>
      <c r="W1296" s="754"/>
      <c r="X1296" s="754"/>
      <c r="Y1296" s="754"/>
      <c r="Z1296" s="754"/>
      <c r="AA1296" s="754"/>
      <c r="AB1296" s="754"/>
      <c r="AC1296" s="754"/>
      <c r="AD1296" s="754"/>
      <c r="AE1296" s="754"/>
      <c r="AF1296" s="754"/>
      <c r="AG1296" s="754"/>
      <c r="AH1296" s="754"/>
      <c r="AI1296" s="754"/>
      <c r="AJ1296" s="754"/>
      <c r="AK1296" s="754"/>
      <c r="AL1296" s="754"/>
      <c r="AM1296" s="754"/>
      <c r="AN1296" s="754"/>
      <c r="AO1296" s="754"/>
      <c r="AP1296" s="754"/>
      <c r="AQ1296" s="754"/>
      <c r="AR1296" s="754"/>
      <c r="AS1296" s="754"/>
      <c r="AT1296" s="754"/>
      <c r="AU1296" s="754"/>
    </row>
    <row r="1297" ht="15.75" customHeight="1">
      <c r="A1297" s="782"/>
      <c r="B1297" s="765"/>
      <c r="C1297" s="774"/>
      <c r="D1297" s="774"/>
      <c r="E1297" s="764"/>
      <c r="F1297" s="782"/>
      <c r="G1297" s="782"/>
      <c r="H1297" s="782"/>
      <c r="I1297" s="782"/>
      <c r="J1297" s="782"/>
      <c r="K1297" s="782"/>
      <c r="L1297" s="754"/>
      <c r="M1297" s="754"/>
      <c r="N1297" s="754"/>
      <c r="O1297" s="754"/>
      <c r="P1297" s="754"/>
      <c r="Q1297" s="754"/>
      <c r="R1297" s="754"/>
      <c r="S1297" s="754"/>
      <c r="T1297" s="754"/>
      <c r="U1297" s="754"/>
      <c r="V1297" s="754"/>
      <c r="W1297" s="754"/>
      <c r="X1297" s="754"/>
      <c r="Y1297" s="754"/>
      <c r="Z1297" s="754"/>
      <c r="AA1297" s="754"/>
      <c r="AB1297" s="754"/>
      <c r="AC1297" s="754"/>
      <c r="AD1297" s="754"/>
      <c r="AE1297" s="754"/>
      <c r="AF1297" s="754"/>
      <c r="AG1297" s="754"/>
      <c r="AH1297" s="754"/>
      <c r="AI1297" s="754"/>
      <c r="AJ1297" s="754"/>
      <c r="AK1297" s="754"/>
      <c r="AL1297" s="754"/>
      <c r="AM1297" s="754"/>
      <c r="AN1297" s="754"/>
      <c r="AO1297" s="754"/>
      <c r="AP1297" s="754"/>
      <c r="AQ1297" s="754"/>
      <c r="AR1297" s="754"/>
      <c r="AS1297" s="754"/>
      <c r="AT1297" s="754"/>
      <c r="AU1297" s="754"/>
    </row>
    <row r="1298" ht="15.75" customHeight="1">
      <c r="A1298" s="782"/>
      <c r="B1298" s="765"/>
      <c r="C1298" s="774"/>
      <c r="D1298" s="774"/>
      <c r="E1298" s="764"/>
      <c r="F1298" s="782"/>
      <c r="G1298" s="782"/>
      <c r="H1298" s="782"/>
      <c r="I1298" s="782"/>
      <c r="J1298" s="782"/>
      <c r="K1298" s="782"/>
      <c r="L1298" s="754"/>
      <c r="M1298" s="754"/>
      <c r="N1298" s="754"/>
      <c r="O1298" s="754"/>
      <c r="P1298" s="754"/>
      <c r="Q1298" s="754"/>
      <c r="R1298" s="754"/>
      <c r="S1298" s="754"/>
      <c r="T1298" s="754"/>
      <c r="U1298" s="754"/>
      <c r="V1298" s="754"/>
      <c r="W1298" s="754"/>
      <c r="X1298" s="754"/>
      <c r="Y1298" s="754"/>
      <c r="Z1298" s="754"/>
      <c r="AA1298" s="754"/>
      <c r="AB1298" s="754"/>
      <c r="AC1298" s="754"/>
      <c r="AD1298" s="754"/>
      <c r="AE1298" s="754"/>
      <c r="AF1298" s="754"/>
      <c r="AG1298" s="754"/>
      <c r="AH1298" s="754"/>
      <c r="AI1298" s="754"/>
      <c r="AJ1298" s="754"/>
      <c r="AK1298" s="754"/>
      <c r="AL1298" s="754"/>
      <c r="AM1298" s="754"/>
      <c r="AN1298" s="754"/>
      <c r="AO1298" s="754"/>
      <c r="AP1298" s="754"/>
      <c r="AQ1298" s="754"/>
      <c r="AR1298" s="754"/>
      <c r="AS1298" s="754"/>
      <c r="AT1298" s="754"/>
      <c r="AU1298" s="754"/>
    </row>
    <row r="1299" ht="15.75" customHeight="1">
      <c r="A1299" s="782"/>
      <c r="B1299" s="765"/>
      <c r="C1299" s="774"/>
      <c r="D1299" s="774"/>
      <c r="E1299" s="764"/>
      <c r="F1299" s="782"/>
      <c r="G1299" s="782"/>
      <c r="H1299" s="782"/>
      <c r="I1299" s="782"/>
      <c r="J1299" s="782"/>
      <c r="K1299" s="782"/>
      <c r="L1299" s="754"/>
      <c r="M1299" s="754"/>
      <c r="N1299" s="754"/>
      <c r="O1299" s="754"/>
      <c r="P1299" s="754"/>
      <c r="Q1299" s="754"/>
      <c r="R1299" s="754"/>
      <c r="S1299" s="754"/>
      <c r="T1299" s="754"/>
      <c r="U1299" s="754"/>
      <c r="V1299" s="754"/>
      <c r="W1299" s="754"/>
      <c r="X1299" s="754"/>
      <c r="Y1299" s="754"/>
      <c r="Z1299" s="754"/>
      <c r="AA1299" s="754"/>
      <c r="AB1299" s="754"/>
      <c r="AC1299" s="754"/>
      <c r="AD1299" s="754"/>
      <c r="AE1299" s="754"/>
      <c r="AF1299" s="754"/>
      <c r="AG1299" s="754"/>
      <c r="AH1299" s="754"/>
      <c r="AI1299" s="754"/>
      <c r="AJ1299" s="754"/>
      <c r="AK1299" s="754"/>
      <c r="AL1299" s="754"/>
      <c r="AM1299" s="754"/>
      <c r="AN1299" s="754"/>
      <c r="AO1299" s="754"/>
      <c r="AP1299" s="754"/>
      <c r="AQ1299" s="754"/>
      <c r="AR1299" s="754"/>
      <c r="AS1299" s="754"/>
      <c r="AT1299" s="754"/>
      <c r="AU1299" s="754"/>
    </row>
    <row r="1300" ht="15.75" customHeight="1">
      <c r="A1300" s="782"/>
      <c r="B1300" s="765"/>
      <c r="C1300" s="774"/>
      <c r="D1300" s="774"/>
      <c r="E1300" s="764"/>
      <c r="F1300" s="782"/>
      <c r="G1300" s="782"/>
      <c r="H1300" s="782"/>
      <c r="I1300" s="782"/>
      <c r="J1300" s="782"/>
      <c r="K1300" s="782"/>
      <c r="L1300" s="754"/>
      <c r="M1300" s="754"/>
      <c r="N1300" s="754"/>
      <c r="O1300" s="754"/>
      <c r="P1300" s="754"/>
      <c r="Q1300" s="754"/>
      <c r="R1300" s="754"/>
      <c r="S1300" s="754"/>
      <c r="T1300" s="754"/>
      <c r="U1300" s="754"/>
      <c r="V1300" s="754"/>
      <c r="W1300" s="754"/>
      <c r="X1300" s="754"/>
      <c r="Y1300" s="754"/>
      <c r="Z1300" s="754"/>
      <c r="AA1300" s="754"/>
      <c r="AB1300" s="754"/>
      <c r="AC1300" s="754"/>
      <c r="AD1300" s="754"/>
      <c r="AE1300" s="754"/>
      <c r="AF1300" s="754"/>
      <c r="AG1300" s="754"/>
      <c r="AH1300" s="754"/>
      <c r="AI1300" s="754"/>
      <c r="AJ1300" s="754"/>
      <c r="AK1300" s="754"/>
      <c r="AL1300" s="754"/>
      <c r="AM1300" s="754"/>
      <c r="AN1300" s="754"/>
      <c r="AO1300" s="754"/>
      <c r="AP1300" s="754"/>
      <c r="AQ1300" s="754"/>
      <c r="AR1300" s="754"/>
      <c r="AS1300" s="754"/>
      <c r="AT1300" s="754"/>
      <c r="AU1300" s="754"/>
    </row>
  </sheetData>
  <customSheetViews>
    <customSheetView guid="{6ABE31C0-E26C-48D4-98C8-D04880C0129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