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pratt\Dropbox\Family Finances\incomes\"/>
    </mc:Choice>
  </mc:AlternateContent>
  <bookViews>
    <workbookView xWindow="0" yWindow="0" windowWidth="23040" windowHeight="9090" tabRatio="683"/>
  </bookViews>
  <sheets>
    <sheet name="Overview" sheetId="5" r:id="rId1"/>
    <sheet name="Expenses" sheetId="19" r:id="rId2"/>
    <sheet name="T4 Summary" sheetId="17" r:id="rId3"/>
    <sheet name="MRU-J-Pay-Stub" sheetId="1" r:id="rId4"/>
    <sheet name="MRU-N-Pay-Stub" sheetId="11" r:id="rId5"/>
    <sheet name="UofC-Pay-Stub" sheetId="12" r:id="rId6"/>
    <sheet name="Hoshuko-Pay-Stub" sheetId="15" r:id="rId7"/>
    <sheet name="Tax Estimates" sheetId="18" r:id="rId8"/>
    <sheet name="Gov.Tax.Calcs" sheetId="9" r:id="rId9"/>
    <sheet name="MRU.Staff.Constants" sheetId="6" r:id="rId10"/>
    <sheet name="MRU.Faculty.Constants" sheetId="8" r:id="rId11"/>
    <sheet name="UofC.Faculty.Constants" sheetId="14" r:id="rId12"/>
    <sheet name="Hoshuko.Constants" sheetId="16" r:id="rId13"/>
    <sheet name="Calculation Notes" sheetId="20" r:id="rId14"/>
  </sheets>
  <externalReferences>
    <externalReference r:id="rId15"/>
  </externalReferences>
  <definedNames>
    <definedName name="AB_BASIC_PERSONAL_AMT">Gov.Tax.Calcs!$C$11</definedName>
    <definedName name="AB_DONATION_TOTAL">'Tax Estimates'!$H$59</definedName>
    <definedName name="AB_MEDICAL_EXPENSE_CLAIM">'Tax Estimates'!$G$48</definedName>
    <definedName name="AB_RATE_TABLE">Gov.Tax.Calcs!$G$20:$I$23</definedName>
    <definedName name="annual_expenses">Expenses!$D$8:$D$138</definedName>
    <definedName name="BUS_PASS_TOTAL">'Tax Estimates'!$F$66</definedName>
    <definedName name="CANADA_EMP_CREDIT">Gov.Tax.Calcs!$C$7</definedName>
    <definedName name="CASB_ANNUAL_PAY">'Tax Estimates'!$F$26</definedName>
    <definedName name="CHILD_CARE">'Tax Estimates'!$F$38</definedName>
    <definedName name="CLAIM_CODE_TABLE">Gov.Tax.Calcs!$F$3:$J$5</definedName>
    <definedName name="CLASSES_PER_SEM_UOFC_FALL">Overview!$F$11</definedName>
    <definedName name="CLASSES_PER_SEM_UOFC_SPR">Overview!$D$11</definedName>
    <definedName name="CLASSES_PER_SEM_UOFC_SUM">Overview!$E$11</definedName>
    <definedName name="CLASSES_PER_SEM_UOFC_WINT">Overview!$C$11</definedName>
    <definedName name="CPP_RATE">Gov.Tax.Calcs!$C$4</definedName>
    <definedName name="EI_RATE">Gov.Tax.Calcs!$C$6</definedName>
    <definedName name="EST_ANNUAL_EXP">Expenses!$D$4</definedName>
    <definedName name="EST_CHILD_CARE_BEN">'Tax Estimates'!$F$79</definedName>
    <definedName name="EST_TAX_OWING">'Tax Estimates'!$G$5</definedName>
    <definedName name="FED_BASIC_PERSONAL_AMT">Gov.Tax.Calcs!$C$10</definedName>
    <definedName name="FED_DONATION_TOTAL">'Tax Estimates'!$F$59</definedName>
    <definedName name="FED_MEDICAL_EXP_CLAIM">'Tax Estimates'!$F$48</definedName>
    <definedName name="FED_RATE_TABLE">Table13[#All]</definedName>
    <definedName name="FED_TAX_CUTOFF_1">Gov.Tax.Calcs!$B$22</definedName>
    <definedName name="FED_TAX_CUTOFF_2">Gov.Tax.Calcs!$B$23</definedName>
    <definedName name="FED_TAX_CUTOFF_3">Gov.Tax.Calcs!$B$24</definedName>
    <definedName name="FED_TAX_RATE_0">Gov.Tax.Calcs!$C$21</definedName>
    <definedName name="FED_TAX_RATE_1">Gov.Tax.Calcs!$C$22</definedName>
    <definedName name="FED_TAX_RATE_2">Gov.Tax.Calcs!$C$23</definedName>
    <definedName name="FED_TAX_RATE_3">Gov.Tax.Calcs!$C$24</definedName>
    <definedName name="FED_TAX_ROLLOVER_1">Gov.Tax.Calcs!$E$22</definedName>
    <definedName name="FED_TAX_ROLLOVER_2">Gov.Tax.Calcs!$E$23</definedName>
    <definedName name="FED_TAX_ROLLOVER_3">Gov.Tax.Calcs!$E$24</definedName>
    <definedName name="FOURLIFE_ANNUAL_PAY">'Tax Estimates'!$G$26</definedName>
    <definedName name="HOSHU_AB_TAX">'Hoshuko-Pay-Stub'!$AA$38</definedName>
    <definedName name="HOSHU_ACT_TAKEHOME">'Hoshuko-Pay-Stub'!$AA$52</definedName>
    <definedName name="HOSHU_CPP">'Hoshuko-Pay-Stub'!$AA$17</definedName>
    <definedName name="HOSHU_DUES">'Hoshuko-Pay-Stub'!$AA$10</definedName>
    <definedName name="HOSHU_EARNINGS">'Hoshuko-Pay-Stub'!$AA$6</definedName>
    <definedName name="HOSHU_EI">'Hoshuko-Pay-Stub'!$AA$23</definedName>
    <definedName name="HOSHU_EMPL_INCOME">'T4 Summary'!$L$15</definedName>
    <definedName name="HOSHU_EST_TAKEHOME">'Hoshuko-Pay-Stub'!$AA$51</definedName>
    <definedName name="HOSHU_FED_TAX">'Hoshuko-Pay-Stub'!$AA$31</definedName>
    <definedName name="HOSHU_RPP">'Hoshuko-Pay-Stub'!$AA$9</definedName>
    <definedName name="HOSHU_TAXABLE_BEN">'Hoshuko-Pay-Stub'!$AA$49</definedName>
    <definedName name="HOSHUKO_R">'Hoshuko-Pay-Stub'!$A$2</definedName>
    <definedName name="inflation">Expenses!$M$3</definedName>
    <definedName name="JP_NET_AB_TAX">'Tax Estimates'!$B$124</definedName>
    <definedName name="JP_NET_FED_TAX">'Tax Estimates'!$B$97</definedName>
    <definedName name="JP_TAXABLE_INCOME">'Tax Estimates'!$B$45</definedName>
    <definedName name="LAB_HRS_PER_WK_FALL_J">Overview!$G$6</definedName>
    <definedName name="LAB_HRS_PER_WK_FALL_N">Overview!$H$6</definedName>
    <definedName name="LAB_HRS_PER_WK_SPR_J">Overview!$E$6</definedName>
    <definedName name="LAB_HRS_PER_WK_SPR_N">Overview!$F$6</definedName>
    <definedName name="LAB_HRS_PER_WK_WINT_J">Overview!$C$6</definedName>
    <definedName name="LAB_HRS_PER_WK_WINT_N">Overview!$D$6</definedName>
    <definedName name="LEC_HRS_PER_WK_FALL_J">Overview!$G$4</definedName>
    <definedName name="LEC_HRS_PER_WK_FALL_N">Overview!$H$4</definedName>
    <definedName name="LEC_HRS_PER_WK_SPR_J">Overview!$E$4</definedName>
    <definedName name="LEC_HRS_PER_WK_SPR_N">Overview!$F$4</definedName>
    <definedName name="LEC_HRS_PER_WK_WINT_J">Overview!$C$4</definedName>
    <definedName name="LEC_HRS_PER_WK_WINT_N">Overview!$D$4</definedName>
    <definedName name="MAX_ANNUAL_CPP">Gov.Tax.Calcs!$C$3</definedName>
    <definedName name="MAX_ANNUAL_EI">Gov.Tax.Calcs!$C$5</definedName>
    <definedName name="MAX_INSURABLE_EARNINGS">Gov.Tax.Calcs!$C$9</definedName>
    <definedName name="MAX_PENSIONABLE_EARNINGS">Gov.Tax.Calcs!$C$8</definedName>
    <definedName name="MED_EXPENSES">'Tax Estimates'!$F$46</definedName>
    <definedName name="MISC_ANNUAL_PAY">'Tax Estimates'!$H$26</definedName>
    <definedName name="MRU_J_ACT_TAKEHOME">'MRU-J-Pay-Stub'!$AA$55</definedName>
    <definedName name="MRU_J_EST_TAKEHOME">'MRU-J-Pay-Stub'!$AA$54</definedName>
    <definedName name="MRU_J_R">'MRU-J-Pay-Stub'!$A$2</definedName>
    <definedName name="MRU_JP_AB_TAX">'MRU-J-Pay-Stub'!$AA$40</definedName>
    <definedName name="MRU_JP_CPP">'MRU-J-Pay-Stub'!$AA$19</definedName>
    <definedName name="MRU_JP_EARNINGS">'MRU-J-Pay-Stub'!$AA$8</definedName>
    <definedName name="MRU_JP_EI">'MRU-J-Pay-Stub'!$AA$25</definedName>
    <definedName name="MRU_JP_EMPL_INCOME">'T4 Summary'!$D$3</definedName>
    <definedName name="MRU_JP_FED_TAX">'MRU-J-Pay-Stub'!$AA$33</definedName>
    <definedName name="MRU_JP_MRFA">'MRU-J-Pay-Stub'!$AA$13</definedName>
    <definedName name="MRU_JP_MRSA">'MRU-J-Pay-Stub'!$AA$12</definedName>
    <definedName name="MRU_JP_RPP">'MRU-J-Pay-Stub'!$AA$11</definedName>
    <definedName name="MRU_JP_TAXABLE_BEN">'MRU-J-Pay-Stub'!$AA$51</definedName>
    <definedName name="MRU_N_ACT_TAKEHOME">'MRU-N-Pay-Stub'!$AA$54</definedName>
    <definedName name="MRU_N_EST_TAKEHOME">'MRU-N-Pay-Stub'!$AA$53</definedName>
    <definedName name="MRU_N_R">'MRU-N-Pay-Stub'!$A$2</definedName>
    <definedName name="MRU_NP_AB_TAX">'MRU-N-Pay-Stub'!$AA$40</definedName>
    <definedName name="MRU_NP_CPP">'MRU-N-Pay-Stub'!$AA$19</definedName>
    <definedName name="MRU_NP_EARNINGS">'MRU-N-Pay-Stub'!$AA$8</definedName>
    <definedName name="MRU_NP_EI">'MRU-N-Pay-Stub'!$AA$25</definedName>
    <definedName name="MRU_NP_EMPL_INCOME">'T4 Summary'!$D$15</definedName>
    <definedName name="MRU_NP_FED_TAX">'MRU-N-Pay-Stub'!$AA$33</definedName>
    <definedName name="MRU_NP_MRFA">'MRU-N-Pay-Stub'!$AA$13</definedName>
    <definedName name="MRU_NP_RPP">'MRU-N-Pay-Stub'!$AA$11</definedName>
    <definedName name="MRU_NP_TAXABLE_BEN">'MRU-N-Pay-Stub'!$AA$51</definedName>
    <definedName name="NP_NET_AB_TAX">'Tax Estimates'!$C$124</definedName>
    <definedName name="NP_NET_FED_TAX">'Tax Estimates'!$C$97</definedName>
    <definedName name="NP_TAXABLE_INCOME">'Tax Estimates'!$C$45</definedName>
    <definedName name="TUT_HRS_PER_WK_FALL_J">Overview!$G$5</definedName>
    <definedName name="TUT_HRS_PER_WK_FALL_N">Overview!$H$5</definedName>
    <definedName name="TUT_HRS_PER_WK_SPR_J">Overview!$E$5</definedName>
    <definedName name="TUT_HRS_PER_WK_SPR_N">Overview!$F$5</definedName>
    <definedName name="TUT_HRS_PER_WK_WINT_J">Overview!$C$5</definedName>
    <definedName name="TUT_HRS_PER_WK_WINT_N">Overview!$D$5</definedName>
    <definedName name="UOFC_AB_TAX">'UofC-Pay-Stub'!$AA$40</definedName>
    <definedName name="UOFC_ACT_TAKEHOME">'UofC-Pay-Stub'!$AA$54</definedName>
    <definedName name="UOFC_CAUT">'UofC-Pay-Stub'!$AA$12</definedName>
    <definedName name="UOFC_CPP">'UofC-Pay-Stub'!$AA$19</definedName>
    <definedName name="UOFC_EARNINGS">'UofC-Pay-Stub'!$AA$8</definedName>
    <definedName name="UOFC_EI">'UofC-Pay-Stub'!$AA$25</definedName>
    <definedName name="UOFC_EMPL_INCOME">'T4 Summary'!$H$15</definedName>
    <definedName name="UOFC_EST_TAKEHOME">'UofC-Pay-Stub'!$AA$53</definedName>
    <definedName name="UOFC_FED_TAX">'UofC-Pay-Stub'!$AA$33</definedName>
    <definedName name="UOFC_N_R">'UofC-Pay-Stub'!$A$2</definedName>
    <definedName name="UOFC_RPP">'UofC-Pay-Stub'!$AA$11</definedName>
    <definedName name="UOFC_TAXABLE_BEN">'UofC-Pay-Stub'!$AA$51</definedName>
    <definedName name="UOFC_TUCFA">'UofC-Pay-Stub'!$AA$13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9" l="1"/>
  <c r="M138" i="19" l="1"/>
  <c r="K138" i="19"/>
  <c r="H138" i="19"/>
  <c r="F138" i="19"/>
  <c r="E138" i="19"/>
  <c r="M137" i="19"/>
  <c r="H137" i="19"/>
  <c r="M136" i="19"/>
  <c r="H136" i="19"/>
  <c r="M135" i="19"/>
  <c r="H135" i="19"/>
  <c r="M134" i="19"/>
  <c r="H134" i="19"/>
  <c r="M133" i="19"/>
  <c r="H133" i="19"/>
  <c r="M132" i="19"/>
  <c r="H132" i="19"/>
  <c r="M131" i="19"/>
  <c r="K131" i="19"/>
  <c r="H131" i="19"/>
  <c r="F131" i="19"/>
  <c r="E131" i="19"/>
  <c r="M130" i="19"/>
  <c r="K130" i="19"/>
  <c r="H130" i="19"/>
  <c r="F130" i="19"/>
  <c r="E130" i="19"/>
  <c r="M129" i="19"/>
  <c r="K129" i="19"/>
  <c r="H129" i="19"/>
  <c r="F129" i="19"/>
  <c r="E129" i="19"/>
  <c r="M128" i="19"/>
  <c r="K128" i="19"/>
  <c r="H128" i="19"/>
  <c r="F128" i="19"/>
  <c r="E128" i="19"/>
  <c r="M127" i="19"/>
  <c r="K127" i="19"/>
  <c r="H127" i="19"/>
  <c r="F127" i="19"/>
  <c r="E127" i="19"/>
  <c r="M126" i="19"/>
  <c r="K126" i="19"/>
  <c r="H126" i="19"/>
  <c r="F126" i="19"/>
  <c r="E126" i="19"/>
  <c r="M125" i="19"/>
  <c r="H125" i="19"/>
  <c r="C125" i="19"/>
  <c r="M124" i="19"/>
  <c r="H124" i="19"/>
  <c r="M123" i="19"/>
  <c r="H123" i="19"/>
  <c r="M122" i="19"/>
  <c r="H122" i="19"/>
  <c r="M121" i="19"/>
  <c r="K121" i="19"/>
  <c r="H121" i="19"/>
  <c r="F121" i="19"/>
  <c r="E121" i="19"/>
  <c r="M120" i="19"/>
  <c r="K120" i="19"/>
  <c r="H120" i="19"/>
  <c r="F120" i="19"/>
  <c r="E120" i="19"/>
  <c r="M119" i="19"/>
  <c r="K119" i="19"/>
  <c r="H119" i="19"/>
  <c r="F119" i="19"/>
  <c r="E119" i="19"/>
  <c r="M118" i="19"/>
  <c r="H118" i="19"/>
  <c r="M117" i="19"/>
  <c r="K117" i="19"/>
  <c r="H117" i="19"/>
  <c r="F117" i="19"/>
  <c r="E117" i="19"/>
  <c r="M116" i="19"/>
  <c r="K116" i="19"/>
  <c r="H116" i="19"/>
  <c r="F116" i="19"/>
  <c r="E116" i="19"/>
  <c r="M115" i="19"/>
  <c r="K115" i="19"/>
  <c r="H115" i="19"/>
  <c r="F115" i="19"/>
  <c r="E115" i="19"/>
  <c r="O114" i="19"/>
  <c r="H114" i="19"/>
  <c r="M113" i="19"/>
  <c r="H113" i="19"/>
  <c r="M112" i="19"/>
  <c r="H112" i="19"/>
  <c r="M111" i="19"/>
  <c r="H111" i="19"/>
  <c r="O110" i="19"/>
  <c r="M110" i="19"/>
  <c r="H110" i="19"/>
  <c r="O109" i="19"/>
  <c r="F109" i="19"/>
  <c r="E109" i="19"/>
  <c r="O108" i="19"/>
  <c r="M108" i="19"/>
  <c r="K108" i="19"/>
  <c r="H108" i="19"/>
  <c r="F108" i="19"/>
  <c r="E108" i="19"/>
  <c r="M107" i="19"/>
  <c r="K107" i="19"/>
  <c r="H107" i="19"/>
  <c r="F107" i="19"/>
  <c r="E107" i="19"/>
  <c r="M106" i="19"/>
  <c r="H106" i="19"/>
  <c r="M105" i="19"/>
  <c r="H105" i="19"/>
  <c r="M104" i="19"/>
  <c r="K104" i="19"/>
  <c r="H104" i="19"/>
  <c r="F104" i="19"/>
  <c r="E104" i="19"/>
  <c r="M103" i="19"/>
  <c r="H103" i="19"/>
  <c r="M102" i="19"/>
  <c r="H102" i="19"/>
  <c r="C102" i="19"/>
  <c r="D102" i="19" s="1"/>
  <c r="E102" i="19" s="1"/>
  <c r="M101" i="19"/>
  <c r="K101" i="19"/>
  <c r="H101" i="19"/>
  <c r="F101" i="19"/>
  <c r="E101" i="19"/>
  <c r="M100" i="19"/>
  <c r="K100" i="19"/>
  <c r="H100" i="19"/>
  <c r="F100" i="19"/>
  <c r="E100" i="19"/>
  <c r="O99" i="19"/>
  <c r="M99" i="19"/>
  <c r="K99" i="19"/>
  <c r="H99" i="19"/>
  <c r="F99" i="19"/>
  <c r="E99" i="19"/>
  <c r="O98" i="19"/>
  <c r="F98" i="19"/>
  <c r="E98" i="19"/>
  <c r="O97" i="19"/>
  <c r="M97" i="19"/>
  <c r="K97" i="19"/>
  <c r="H97" i="19"/>
  <c r="F97" i="19"/>
  <c r="E97" i="19"/>
  <c r="O96" i="19"/>
  <c r="M96" i="19"/>
  <c r="K96" i="19"/>
  <c r="H96" i="19"/>
  <c r="F96" i="19"/>
  <c r="E96" i="19"/>
  <c r="O95" i="19"/>
  <c r="M95" i="19"/>
  <c r="K95" i="19"/>
  <c r="H95" i="19"/>
  <c r="F95" i="19"/>
  <c r="E95" i="19"/>
  <c r="O94" i="19"/>
  <c r="M94" i="19"/>
  <c r="H94" i="19"/>
  <c r="O93" i="19"/>
  <c r="M93" i="19"/>
  <c r="H93" i="19"/>
  <c r="O92" i="19"/>
  <c r="M92" i="19"/>
  <c r="H92" i="19"/>
  <c r="O91" i="19"/>
  <c r="M91" i="19"/>
  <c r="K91" i="19"/>
  <c r="H91" i="19"/>
  <c r="F91" i="19"/>
  <c r="E91" i="19"/>
  <c r="C91" i="19"/>
  <c r="O90" i="19"/>
  <c r="M90" i="19"/>
  <c r="K90" i="19"/>
  <c r="H90" i="19"/>
  <c r="F90" i="19"/>
  <c r="E90" i="19"/>
  <c r="O89" i="19"/>
  <c r="M89" i="19"/>
  <c r="K89" i="19"/>
  <c r="H89" i="19"/>
  <c r="F89" i="19"/>
  <c r="E89" i="19"/>
  <c r="O88" i="19"/>
  <c r="M88" i="19"/>
  <c r="H88" i="19"/>
  <c r="O87" i="19"/>
  <c r="M87" i="19"/>
  <c r="H87" i="19"/>
  <c r="C87" i="19"/>
  <c r="O86" i="19"/>
  <c r="M86" i="19"/>
  <c r="H86" i="19"/>
  <c r="O85" i="19"/>
  <c r="M85" i="19"/>
  <c r="K85" i="19"/>
  <c r="H85" i="19"/>
  <c r="F85" i="19"/>
  <c r="E85" i="19"/>
  <c r="O84" i="19"/>
  <c r="M84" i="19"/>
  <c r="K84" i="19"/>
  <c r="H84" i="19"/>
  <c r="F84" i="19"/>
  <c r="E84" i="19"/>
  <c r="O83" i="19"/>
  <c r="M83" i="19"/>
  <c r="H83" i="19"/>
  <c r="D83" i="19"/>
  <c r="O82" i="19"/>
  <c r="M82" i="19"/>
  <c r="H82" i="19"/>
  <c r="C82" i="19"/>
  <c r="D82" i="19" s="1"/>
  <c r="O81" i="19"/>
  <c r="M81" i="19"/>
  <c r="H81" i="19"/>
  <c r="O80" i="19"/>
  <c r="H80" i="19"/>
  <c r="F80" i="19"/>
  <c r="E80" i="19"/>
  <c r="O79" i="19"/>
  <c r="M79" i="19"/>
  <c r="K79" i="19"/>
  <c r="H79" i="19"/>
  <c r="F79" i="19"/>
  <c r="E79" i="19"/>
  <c r="O78" i="19"/>
  <c r="M78" i="19"/>
  <c r="K78" i="19"/>
  <c r="H78" i="19"/>
  <c r="F78" i="19"/>
  <c r="E78" i="19"/>
  <c r="O77" i="19"/>
  <c r="M77" i="19"/>
  <c r="H77" i="19"/>
  <c r="F77" i="19"/>
  <c r="D77" i="19"/>
  <c r="E77" i="19" s="1"/>
  <c r="O76" i="19"/>
  <c r="H76" i="19"/>
  <c r="O75" i="19"/>
  <c r="M75" i="19"/>
  <c r="H75" i="19"/>
  <c r="M74" i="19"/>
  <c r="K74" i="19"/>
  <c r="H74" i="19"/>
  <c r="F74" i="19"/>
  <c r="E74" i="19"/>
  <c r="O73" i="19"/>
  <c r="M73" i="19"/>
  <c r="K73" i="19"/>
  <c r="H73" i="19"/>
  <c r="F73" i="19"/>
  <c r="E73" i="19"/>
  <c r="O72" i="19"/>
  <c r="M72" i="19"/>
  <c r="K72" i="19"/>
  <c r="H72" i="19"/>
  <c r="F72" i="19"/>
  <c r="E72" i="19"/>
  <c r="M71" i="19"/>
  <c r="H71" i="19"/>
  <c r="C71" i="19"/>
  <c r="D71" i="19" s="1"/>
  <c r="K71" i="19" s="1"/>
  <c r="O70" i="19"/>
  <c r="M70" i="19"/>
  <c r="H70" i="19"/>
  <c r="M69" i="19"/>
  <c r="K69" i="19"/>
  <c r="H69" i="19"/>
  <c r="F69" i="19"/>
  <c r="E69" i="19"/>
  <c r="M68" i="19"/>
  <c r="K68" i="19"/>
  <c r="H68" i="19"/>
  <c r="F68" i="19"/>
  <c r="E68" i="19"/>
  <c r="M67" i="19"/>
  <c r="K67" i="19"/>
  <c r="H67" i="19"/>
  <c r="F67" i="19"/>
  <c r="E67" i="19"/>
  <c r="M66" i="19"/>
  <c r="K66" i="19"/>
  <c r="H66" i="19"/>
  <c r="F66" i="19"/>
  <c r="E66" i="19"/>
  <c r="O65" i="19"/>
  <c r="M65" i="19"/>
  <c r="K65" i="19"/>
  <c r="H65" i="19"/>
  <c r="F65" i="19"/>
  <c r="E65" i="19"/>
  <c r="O64" i="19"/>
  <c r="M64" i="19"/>
  <c r="K64" i="19"/>
  <c r="H64" i="19"/>
  <c r="F64" i="19"/>
  <c r="E64" i="19"/>
  <c r="M63" i="19"/>
  <c r="K63" i="19"/>
  <c r="H63" i="19"/>
  <c r="F63" i="19"/>
  <c r="E63" i="19"/>
  <c r="O62" i="19"/>
  <c r="M62" i="19"/>
  <c r="H62" i="19"/>
  <c r="O61" i="19"/>
  <c r="M61" i="19"/>
  <c r="H61" i="19"/>
  <c r="D61" i="19"/>
  <c r="F61" i="19" s="1"/>
  <c r="O60" i="19"/>
  <c r="M60" i="19"/>
  <c r="K60" i="19"/>
  <c r="H60" i="19"/>
  <c r="F60" i="19"/>
  <c r="E60" i="19"/>
  <c r="O59" i="19"/>
  <c r="M59" i="19"/>
  <c r="K59" i="19"/>
  <c r="H59" i="19"/>
  <c r="F59" i="19"/>
  <c r="E59" i="19"/>
  <c r="O58" i="19"/>
  <c r="M58" i="19"/>
  <c r="K58" i="19"/>
  <c r="H58" i="19"/>
  <c r="F58" i="19"/>
  <c r="E58" i="19"/>
  <c r="M57" i="19"/>
  <c r="K57" i="19"/>
  <c r="H57" i="19"/>
  <c r="F57" i="19"/>
  <c r="E57" i="19"/>
  <c r="O56" i="19"/>
  <c r="M56" i="19"/>
  <c r="K56" i="19"/>
  <c r="H56" i="19"/>
  <c r="F56" i="19"/>
  <c r="E56" i="19"/>
  <c r="O55" i="19"/>
  <c r="M55" i="19"/>
  <c r="K55" i="19"/>
  <c r="H55" i="19"/>
  <c r="D55" i="19"/>
  <c r="F55" i="19" s="1"/>
  <c r="O54" i="19"/>
  <c r="M54" i="19"/>
  <c r="H54" i="19"/>
  <c r="D54" i="19"/>
  <c r="K54" i="19" s="1"/>
  <c r="O53" i="19"/>
  <c r="M53" i="19"/>
  <c r="H53" i="19"/>
  <c r="O52" i="19"/>
  <c r="M52" i="19"/>
  <c r="H52" i="19"/>
  <c r="O51" i="19"/>
  <c r="M51" i="19"/>
  <c r="K51" i="19"/>
  <c r="H51" i="19"/>
  <c r="F51" i="19"/>
  <c r="E51" i="19"/>
  <c r="O50" i="19"/>
  <c r="M50" i="19"/>
  <c r="K50" i="19"/>
  <c r="H50" i="19"/>
  <c r="F50" i="19"/>
  <c r="E50" i="19"/>
  <c r="O49" i="19"/>
  <c r="M49" i="19"/>
  <c r="K49" i="19"/>
  <c r="H49" i="19"/>
  <c r="F49" i="19"/>
  <c r="E49" i="19"/>
  <c r="O48" i="19"/>
  <c r="M48" i="19"/>
  <c r="K48" i="19"/>
  <c r="H48" i="19"/>
  <c r="F48" i="19"/>
  <c r="E48" i="19"/>
  <c r="M47" i="19"/>
  <c r="K47" i="19"/>
  <c r="H47" i="19"/>
  <c r="F47" i="19"/>
  <c r="E47" i="19"/>
  <c r="O46" i="19"/>
  <c r="M46" i="19"/>
  <c r="K46" i="19"/>
  <c r="H46" i="19"/>
  <c r="F46" i="19"/>
  <c r="E46" i="19"/>
  <c r="M45" i="19"/>
  <c r="K45" i="19"/>
  <c r="H45" i="19"/>
  <c r="F45" i="19"/>
  <c r="E45" i="19"/>
  <c r="M44" i="19"/>
  <c r="H44" i="19"/>
  <c r="M43" i="19"/>
  <c r="K43" i="19"/>
  <c r="H43" i="19"/>
  <c r="F43" i="19"/>
  <c r="E43" i="19"/>
  <c r="M42" i="19"/>
  <c r="H42" i="19"/>
  <c r="O41" i="19"/>
  <c r="M41" i="19"/>
  <c r="K41" i="19"/>
  <c r="H41" i="19"/>
  <c r="F41" i="19"/>
  <c r="E41" i="19"/>
  <c r="O40" i="19"/>
  <c r="M40" i="19"/>
  <c r="K40" i="19"/>
  <c r="H40" i="19"/>
  <c r="F40" i="19"/>
  <c r="E40" i="19"/>
  <c r="O39" i="19"/>
  <c r="M39" i="19"/>
  <c r="K39" i="19"/>
  <c r="H39" i="19"/>
  <c r="F39" i="19"/>
  <c r="E39" i="19"/>
  <c r="O38" i="19"/>
  <c r="M38" i="19"/>
  <c r="K38" i="19"/>
  <c r="H38" i="19"/>
  <c r="F38" i="19"/>
  <c r="E38" i="19"/>
  <c r="O37" i="19"/>
  <c r="M37" i="19"/>
  <c r="H37" i="19"/>
  <c r="O36" i="19"/>
  <c r="M36" i="19"/>
  <c r="K36" i="19"/>
  <c r="H36" i="19"/>
  <c r="F36" i="19"/>
  <c r="E36" i="19"/>
  <c r="O35" i="19"/>
  <c r="M35" i="19"/>
  <c r="H35" i="19"/>
  <c r="O34" i="19"/>
  <c r="M34" i="19"/>
  <c r="H34" i="19"/>
  <c r="O33" i="19"/>
  <c r="M33" i="19"/>
  <c r="K33" i="19"/>
  <c r="H33" i="19"/>
  <c r="D33" i="19"/>
  <c r="F33" i="19" s="1"/>
  <c r="O32" i="19"/>
  <c r="M32" i="19"/>
  <c r="K32" i="19"/>
  <c r="H32" i="19"/>
  <c r="F32" i="19"/>
  <c r="E32" i="19"/>
  <c r="C32" i="19"/>
  <c r="O31" i="19"/>
  <c r="M31" i="19"/>
  <c r="H31" i="19"/>
  <c r="O30" i="19"/>
  <c r="M30" i="19"/>
  <c r="H30" i="19"/>
  <c r="O29" i="19"/>
  <c r="M29" i="19"/>
  <c r="H29" i="19"/>
  <c r="O28" i="19"/>
  <c r="M28" i="19"/>
  <c r="H28" i="19"/>
  <c r="O27" i="19"/>
  <c r="H27" i="19"/>
  <c r="F27" i="19"/>
  <c r="E27" i="19"/>
  <c r="O26" i="19"/>
  <c r="M26" i="19"/>
  <c r="H26" i="19"/>
  <c r="O25" i="19"/>
  <c r="M25" i="19"/>
  <c r="K25" i="19"/>
  <c r="H25" i="19"/>
  <c r="F25" i="19"/>
  <c r="E25" i="19"/>
  <c r="O24" i="19"/>
  <c r="M24" i="19"/>
  <c r="H24" i="19"/>
  <c r="O23" i="19"/>
  <c r="M23" i="19"/>
  <c r="K23" i="19"/>
  <c r="H23" i="19"/>
  <c r="F23" i="19"/>
  <c r="E23" i="19"/>
  <c r="O22" i="19"/>
  <c r="M22" i="19"/>
  <c r="K22" i="19"/>
  <c r="H22" i="19"/>
  <c r="F22" i="19"/>
  <c r="E22" i="19"/>
  <c r="O21" i="19"/>
  <c r="M21" i="19"/>
  <c r="K21" i="19"/>
  <c r="H21" i="19"/>
  <c r="F21" i="19"/>
  <c r="E21" i="19"/>
  <c r="O20" i="19"/>
  <c r="M20" i="19"/>
  <c r="K20" i="19"/>
  <c r="H20" i="19"/>
  <c r="F20" i="19"/>
  <c r="E20" i="19"/>
  <c r="O19" i="19"/>
  <c r="M19" i="19"/>
  <c r="H19" i="19"/>
  <c r="O18" i="19"/>
  <c r="M18" i="19"/>
  <c r="K18" i="19"/>
  <c r="H18" i="19"/>
  <c r="F18" i="19"/>
  <c r="E18" i="19"/>
  <c r="O17" i="19"/>
  <c r="M17" i="19"/>
  <c r="K17" i="19"/>
  <c r="H17" i="19"/>
  <c r="F17" i="19"/>
  <c r="E17" i="19"/>
  <c r="O16" i="19"/>
  <c r="M16" i="19"/>
  <c r="H16" i="19"/>
  <c r="M15" i="19"/>
  <c r="K15" i="19"/>
  <c r="H15" i="19"/>
  <c r="F15" i="19"/>
  <c r="E15" i="19"/>
  <c r="O14" i="19"/>
  <c r="M14" i="19"/>
  <c r="H14" i="19"/>
  <c r="F14" i="19"/>
  <c r="E14" i="19"/>
  <c r="D14" i="19"/>
  <c r="K14" i="19" s="1"/>
  <c r="O13" i="19"/>
  <c r="M13" i="19"/>
  <c r="K13" i="19"/>
  <c r="H13" i="19"/>
  <c r="F13" i="19"/>
  <c r="E13" i="19"/>
  <c r="O12" i="19"/>
  <c r="M12" i="19"/>
  <c r="H12" i="19"/>
  <c r="O11" i="19"/>
  <c r="M5" i="19" s="1"/>
  <c r="M11" i="19"/>
  <c r="K11" i="19"/>
  <c r="H11" i="19"/>
  <c r="F11" i="19"/>
  <c r="O10" i="19"/>
  <c r="H10" i="19"/>
  <c r="F10" i="19"/>
  <c r="E10" i="19"/>
  <c r="O9" i="19"/>
  <c r="M9" i="19"/>
  <c r="K9" i="19"/>
  <c r="H9" i="19"/>
  <c r="D9" i="19"/>
  <c r="M8" i="19"/>
  <c r="H8" i="19"/>
  <c r="F8" i="19"/>
  <c r="E8" i="19"/>
  <c r="D8" i="19"/>
  <c r="K8" i="19" s="1"/>
  <c r="C8" i="19"/>
  <c r="M3" i="19"/>
  <c r="D124" i="19" s="1"/>
  <c r="E23" i="9"/>
  <c r="E22" i="9"/>
  <c r="E24" i="9"/>
  <c r="A89" i="18"/>
  <c r="A88" i="18"/>
  <c r="A87" i="18"/>
  <c r="F26" i="18"/>
  <c r="L14" i="5"/>
  <c r="L13" i="5"/>
  <c r="C103" i="18"/>
  <c r="B103" i="18"/>
  <c r="C75" i="18"/>
  <c r="B75" i="18"/>
  <c r="C71" i="18"/>
  <c r="B71" i="18"/>
  <c r="B13" i="18"/>
  <c r="B2" i="18"/>
  <c r="F77" i="18"/>
  <c r="F76" i="18"/>
  <c r="F66" i="18"/>
  <c r="B76" i="18" s="1"/>
  <c r="F58" i="18"/>
  <c r="H57" i="18"/>
  <c r="F57" i="18"/>
  <c r="F59" i="18" s="1"/>
  <c r="C80" i="18" s="1"/>
  <c r="F55" i="18"/>
  <c r="H58" i="18" s="1"/>
  <c r="G45" i="18"/>
  <c r="F45" i="18"/>
  <c r="F46" i="18" s="1"/>
  <c r="C42" i="18"/>
  <c r="F38" i="18"/>
  <c r="B30" i="18"/>
  <c r="B28" i="18"/>
  <c r="H26" i="18"/>
  <c r="G25" i="18"/>
  <c r="G24" i="18"/>
  <c r="G23" i="18"/>
  <c r="G22" i="18"/>
  <c r="G21" i="18"/>
  <c r="G20" i="18"/>
  <c r="G19" i="18"/>
  <c r="G18" i="18"/>
  <c r="G17" i="18"/>
  <c r="G16" i="18"/>
  <c r="G26" i="18" s="1"/>
  <c r="G15" i="18"/>
  <c r="G14" i="18"/>
  <c r="AA52" i="15"/>
  <c r="AA54" i="12"/>
  <c r="AA55" i="1"/>
  <c r="AA54" i="11"/>
  <c r="AA49" i="15"/>
  <c r="AA51" i="12"/>
  <c r="AA51" i="11"/>
  <c r="AA12" i="1"/>
  <c r="F124" i="19" l="1"/>
  <c r="E124" i="19"/>
  <c r="K124" i="19"/>
  <c r="F82" i="19"/>
  <c r="E82" i="19"/>
  <c r="K82" i="19"/>
  <c r="E61" i="19"/>
  <c r="E83" i="19"/>
  <c r="F83" i="19"/>
  <c r="F9" i="19"/>
  <c r="E9" i="19"/>
  <c r="G4" i="19"/>
  <c r="D28" i="19"/>
  <c r="E33" i="19"/>
  <c r="E55" i="19"/>
  <c r="E71" i="19"/>
  <c r="D87" i="19"/>
  <c r="D92" i="19"/>
  <c r="D125" i="19"/>
  <c r="F54" i="19"/>
  <c r="E54" i="19"/>
  <c r="K102" i="19"/>
  <c r="F102" i="19"/>
  <c r="D136" i="19"/>
  <c r="D134" i="19"/>
  <c r="D132" i="19"/>
  <c r="D118" i="19"/>
  <c r="D114" i="19"/>
  <c r="D112" i="19"/>
  <c r="D93" i="19"/>
  <c r="D86" i="19"/>
  <c r="D70" i="19"/>
  <c r="D62" i="19"/>
  <c r="D52" i="19"/>
  <c r="D37" i="19"/>
  <c r="D34" i="19"/>
  <c r="D30" i="19"/>
  <c r="D16" i="19"/>
  <c r="D12" i="19"/>
  <c r="C6" i="19" s="1"/>
  <c r="D113" i="19"/>
  <c r="D111" i="19"/>
  <c r="D103" i="19"/>
  <c r="D123" i="19"/>
  <c r="D110" i="19"/>
  <c r="D106" i="19"/>
  <c r="D94" i="19"/>
  <c r="D88" i="19"/>
  <c r="D75" i="19"/>
  <c r="D53" i="19"/>
  <c r="D42" i="19"/>
  <c r="D35" i="19"/>
  <c r="D31" i="19"/>
  <c r="D26" i="19"/>
  <c r="D19" i="19"/>
  <c r="D137" i="19"/>
  <c r="D135" i="19"/>
  <c r="D133" i="19"/>
  <c r="D24" i="19"/>
  <c r="D29" i="19"/>
  <c r="D44" i="19"/>
  <c r="K61" i="19"/>
  <c r="F71" i="19"/>
  <c r="D76" i="19"/>
  <c r="D81" i="19"/>
  <c r="K83" i="19"/>
  <c r="D105" i="19"/>
  <c r="D122" i="19"/>
  <c r="K77" i="19"/>
  <c r="B31" i="18"/>
  <c r="C29" i="18"/>
  <c r="C31" i="18" s="1"/>
  <c r="C9" i="18"/>
  <c r="H59" i="18"/>
  <c r="C110" i="18" s="1"/>
  <c r="G46" i="18"/>
  <c r="F76" i="19" l="1"/>
  <c r="E76" i="19"/>
  <c r="E31" i="19"/>
  <c r="K31" i="19"/>
  <c r="F31" i="19"/>
  <c r="F137" i="19"/>
  <c r="E137" i="19"/>
  <c r="K137" i="19"/>
  <c r="E88" i="19"/>
  <c r="K88" i="19"/>
  <c r="F88" i="19"/>
  <c r="E123" i="19"/>
  <c r="K123" i="19"/>
  <c r="F123" i="19"/>
  <c r="K37" i="19"/>
  <c r="F37" i="19"/>
  <c r="E37" i="19"/>
  <c r="K118" i="19"/>
  <c r="F118" i="19"/>
  <c r="E118" i="19"/>
  <c r="K125" i="19"/>
  <c r="F125" i="19"/>
  <c r="E125" i="19"/>
  <c r="E19" i="19"/>
  <c r="K19" i="19"/>
  <c r="F19" i="19"/>
  <c r="E42" i="19"/>
  <c r="K42" i="19"/>
  <c r="F42" i="19"/>
  <c r="E94" i="19"/>
  <c r="K94" i="19"/>
  <c r="F94" i="19"/>
  <c r="F103" i="19"/>
  <c r="K103" i="19"/>
  <c r="E103" i="19"/>
  <c r="K16" i="19"/>
  <c r="F16" i="19"/>
  <c r="E16" i="19"/>
  <c r="K52" i="19"/>
  <c r="E52" i="19"/>
  <c r="F52" i="19"/>
  <c r="K93" i="19"/>
  <c r="F93" i="19"/>
  <c r="E93" i="19"/>
  <c r="K132" i="19"/>
  <c r="F132" i="19"/>
  <c r="E132" i="19"/>
  <c r="E92" i="19"/>
  <c r="F92" i="19"/>
  <c r="K92" i="19"/>
  <c r="E122" i="19"/>
  <c r="F122" i="19"/>
  <c r="K122" i="19"/>
  <c r="F29" i="19"/>
  <c r="E29" i="19"/>
  <c r="K29" i="19"/>
  <c r="F135" i="19"/>
  <c r="E135" i="19"/>
  <c r="K135" i="19"/>
  <c r="E75" i="19"/>
  <c r="K75" i="19"/>
  <c r="F75" i="19"/>
  <c r="E110" i="19"/>
  <c r="K110" i="19"/>
  <c r="F110" i="19"/>
  <c r="F113" i="19"/>
  <c r="E113" i="19"/>
  <c r="K113" i="19"/>
  <c r="K34" i="19"/>
  <c r="E34" i="19"/>
  <c r="F34" i="19"/>
  <c r="K70" i="19"/>
  <c r="F70" i="19"/>
  <c r="E70" i="19"/>
  <c r="F114" i="19"/>
  <c r="E114" i="19"/>
  <c r="K136" i="19"/>
  <c r="F136" i="19"/>
  <c r="E136" i="19"/>
  <c r="E105" i="19"/>
  <c r="F105" i="19"/>
  <c r="K105" i="19"/>
  <c r="F24" i="19"/>
  <c r="E24" i="19"/>
  <c r="K24" i="19"/>
  <c r="E35" i="19"/>
  <c r="K35" i="19"/>
  <c r="F35" i="19"/>
  <c r="E12" i="19"/>
  <c r="K12" i="19"/>
  <c r="F12" i="19"/>
  <c r="D4" i="19"/>
  <c r="H15" i="5" s="1"/>
  <c r="K86" i="19"/>
  <c r="F86" i="19"/>
  <c r="E86" i="19"/>
  <c r="F81" i="19"/>
  <c r="E81" i="19"/>
  <c r="K81" i="19"/>
  <c r="F44" i="19"/>
  <c r="E44" i="19"/>
  <c r="K44" i="19"/>
  <c r="F133" i="19"/>
  <c r="K133" i="19"/>
  <c r="E133" i="19"/>
  <c r="E26" i="19"/>
  <c r="K26" i="19"/>
  <c r="F26" i="19"/>
  <c r="E53" i="19"/>
  <c r="K53" i="19"/>
  <c r="F53" i="19"/>
  <c r="E106" i="19"/>
  <c r="K106" i="19"/>
  <c r="F106" i="19"/>
  <c r="F111" i="19"/>
  <c r="E111" i="19"/>
  <c r="K111" i="19"/>
  <c r="K30" i="19"/>
  <c r="E30" i="19"/>
  <c r="F30" i="19"/>
  <c r="K62" i="19"/>
  <c r="F62" i="19"/>
  <c r="E62" i="19"/>
  <c r="K112" i="19"/>
  <c r="F112" i="19"/>
  <c r="E112" i="19"/>
  <c r="K134" i="19"/>
  <c r="F134" i="19"/>
  <c r="E134" i="19"/>
  <c r="K87" i="19"/>
  <c r="F87" i="19"/>
  <c r="E87" i="19"/>
  <c r="F28" i="19"/>
  <c r="E28" i="19"/>
  <c r="K28" i="19"/>
  <c r="C105" i="18"/>
  <c r="C52" i="18"/>
  <c r="C73" i="18" s="1"/>
  <c r="C43" i="18"/>
  <c r="G9" i="15" l="1"/>
  <c r="H9" i="15"/>
  <c r="I9" i="15"/>
  <c r="J9" i="15"/>
  <c r="K9" i="15"/>
  <c r="L9" i="15"/>
  <c r="M9" i="15"/>
  <c r="N9" i="15"/>
  <c r="O9" i="15"/>
  <c r="P9" i="15"/>
  <c r="Q9" i="15"/>
  <c r="R9" i="15"/>
  <c r="S9" i="15"/>
  <c r="T9" i="15"/>
  <c r="U9" i="15"/>
  <c r="V9" i="15"/>
  <c r="W9" i="15"/>
  <c r="X9" i="15"/>
  <c r="F9" i="15"/>
  <c r="E9" i="15"/>
  <c r="D9" i="15"/>
  <c r="Y9" i="15"/>
  <c r="Z9" i="15"/>
  <c r="C9" i="15" l="1"/>
  <c r="AA9" i="15" s="1"/>
  <c r="L19" i="17" s="1"/>
  <c r="Z11" i="12"/>
  <c r="Y11" i="12"/>
  <c r="X11" i="12"/>
  <c r="W11" i="12"/>
  <c r="V11" i="12"/>
  <c r="U11" i="12"/>
  <c r="T11" i="12"/>
  <c r="S11" i="12"/>
  <c r="R11" i="12"/>
  <c r="Q11" i="12"/>
  <c r="P11" i="12"/>
  <c r="O11" i="12"/>
  <c r="N11" i="12"/>
  <c r="M11" i="12"/>
  <c r="L11" i="12"/>
  <c r="K11" i="12"/>
  <c r="J11" i="12"/>
  <c r="I11" i="12"/>
  <c r="H11" i="12"/>
  <c r="G11" i="12"/>
  <c r="F11" i="12"/>
  <c r="E11" i="12"/>
  <c r="D11" i="12"/>
  <c r="C11" i="12"/>
  <c r="Z11" i="11"/>
  <c r="Y11" i="11"/>
  <c r="X11" i="11"/>
  <c r="W11" i="11"/>
  <c r="V11" i="11"/>
  <c r="U11" i="11"/>
  <c r="T11" i="11"/>
  <c r="S11" i="11"/>
  <c r="R11" i="11"/>
  <c r="Q11" i="11"/>
  <c r="P11" i="11"/>
  <c r="O11" i="11"/>
  <c r="N11" i="11"/>
  <c r="M11" i="11"/>
  <c r="L11" i="11"/>
  <c r="K11" i="11"/>
  <c r="J11" i="11"/>
  <c r="I11" i="11"/>
  <c r="H11" i="11"/>
  <c r="G11" i="11"/>
  <c r="F11" i="11"/>
  <c r="E11" i="11"/>
  <c r="D11" i="11"/>
  <c r="C11" i="11"/>
  <c r="D35" i="15"/>
  <c r="D36" i="15" s="1"/>
  <c r="E35" i="15"/>
  <c r="E36" i="15" s="1"/>
  <c r="F35" i="15"/>
  <c r="F36" i="15" s="1"/>
  <c r="G35" i="15"/>
  <c r="H35" i="15"/>
  <c r="H36" i="15" s="1"/>
  <c r="I35" i="15"/>
  <c r="I36" i="15" s="1"/>
  <c r="J35" i="15"/>
  <c r="J36" i="15" s="1"/>
  <c r="K35" i="15"/>
  <c r="L35" i="15"/>
  <c r="L36" i="15" s="1"/>
  <c r="M35" i="15"/>
  <c r="M36" i="15" s="1"/>
  <c r="N35" i="15"/>
  <c r="N36" i="15" s="1"/>
  <c r="O35" i="15"/>
  <c r="P35" i="15"/>
  <c r="P36" i="15" s="1"/>
  <c r="Q35" i="15"/>
  <c r="Q36" i="15" s="1"/>
  <c r="R35" i="15"/>
  <c r="R36" i="15" s="1"/>
  <c r="S35" i="15"/>
  <c r="T35" i="15"/>
  <c r="U35" i="15"/>
  <c r="U36" i="15" s="1"/>
  <c r="V35" i="15"/>
  <c r="V36" i="15" s="1"/>
  <c r="W35" i="15"/>
  <c r="X35" i="15"/>
  <c r="X36" i="15" s="1"/>
  <c r="Y35" i="15"/>
  <c r="Y36" i="15" s="1"/>
  <c r="Z35" i="15"/>
  <c r="Z36" i="15" s="1"/>
  <c r="C35" i="15"/>
  <c r="D27" i="15"/>
  <c r="D28" i="15" s="1"/>
  <c r="E27" i="15"/>
  <c r="E28" i="15" s="1"/>
  <c r="F27" i="15"/>
  <c r="F28" i="15" s="1"/>
  <c r="G27" i="15"/>
  <c r="G28" i="15" s="1"/>
  <c r="H27" i="15"/>
  <c r="H28" i="15" s="1"/>
  <c r="I27" i="15"/>
  <c r="I28" i="15" s="1"/>
  <c r="J27" i="15"/>
  <c r="J28" i="15" s="1"/>
  <c r="K27" i="15"/>
  <c r="K28" i="15" s="1"/>
  <c r="L27" i="15"/>
  <c r="L28" i="15" s="1"/>
  <c r="M27" i="15"/>
  <c r="M28" i="15" s="1"/>
  <c r="N27" i="15"/>
  <c r="N28" i="15" s="1"/>
  <c r="O27" i="15"/>
  <c r="O28" i="15" s="1"/>
  <c r="P27" i="15"/>
  <c r="P28" i="15" s="1"/>
  <c r="Q27" i="15"/>
  <c r="Q28" i="15" s="1"/>
  <c r="R27" i="15"/>
  <c r="R28" i="15" s="1"/>
  <c r="S27" i="15"/>
  <c r="S28" i="15" s="1"/>
  <c r="T27" i="15"/>
  <c r="T28" i="15" s="1"/>
  <c r="U27" i="15"/>
  <c r="U28" i="15" s="1"/>
  <c r="V27" i="15"/>
  <c r="V28" i="15" s="1"/>
  <c r="W27" i="15"/>
  <c r="W28" i="15" s="1"/>
  <c r="X27" i="15"/>
  <c r="X28" i="15" s="1"/>
  <c r="Y27" i="15"/>
  <c r="Y28" i="15" s="1"/>
  <c r="Z27" i="15"/>
  <c r="Z28" i="15" s="1"/>
  <c r="C27" i="15"/>
  <c r="C28" i="15" s="1"/>
  <c r="Z4" i="15"/>
  <c r="Z11" i="15" s="1"/>
  <c r="Y4" i="15"/>
  <c r="Y11" i="15" s="1"/>
  <c r="AA11" i="15" s="1"/>
  <c r="X4" i="15"/>
  <c r="V4" i="15"/>
  <c r="T4" i="15"/>
  <c r="R4" i="15"/>
  <c r="P4" i="15"/>
  <c r="N4" i="15"/>
  <c r="L4" i="15"/>
  <c r="J4" i="15"/>
  <c r="H4" i="15"/>
  <c r="W4" i="15"/>
  <c r="U4" i="15"/>
  <c r="S4" i="15"/>
  <c r="Q4" i="15"/>
  <c r="O4" i="15"/>
  <c r="M4" i="15"/>
  <c r="K4" i="15"/>
  <c r="I4" i="15"/>
  <c r="G4" i="15"/>
  <c r="F4" i="15"/>
  <c r="E4" i="15"/>
  <c r="D4" i="15"/>
  <c r="C4" i="15"/>
  <c r="Z53" i="15"/>
  <c r="Y53" i="15"/>
  <c r="X53" i="15"/>
  <c r="W53" i="15"/>
  <c r="V53" i="15"/>
  <c r="U53" i="15"/>
  <c r="T53" i="15"/>
  <c r="S53" i="15"/>
  <c r="R53" i="15"/>
  <c r="Q53" i="15"/>
  <c r="P53" i="15"/>
  <c r="O53" i="15"/>
  <c r="N53" i="15"/>
  <c r="M53" i="15"/>
  <c r="L53" i="15"/>
  <c r="J53" i="15"/>
  <c r="H53" i="15"/>
  <c r="F53" i="15"/>
  <c r="D53" i="15"/>
  <c r="Z49" i="15"/>
  <c r="Y49" i="15"/>
  <c r="X49" i="15"/>
  <c r="W49" i="15"/>
  <c r="V49" i="15"/>
  <c r="U49" i="15"/>
  <c r="T49" i="15"/>
  <c r="S49" i="15"/>
  <c r="R49" i="15"/>
  <c r="Q49" i="15"/>
  <c r="P49" i="15"/>
  <c r="O49" i="15"/>
  <c r="N49" i="15"/>
  <c r="M49" i="15"/>
  <c r="L49" i="15"/>
  <c r="K49" i="15"/>
  <c r="J49" i="15"/>
  <c r="I49" i="15"/>
  <c r="H49" i="15"/>
  <c r="G49" i="15"/>
  <c r="F49" i="15"/>
  <c r="E49" i="15"/>
  <c r="D49" i="15"/>
  <c r="C49" i="15"/>
  <c r="W36" i="15"/>
  <c r="T36" i="15"/>
  <c r="S36" i="15"/>
  <c r="O36" i="15"/>
  <c r="K36" i="15"/>
  <c r="G36" i="15"/>
  <c r="C36" i="15"/>
  <c r="Z30" i="15"/>
  <c r="Y30" i="15"/>
  <c r="X30" i="15"/>
  <c r="W30" i="15"/>
  <c r="V30" i="15"/>
  <c r="U30" i="15"/>
  <c r="T30" i="15"/>
  <c r="S30" i="15"/>
  <c r="R30" i="15"/>
  <c r="Q30" i="15"/>
  <c r="P30" i="15"/>
  <c r="O30" i="15"/>
  <c r="N30" i="15"/>
  <c r="M30" i="15"/>
  <c r="L30" i="15"/>
  <c r="K30" i="15"/>
  <c r="J30" i="15"/>
  <c r="I30" i="15"/>
  <c r="H30" i="15"/>
  <c r="G30" i="15"/>
  <c r="F30" i="15"/>
  <c r="E30" i="15"/>
  <c r="D30" i="15"/>
  <c r="C30" i="15"/>
  <c r="C20" i="15"/>
  <c r="C14" i="15"/>
  <c r="G55" i="12"/>
  <c r="D37" i="12"/>
  <c r="E37" i="12"/>
  <c r="F37" i="12"/>
  <c r="G37" i="12"/>
  <c r="H37" i="12"/>
  <c r="I37" i="12"/>
  <c r="J37" i="12"/>
  <c r="K37" i="12"/>
  <c r="L37" i="12"/>
  <c r="M37" i="12"/>
  <c r="N37" i="12"/>
  <c r="O37" i="12"/>
  <c r="P37" i="12"/>
  <c r="Q37" i="12"/>
  <c r="R37" i="12"/>
  <c r="S37" i="12"/>
  <c r="T37" i="12"/>
  <c r="U37" i="12"/>
  <c r="V37" i="12"/>
  <c r="W37" i="12"/>
  <c r="X37" i="12"/>
  <c r="Y37" i="12"/>
  <c r="Z37" i="12"/>
  <c r="D29" i="12"/>
  <c r="E29" i="12"/>
  <c r="F29" i="12"/>
  <c r="G29" i="12"/>
  <c r="H29" i="12"/>
  <c r="I29" i="12"/>
  <c r="J29" i="12"/>
  <c r="K29" i="12"/>
  <c r="L29" i="12"/>
  <c r="M29" i="12"/>
  <c r="N29" i="12"/>
  <c r="O29" i="12"/>
  <c r="P29" i="12"/>
  <c r="Q29" i="12"/>
  <c r="R29" i="12"/>
  <c r="S29" i="12"/>
  <c r="T29" i="12"/>
  <c r="U29" i="12"/>
  <c r="V29" i="12"/>
  <c r="W29" i="12"/>
  <c r="X29" i="12"/>
  <c r="Y29" i="12"/>
  <c r="Z29" i="12"/>
  <c r="C29" i="12"/>
  <c r="C37" i="12"/>
  <c r="C4" i="14"/>
  <c r="D4" i="12" s="1"/>
  <c r="D4" i="14"/>
  <c r="E4" i="12" s="1"/>
  <c r="E4" i="14"/>
  <c r="F4" i="12" s="1"/>
  <c r="F5" i="12" s="1"/>
  <c r="F4" i="14"/>
  <c r="G4" i="12" s="1"/>
  <c r="G4" i="14"/>
  <c r="H4" i="12" s="1"/>
  <c r="H4" i="14"/>
  <c r="I4" i="12" s="1"/>
  <c r="I4" i="14"/>
  <c r="J4" i="12" s="1"/>
  <c r="J5" i="12" s="1"/>
  <c r="J4" i="14"/>
  <c r="K4" i="12" s="1"/>
  <c r="K4" i="14"/>
  <c r="L4" i="12" s="1"/>
  <c r="L4" i="14"/>
  <c r="M4" i="12" s="1"/>
  <c r="M4" i="14"/>
  <c r="N4" i="12" s="1"/>
  <c r="N6" i="12" s="1"/>
  <c r="N4" i="14"/>
  <c r="O4" i="12" s="1"/>
  <c r="O4" i="14"/>
  <c r="P4" i="12" s="1"/>
  <c r="P4" i="14"/>
  <c r="Q4" i="12" s="1"/>
  <c r="Q4" i="14"/>
  <c r="R4" i="12" s="1"/>
  <c r="R6" i="12" s="1"/>
  <c r="R4" i="14"/>
  <c r="S4" i="12" s="1"/>
  <c r="S4" i="14"/>
  <c r="T4" i="12" s="1"/>
  <c r="T4" i="14"/>
  <c r="U4" i="12" s="1"/>
  <c r="U4" i="14"/>
  <c r="V4" i="12" s="1"/>
  <c r="V5" i="12" s="1"/>
  <c r="V4" i="14"/>
  <c r="W4" i="12" s="1"/>
  <c r="W4" i="14"/>
  <c r="X4" i="12" s="1"/>
  <c r="X4" i="14"/>
  <c r="Y4" i="12" s="1"/>
  <c r="Y4" i="14"/>
  <c r="Z4" i="12" s="1"/>
  <c r="Z13" i="12" s="1"/>
  <c r="B4" i="14"/>
  <c r="C4" i="12" s="1"/>
  <c r="C6" i="12" s="1"/>
  <c r="AA11" i="12" l="1"/>
  <c r="H19" i="17" s="1"/>
  <c r="AA11" i="11"/>
  <c r="Z5" i="12"/>
  <c r="K6" i="15"/>
  <c r="O6" i="15"/>
  <c r="S6" i="15"/>
  <c r="G6" i="15"/>
  <c r="W6" i="15"/>
  <c r="C6" i="15"/>
  <c r="R6" i="15"/>
  <c r="Z6" i="15"/>
  <c r="Z10" i="15" s="1"/>
  <c r="F6" i="15"/>
  <c r="V6" i="15"/>
  <c r="J6" i="15"/>
  <c r="N6" i="15"/>
  <c r="L6" i="15"/>
  <c r="P6" i="15"/>
  <c r="D6" i="15"/>
  <c r="H6" i="15"/>
  <c r="T6" i="15"/>
  <c r="X6" i="15"/>
  <c r="C13" i="12"/>
  <c r="I6" i="15"/>
  <c r="M6" i="15"/>
  <c r="Q6" i="15"/>
  <c r="Y6" i="15"/>
  <c r="Y10" i="15" s="1"/>
  <c r="E6" i="15"/>
  <c r="U6" i="15"/>
  <c r="P13" i="12"/>
  <c r="P5" i="12"/>
  <c r="P6" i="12"/>
  <c r="D5" i="12"/>
  <c r="D13" i="12"/>
  <c r="D6" i="12"/>
  <c r="X13" i="12"/>
  <c r="X5" i="12"/>
  <c r="X6" i="12"/>
  <c r="H5" i="12"/>
  <c r="H13" i="12"/>
  <c r="H6" i="12"/>
  <c r="O5" i="12"/>
  <c r="O13" i="12"/>
  <c r="G5" i="12"/>
  <c r="G13" i="12"/>
  <c r="T13" i="12"/>
  <c r="T6" i="12"/>
  <c r="T5" i="12"/>
  <c r="L13" i="12"/>
  <c r="L6" i="12"/>
  <c r="L5" i="12"/>
  <c r="W5" i="12"/>
  <c r="W6" i="12"/>
  <c r="W13" i="12"/>
  <c r="S6" i="12"/>
  <c r="S13" i="12"/>
  <c r="K5" i="12"/>
  <c r="K13" i="12"/>
  <c r="Y5" i="12"/>
  <c r="Y13" i="12"/>
  <c r="Y6" i="12"/>
  <c r="U5" i="12"/>
  <c r="U13" i="12"/>
  <c r="U6" i="12"/>
  <c r="Q5" i="12"/>
  <c r="Q6" i="12"/>
  <c r="Q13" i="12"/>
  <c r="M5" i="12"/>
  <c r="M13" i="12"/>
  <c r="M6" i="12"/>
  <c r="I5" i="12"/>
  <c r="I13" i="12"/>
  <c r="I6" i="12"/>
  <c r="E13" i="12"/>
  <c r="E6" i="12"/>
  <c r="E5" i="12"/>
  <c r="R13" i="12"/>
  <c r="F13" i="12"/>
  <c r="F6" i="12"/>
  <c r="Z6" i="12"/>
  <c r="V6" i="12"/>
  <c r="J6" i="12"/>
  <c r="N13" i="12"/>
  <c r="N5" i="12"/>
  <c r="V13" i="12"/>
  <c r="J13" i="12"/>
  <c r="S5" i="12"/>
  <c r="R5" i="12"/>
  <c r="O6" i="12"/>
  <c r="K6" i="12"/>
  <c r="C5" i="12"/>
  <c r="G6" i="12"/>
  <c r="D19" i="17" l="1"/>
  <c r="C41" i="18"/>
  <c r="AA10" i="15"/>
  <c r="L23" i="17" s="1"/>
  <c r="AA13" i="12"/>
  <c r="C24" i="15"/>
  <c r="AA6" i="15"/>
  <c r="Y38" i="15"/>
  <c r="Y31" i="15"/>
  <c r="T38" i="15"/>
  <c r="T31" i="15"/>
  <c r="L38" i="15"/>
  <c r="L31" i="15"/>
  <c r="V38" i="15"/>
  <c r="V31" i="15"/>
  <c r="W31" i="15"/>
  <c r="W38" i="15"/>
  <c r="U38" i="15"/>
  <c r="U31" i="15"/>
  <c r="D38" i="15"/>
  <c r="D31" i="15"/>
  <c r="N31" i="15"/>
  <c r="N38" i="15"/>
  <c r="Z38" i="15"/>
  <c r="Z31" i="15"/>
  <c r="Q24" i="15"/>
  <c r="Q38" i="15"/>
  <c r="Q31" i="15"/>
  <c r="H38" i="15"/>
  <c r="H31" i="15"/>
  <c r="F31" i="15"/>
  <c r="F38" i="15"/>
  <c r="X38" i="15"/>
  <c r="X31" i="15"/>
  <c r="P38" i="15"/>
  <c r="P31" i="15"/>
  <c r="J38" i="15"/>
  <c r="J31" i="15"/>
  <c r="R24" i="15"/>
  <c r="R38" i="15"/>
  <c r="R31" i="15"/>
  <c r="S31" i="15"/>
  <c r="S24" i="15"/>
  <c r="S38" i="15"/>
  <c r="U19" i="15"/>
  <c r="U21" i="15" s="1"/>
  <c r="U13" i="15"/>
  <c r="U15" i="15" s="1"/>
  <c r="U24" i="15"/>
  <c r="M19" i="15"/>
  <c r="M21" i="15" s="1"/>
  <c r="M13" i="15"/>
  <c r="M15" i="15" s="1"/>
  <c r="M24" i="15"/>
  <c r="Y19" i="15"/>
  <c r="Y21" i="15" s="1"/>
  <c r="Y13" i="15"/>
  <c r="Y15" i="15" s="1"/>
  <c r="Y24" i="15"/>
  <c r="I19" i="15"/>
  <c r="I21" i="15" s="1"/>
  <c r="I13" i="15"/>
  <c r="I15" i="15" s="1"/>
  <c r="I24" i="15"/>
  <c r="L19" i="15"/>
  <c r="L21" i="15" s="1"/>
  <c r="L24" i="15"/>
  <c r="L13" i="15"/>
  <c r="L15" i="15" s="1"/>
  <c r="R19" i="15"/>
  <c r="R21" i="15" s="1"/>
  <c r="R13" i="15"/>
  <c r="R15" i="15" s="1"/>
  <c r="C19" i="15"/>
  <c r="C21" i="15" s="1"/>
  <c r="C22" i="15" s="1"/>
  <c r="C23" i="15" s="1"/>
  <c r="C13" i="15"/>
  <c r="E19" i="15"/>
  <c r="E21" i="15" s="1"/>
  <c r="E13" i="15"/>
  <c r="E15" i="15" s="1"/>
  <c r="E24" i="15"/>
  <c r="P24" i="15"/>
  <c r="P13" i="15"/>
  <c r="P15" i="15" s="1"/>
  <c r="P19" i="15"/>
  <c r="P21" i="15" s="1"/>
  <c r="G19" i="15"/>
  <c r="G21" i="15" s="1"/>
  <c r="G24" i="15"/>
  <c r="G13" i="15"/>
  <c r="G15" i="15" s="1"/>
  <c r="V13" i="15"/>
  <c r="V15" i="15" s="1"/>
  <c r="V24" i="15"/>
  <c r="V19" i="15"/>
  <c r="V21" i="15" s="1"/>
  <c r="F13" i="15"/>
  <c r="F15" i="15" s="1"/>
  <c r="F19" i="15"/>
  <c r="F21" i="15" s="1"/>
  <c r="F24" i="15"/>
  <c r="S19" i="15"/>
  <c r="S21" i="15" s="1"/>
  <c r="S13" i="15"/>
  <c r="S15" i="15" s="1"/>
  <c r="Q19" i="15"/>
  <c r="Q21" i="15" s="1"/>
  <c r="Q13" i="15"/>
  <c r="Q15" i="15" s="1"/>
  <c r="Z19" i="15"/>
  <c r="Z21" i="15" s="1"/>
  <c r="Z13" i="15"/>
  <c r="Z15" i="15" s="1"/>
  <c r="Z24" i="15"/>
  <c r="W19" i="15"/>
  <c r="W21" i="15" s="1"/>
  <c r="W24" i="15"/>
  <c r="W13" i="15"/>
  <c r="W15" i="15" s="1"/>
  <c r="O19" i="15"/>
  <c r="O21" i="15" s="1"/>
  <c r="O13" i="15"/>
  <c r="O15" i="15" s="1"/>
  <c r="O24" i="15"/>
  <c r="H19" i="15"/>
  <c r="H21" i="15" s="1"/>
  <c r="H24" i="15"/>
  <c r="H13" i="15"/>
  <c r="H15" i="15" s="1"/>
  <c r="T19" i="15"/>
  <c r="T21" i="15" s="1"/>
  <c r="T24" i="15"/>
  <c r="T13" i="15"/>
  <c r="T15" i="15" s="1"/>
  <c r="D19" i="15"/>
  <c r="D21" i="15" s="1"/>
  <c r="D13" i="15"/>
  <c r="D15" i="15" s="1"/>
  <c r="D24" i="15"/>
  <c r="J19" i="15"/>
  <c r="J21" i="15" s="1"/>
  <c r="J13" i="15"/>
  <c r="J15" i="15" s="1"/>
  <c r="J24" i="15"/>
  <c r="X24" i="15"/>
  <c r="X19" i="15"/>
  <c r="X21" i="15" s="1"/>
  <c r="X13" i="15"/>
  <c r="X15" i="15" s="1"/>
  <c r="N19" i="15"/>
  <c r="N21" i="15" s="1"/>
  <c r="N24" i="15"/>
  <c r="N13" i="15"/>
  <c r="N15" i="15" s="1"/>
  <c r="K19" i="15"/>
  <c r="K21" i="15" s="1"/>
  <c r="K13" i="15"/>
  <c r="K15" i="15" s="1"/>
  <c r="K24" i="15"/>
  <c r="L15" i="17" l="1"/>
  <c r="C25" i="18" s="1"/>
  <c r="M7" i="5"/>
  <c r="D18" i="15"/>
  <c r="D20" i="15" s="1"/>
  <c r="D22" i="15" s="1"/>
  <c r="D23" i="15" s="1"/>
  <c r="E18" i="15" s="1"/>
  <c r="L22" i="17"/>
  <c r="L21" i="17"/>
  <c r="C15" i="15"/>
  <c r="C16" i="15" s="1"/>
  <c r="C17" i="15" s="1"/>
  <c r="L32" i="15"/>
  <c r="L26" i="15"/>
  <c r="L25" i="15"/>
  <c r="O32" i="15"/>
  <c r="O26" i="15"/>
  <c r="O25" i="15"/>
  <c r="S32" i="15"/>
  <c r="S26" i="15"/>
  <c r="S25" i="15"/>
  <c r="J32" i="15"/>
  <c r="J26" i="15"/>
  <c r="J25" i="15"/>
  <c r="U32" i="15"/>
  <c r="U26" i="15"/>
  <c r="U25" i="15"/>
  <c r="X32" i="15"/>
  <c r="X26" i="15"/>
  <c r="X25" i="15"/>
  <c r="H32" i="15"/>
  <c r="H26" i="15"/>
  <c r="H25" i="15"/>
  <c r="M32" i="15"/>
  <c r="M26" i="15"/>
  <c r="M25" i="15"/>
  <c r="P32" i="15"/>
  <c r="P26" i="15"/>
  <c r="P25" i="15"/>
  <c r="R25" i="15"/>
  <c r="R26" i="15"/>
  <c r="R32" i="15"/>
  <c r="N32" i="15"/>
  <c r="N26" i="15"/>
  <c r="N25" i="15"/>
  <c r="Q32" i="15"/>
  <c r="Q26" i="15"/>
  <c r="Q25" i="15"/>
  <c r="G32" i="15"/>
  <c r="G26" i="15"/>
  <c r="G25" i="15"/>
  <c r="T32" i="15"/>
  <c r="T26" i="15"/>
  <c r="T25" i="15"/>
  <c r="V25" i="15"/>
  <c r="V32" i="15"/>
  <c r="V26" i="15"/>
  <c r="C32" i="15"/>
  <c r="C26" i="15"/>
  <c r="C25" i="15"/>
  <c r="Y32" i="15"/>
  <c r="Y26" i="15"/>
  <c r="Y25" i="15"/>
  <c r="C29" i="15" l="1"/>
  <c r="C31" i="15" s="1"/>
  <c r="C37" i="15"/>
  <c r="D12" i="15"/>
  <c r="D14" i="15" s="1"/>
  <c r="D16" i="15" s="1"/>
  <c r="D17" i="15" s="1"/>
  <c r="E20" i="15"/>
  <c r="E22" i="15" s="1"/>
  <c r="E23" i="15" s="1"/>
  <c r="F18" i="15" s="1"/>
  <c r="D32" i="15"/>
  <c r="D26" i="15"/>
  <c r="D25" i="15"/>
  <c r="Q34" i="15"/>
  <c r="Q33" i="15"/>
  <c r="N34" i="15"/>
  <c r="N33" i="15"/>
  <c r="L34" i="15"/>
  <c r="L33" i="15"/>
  <c r="F25" i="15"/>
  <c r="F32" i="15"/>
  <c r="F26" i="15"/>
  <c r="K32" i="15"/>
  <c r="K26" i="15"/>
  <c r="K25" i="15"/>
  <c r="T34" i="15"/>
  <c r="T33" i="15"/>
  <c r="G34" i="15"/>
  <c r="G33" i="15"/>
  <c r="X34" i="15"/>
  <c r="X33" i="15"/>
  <c r="O34" i="15"/>
  <c r="O33" i="15"/>
  <c r="E32" i="15"/>
  <c r="E26" i="15"/>
  <c r="E25" i="15"/>
  <c r="W32" i="15"/>
  <c r="W26" i="15"/>
  <c r="W25" i="15"/>
  <c r="Y34" i="15"/>
  <c r="Y33" i="15"/>
  <c r="C34" i="15"/>
  <c r="C33" i="15"/>
  <c r="R33" i="15"/>
  <c r="R34" i="15"/>
  <c r="Z32" i="15"/>
  <c r="Z26" i="15"/>
  <c r="Z25" i="15"/>
  <c r="H34" i="15"/>
  <c r="H33" i="15"/>
  <c r="S34" i="15"/>
  <c r="S33" i="15"/>
  <c r="V33" i="15"/>
  <c r="V34" i="15"/>
  <c r="U34" i="15"/>
  <c r="U33" i="15"/>
  <c r="I32" i="15"/>
  <c r="I26" i="15"/>
  <c r="I25" i="15"/>
  <c r="P34" i="15"/>
  <c r="P33" i="15"/>
  <c r="M34" i="15"/>
  <c r="M33" i="15"/>
  <c r="J34" i="15"/>
  <c r="J33" i="15"/>
  <c r="E12" i="15" l="1"/>
  <c r="D29" i="15"/>
  <c r="D37" i="15"/>
  <c r="C38" i="15"/>
  <c r="E14" i="15"/>
  <c r="E16" i="15" s="1"/>
  <c r="E17" i="15" s="1"/>
  <c r="I34" i="15"/>
  <c r="I33" i="15"/>
  <c r="Z34" i="15"/>
  <c r="Z33" i="15"/>
  <c r="K34" i="15"/>
  <c r="K33" i="15"/>
  <c r="D34" i="15"/>
  <c r="D33" i="15"/>
  <c r="E34" i="15"/>
  <c r="E33" i="15"/>
  <c r="W34" i="15"/>
  <c r="W33" i="15"/>
  <c r="F33" i="15"/>
  <c r="F34" i="15"/>
  <c r="F20" i="15"/>
  <c r="F22" i="15" s="1"/>
  <c r="F23" i="15" s="1"/>
  <c r="G18" i="15" s="1"/>
  <c r="C46" i="15" l="1"/>
  <c r="C51" i="15" s="1"/>
  <c r="E29" i="15"/>
  <c r="E37" i="15"/>
  <c r="E38" i="15" s="1"/>
  <c r="D46" i="15"/>
  <c r="D51" i="15" s="1"/>
  <c r="G20" i="15"/>
  <c r="G22" i="15" s="1"/>
  <c r="G23" i="15" s="1"/>
  <c r="H18" i="15" s="1"/>
  <c r="E31" i="15"/>
  <c r="F12" i="15"/>
  <c r="C53" i="15" l="1"/>
  <c r="E46" i="15"/>
  <c r="E51" i="15" s="1"/>
  <c r="E53" i="15" s="1"/>
  <c r="H20" i="15"/>
  <c r="H22" i="15" s="1"/>
  <c r="H23" i="15" s="1"/>
  <c r="I18" i="15" s="1"/>
  <c r="F14" i="15"/>
  <c r="F16" i="15" s="1"/>
  <c r="F17" i="15" s="1"/>
  <c r="F29" i="15" l="1"/>
  <c r="F37" i="15"/>
  <c r="I20" i="15"/>
  <c r="I22" i="15" s="1"/>
  <c r="I23" i="15" s="1"/>
  <c r="J18" i="15" s="1"/>
  <c r="G12" i="15"/>
  <c r="F46" i="15" l="1"/>
  <c r="F51" i="15" s="1"/>
  <c r="G14" i="15"/>
  <c r="G16" i="15" s="1"/>
  <c r="G17" i="15" s="1"/>
  <c r="J20" i="15"/>
  <c r="J22" i="15" s="1"/>
  <c r="J23" i="15" s="1"/>
  <c r="K18" i="15" s="1"/>
  <c r="H12" i="15" l="1"/>
  <c r="G37" i="15"/>
  <c r="G38" i="15" s="1"/>
  <c r="G29" i="15"/>
  <c r="K20" i="15"/>
  <c r="K22" i="15" s="1"/>
  <c r="K23" i="15" s="1"/>
  <c r="L18" i="15" s="1"/>
  <c r="H14" i="15"/>
  <c r="H16" i="15" s="1"/>
  <c r="H17" i="15" s="1"/>
  <c r="H29" i="15" l="1"/>
  <c r="H37" i="15"/>
  <c r="G31" i="15"/>
  <c r="I12" i="15"/>
  <c r="L20" i="15"/>
  <c r="L22" i="15" s="1"/>
  <c r="L23" i="15" s="1"/>
  <c r="M18" i="15" s="1"/>
  <c r="G46" i="15" l="1"/>
  <c r="G51" i="15" s="1"/>
  <c r="H46" i="15"/>
  <c r="H51" i="15" s="1"/>
  <c r="M20" i="15"/>
  <c r="M22" i="15" s="1"/>
  <c r="M23" i="15" s="1"/>
  <c r="N18" i="15" s="1"/>
  <c r="I14" i="15"/>
  <c r="I16" i="15" s="1"/>
  <c r="I17" i="15" s="1"/>
  <c r="G53" i="15" l="1"/>
  <c r="J12" i="15"/>
  <c r="J14" i="15" s="1"/>
  <c r="J16" i="15" s="1"/>
  <c r="J17" i="15" s="1"/>
  <c r="I29" i="15"/>
  <c r="I31" i="15" s="1"/>
  <c r="I37" i="15"/>
  <c r="I38" i="15" s="1"/>
  <c r="N20" i="15"/>
  <c r="N22" i="15" s="1"/>
  <c r="N23" i="15" s="1"/>
  <c r="O18" i="15" s="1"/>
  <c r="K12" i="15" l="1"/>
  <c r="K14" i="15" s="1"/>
  <c r="K16" i="15" s="1"/>
  <c r="K17" i="15" s="1"/>
  <c r="J29" i="15"/>
  <c r="J37" i="15"/>
  <c r="I46" i="15"/>
  <c r="I51" i="15" s="1"/>
  <c r="I53" i="15" s="1"/>
  <c r="O20" i="15"/>
  <c r="O22" i="15" s="1"/>
  <c r="O23" i="15" s="1"/>
  <c r="P18" i="15" s="1"/>
  <c r="L12" i="15" l="1"/>
  <c r="K37" i="15"/>
  <c r="K38" i="15" s="1"/>
  <c r="K29" i="15"/>
  <c r="K31" i="15" s="1"/>
  <c r="J46" i="15"/>
  <c r="J51" i="15" s="1"/>
  <c r="L14" i="15"/>
  <c r="L16" i="15" s="1"/>
  <c r="L17" i="15" s="1"/>
  <c r="P20" i="15"/>
  <c r="P22" i="15" s="1"/>
  <c r="P23" i="15" s="1"/>
  <c r="Q18" i="15" s="1"/>
  <c r="L29" i="15" l="1"/>
  <c r="L37" i="15"/>
  <c r="K46" i="15"/>
  <c r="K51" i="15" s="1"/>
  <c r="K53" i="15" s="1"/>
  <c r="Q20" i="15"/>
  <c r="Q22" i="15" s="1"/>
  <c r="Q23" i="15" s="1"/>
  <c r="R18" i="15" s="1"/>
  <c r="L46" i="15"/>
  <c r="L51" i="15" s="1"/>
  <c r="M12" i="15"/>
  <c r="R20" i="15" l="1"/>
  <c r="R22" i="15" s="1"/>
  <c r="R23" i="15" s="1"/>
  <c r="S18" i="15" s="1"/>
  <c r="M14" i="15"/>
  <c r="M16" i="15" s="1"/>
  <c r="M17" i="15" s="1"/>
  <c r="N12" i="15" l="1"/>
  <c r="N14" i="15" s="1"/>
  <c r="N16" i="15" s="1"/>
  <c r="N17" i="15" s="1"/>
  <c r="M29" i="15"/>
  <c r="M31" i="15" s="1"/>
  <c r="M37" i="15"/>
  <c r="M38" i="15" s="1"/>
  <c r="S20" i="15"/>
  <c r="S22" i="15" s="1"/>
  <c r="S23" i="15" s="1"/>
  <c r="T18" i="15" s="1"/>
  <c r="O12" i="15" l="1"/>
  <c r="N29" i="15"/>
  <c r="N37" i="15"/>
  <c r="M46" i="15"/>
  <c r="M51" i="15" s="1"/>
  <c r="O14" i="15"/>
  <c r="O16" i="15" s="1"/>
  <c r="O17" i="15" s="1"/>
  <c r="T20" i="15"/>
  <c r="T22" i="15" s="1"/>
  <c r="T23" i="15" s="1"/>
  <c r="U18" i="15" s="1"/>
  <c r="N46" i="15"/>
  <c r="N51" i="15" s="1"/>
  <c r="P12" i="15" l="1"/>
  <c r="O29" i="15"/>
  <c r="O37" i="15"/>
  <c r="O38" i="15" s="1"/>
  <c r="AA38" i="15" s="1"/>
  <c r="U20" i="15"/>
  <c r="U22" i="15" s="1"/>
  <c r="U23" i="15" s="1"/>
  <c r="V18" i="15" s="1"/>
  <c r="P14" i="15"/>
  <c r="P16" i="15" s="1"/>
  <c r="P17" i="15" s="1"/>
  <c r="P29" i="15" l="1"/>
  <c r="P37" i="15"/>
  <c r="O31" i="15"/>
  <c r="P46" i="15"/>
  <c r="P51" i="15" s="1"/>
  <c r="V20" i="15"/>
  <c r="V22" i="15" s="1"/>
  <c r="V23" i="15" s="1"/>
  <c r="W18" i="15" s="1"/>
  <c r="Q12" i="15"/>
  <c r="O46" i="15" l="1"/>
  <c r="O51" i="15" s="1"/>
  <c r="AA31" i="15"/>
  <c r="W20" i="15"/>
  <c r="W22" i="15" s="1"/>
  <c r="W23" i="15" s="1"/>
  <c r="X18" i="15" s="1"/>
  <c r="Q14" i="15"/>
  <c r="Q16" i="15" s="1"/>
  <c r="Q17" i="15" s="1"/>
  <c r="L20" i="17" l="1"/>
  <c r="C62" i="18"/>
  <c r="R12" i="15"/>
  <c r="R14" i="15" s="1"/>
  <c r="R16" i="15" s="1"/>
  <c r="R17" i="15" s="1"/>
  <c r="Q29" i="15"/>
  <c r="Q37" i="15"/>
  <c r="X20" i="15"/>
  <c r="X22" i="15" s="1"/>
  <c r="X23" i="15" s="1"/>
  <c r="Y18" i="15" s="1"/>
  <c r="Q46" i="15"/>
  <c r="Q51" i="15" s="1"/>
  <c r="S12" i="15" l="1"/>
  <c r="R29" i="15"/>
  <c r="R37" i="15"/>
  <c r="Y20" i="15"/>
  <c r="Y22" i="15" s="1"/>
  <c r="Y23" i="15" s="1"/>
  <c r="Z18" i="15" s="1"/>
  <c r="Z20" i="15" s="1"/>
  <c r="Z22" i="15" s="1"/>
  <c r="Z23" i="15" s="1"/>
  <c r="AA23" i="15" s="1"/>
  <c r="S14" i="15"/>
  <c r="S16" i="15" s="1"/>
  <c r="S17" i="15" s="1"/>
  <c r="R46" i="15"/>
  <c r="R51" i="15" s="1"/>
  <c r="L18" i="17" l="1"/>
  <c r="C17" i="18"/>
  <c r="T12" i="15"/>
  <c r="T14" i="15" s="1"/>
  <c r="T16" i="15" s="1"/>
  <c r="T17" i="15" s="1"/>
  <c r="S29" i="15"/>
  <c r="S37" i="15"/>
  <c r="S46" i="15"/>
  <c r="S51" i="15" s="1"/>
  <c r="T29" i="15" l="1"/>
  <c r="T37" i="15"/>
  <c r="T46" i="15"/>
  <c r="T51" i="15" s="1"/>
  <c r="U12" i="15"/>
  <c r="U14" i="15" l="1"/>
  <c r="U16" i="15" s="1"/>
  <c r="U17" i="15" s="1"/>
  <c r="V12" i="15" l="1"/>
  <c r="V14" i="15" s="1"/>
  <c r="V16" i="15" s="1"/>
  <c r="V17" i="15" s="1"/>
  <c r="U29" i="15"/>
  <c r="U37" i="15"/>
  <c r="U46" i="15"/>
  <c r="U51" i="15" s="1"/>
  <c r="V29" i="15" l="1"/>
  <c r="V37" i="15"/>
  <c r="V46" i="15"/>
  <c r="V51" i="15" s="1"/>
  <c r="W12" i="15"/>
  <c r="W14" i="15" l="1"/>
  <c r="W16" i="15" s="1"/>
  <c r="W17" i="15" s="1"/>
  <c r="X12" i="15" l="1"/>
  <c r="W29" i="15"/>
  <c r="W37" i="15"/>
  <c r="X14" i="15"/>
  <c r="X16" i="15" s="1"/>
  <c r="X17" i="15" s="1"/>
  <c r="W46" i="15"/>
  <c r="W51" i="15" s="1"/>
  <c r="X29" i="15" l="1"/>
  <c r="X37" i="15"/>
  <c r="X46" i="15"/>
  <c r="X51" i="15" s="1"/>
  <c r="Y12" i="15"/>
  <c r="Y14" i="15" l="1"/>
  <c r="Y16" i="15" s="1"/>
  <c r="Y17" i="15" s="1"/>
  <c r="Z12" i="15" l="1"/>
  <c r="Z14" i="15" s="1"/>
  <c r="Z16" i="15" s="1"/>
  <c r="Z17" i="15" s="1"/>
  <c r="Y29" i="15"/>
  <c r="Y37" i="15"/>
  <c r="Y46" i="15"/>
  <c r="Y51" i="15" s="1"/>
  <c r="Z46" i="15" l="1"/>
  <c r="Z51" i="15" s="1"/>
  <c r="AA51" i="15" s="1"/>
  <c r="L7" i="5" s="1"/>
  <c r="AA17" i="15"/>
  <c r="Z29" i="15"/>
  <c r="Z37" i="15"/>
  <c r="Z55" i="12"/>
  <c r="Y55" i="12"/>
  <c r="X55" i="12"/>
  <c r="W55" i="12"/>
  <c r="V55" i="12"/>
  <c r="U55" i="12"/>
  <c r="T55" i="12"/>
  <c r="S55" i="12"/>
  <c r="R55" i="12"/>
  <c r="Q55" i="12"/>
  <c r="P55" i="12"/>
  <c r="O55" i="12"/>
  <c r="N55" i="12"/>
  <c r="M55" i="12"/>
  <c r="L55" i="12"/>
  <c r="K55" i="12"/>
  <c r="Z51" i="12"/>
  <c r="Y51" i="12"/>
  <c r="X51" i="12"/>
  <c r="W51" i="12"/>
  <c r="V51" i="12"/>
  <c r="U51" i="12"/>
  <c r="T51" i="12"/>
  <c r="S51" i="12"/>
  <c r="R51" i="12"/>
  <c r="Q51" i="12"/>
  <c r="P51" i="12"/>
  <c r="O51" i="12"/>
  <c r="N51" i="12"/>
  <c r="M51" i="12"/>
  <c r="L51" i="12"/>
  <c r="K51" i="12"/>
  <c r="J51" i="12"/>
  <c r="I51" i="12"/>
  <c r="H51" i="12"/>
  <c r="G51" i="12"/>
  <c r="F51" i="12"/>
  <c r="E51" i="12"/>
  <c r="D51" i="12"/>
  <c r="C51" i="12"/>
  <c r="Z38" i="12"/>
  <c r="Y38" i="12"/>
  <c r="X38" i="12"/>
  <c r="W38" i="12"/>
  <c r="V38" i="12"/>
  <c r="U38" i="12"/>
  <c r="T38" i="12"/>
  <c r="S38" i="12"/>
  <c r="R38" i="12"/>
  <c r="Q38" i="12"/>
  <c r="P38" i="12"/>
  <c r="O38" i="12"/>
  <c r="N38" i="12"/>
  <c r="M38" i="12"/>
  <c r="L38" i="12"/>
  <c r="K38" i="12"/>
  <c r="J38" i="12"/>
  <c r="I38" i="12"/>
  <c r="H38" i="12"/>
  <c r="G38" i="12"/>
  <c r="F38" i="12"/>
  <c r="E38" i="12"/>
  <c r="D38" i="12"/>
  <c r="C38" i="12"/>
  <c r="Z32" i="12"/>
  <c r="Y32" i="12"/>
  <c r="X32" i="12"/>
  <c r="W32" i="12"/>
  <c r="V32" i="12"/>
  <c r="U32" i="12"/>
  <c r="T32" i="12"/>
  <c r="S32" i="12"/>
  <c r="R32" i="12"/>
  <c r="Q32" i="12"/>
  <c r="P32" i="12"/>
  <c r="O32" i="12"/>
  <c r="N32" i="12"/>
  <c r="M32" i="12"/>
  <c r="L32" i="12"/>
  <c r="K32" i="12"/>
  <c r="J32" i="12"/>
  <c r="I32" i="12"/>
  <c r="H32" i="12"/>
  <c r="G32" i="12"/>
  <c r="F32" i="12"/>
  <c r="E32" i="12"/>
  <c r="D32" i="12"/>
  <c r="C32" i="12"/>
  <c r="Z30" i="12"/>
  <c r="Y30" i="12"/>
  <c r="X30" i="12"/>
  <c r="W30" i="12"/>
  <c r="V30" i="12"/>
  <c r="U30" i="12"/>
  <c r="T30" i="12"/>
  <c r="S30" i="12"/>
  <c r="R30" i="12"/>
  <c r="Q30" i="12"/>
  <c r="P30" i="12"/>
  <c r="O30" i="12"/>
  <c r="N30" i="12"/>
  <c r="M30" i="12"/>
  <c r="L30" i="12"/>
  <c r="K30" i="12"/>
  <c r="J30" i="12"/>
  <c r="I30" i="12"/>
  <c r="H30" i="12"/>
  <c r="G30" i="12"/>
  <c r="F30" i="12"/>
  <c r="E30" i="12"/>
  <c r="D30" i="12"/>
  <c r="C30" i="12"/>
  <c r="C22" i="12"/>
  <c r="C16" i="12"/>
  <c r="T5" i="11"/>
  <c r="T6" i="11" s="1"/>
  <c r="U5" i="11"/>
  <c r="U6" i="11" s="1"/>
  <c r="V5" i="11"/>
  <c r="V6" i="11" s="1"/>
  <c r="W5" i="11"/>
  <c r="W6" i="11" s="1"/>
  <c r="X5" i="11"/>
  <c r="X6" i="11" s="1"/>
  <c r="Y5" i="11"/>
  <c r="Y6" i="11" s="1"/>
  <c r="Z5" i="11"/>
  <c r="Z6" i="11" s="1"/>
  <c r="S5" i="11"/>
  <c r="S6" i="11" s="1"/>
  <c r="L5" i="11"/>
  <c r="L6" i="11" s="1"/>
  <c r="L8" i="11" s="1"/>
  <c r="M5" i="11"/>
  <c r="M6" i="11" s="1"/>
  <c r="N5" i="11"/>
  <c r="N6" i="11" s="1"/>
  <c r="K5" i="11"/>
  <c r="D5" i="11"/>
  <c r="D6" i="11" s="1"/>
  <c r="D8" i="11" s="1"/>
  <c r="E5" i="11"/>
  <c r="E6" i="11" s="1"/>
  <c r="F5" i="11"/>
  <c r="F6" i="11" s="1"/>
  <c r="G5" i="11"/>
  <c r="G6" i="11" s="1"/>
  <c r="H5" i="11"/>
  <c r="H6" i="11" s="1"/>
  <c r="H8" i="11" s="1"/>
  <c r="I5" i="11"/>
  <c r="J5" i="11"/>
  <c r="J6" i="11" s="1"/>
  <c r="C5" i="11"/>
  <c r="C6" i="11" s="1"/>
  <c r="C13" i="11" s="1"/>
  <c r="Z55" i="11"/>
  <c r="Y55" i="11"/>
  <c r="X55" i="11"/>
  <c r="W55" i="11"/>
  <c r="V55" i="11"/>
  <c r="U55" i="11"/>
  <c r="T55" i="11"/>
  <c r="S55" i="11"/>
  <c r="R55" i="11"/>
  <c r="Q55" i="11"/>
  <c r="P55" i="11"/>
  <c r="O55" i="11"/>
  <c r="N55" i="11"/>
  <c r="M55" i="11"/>
  <c r="L55" i="11"/>
  <c r="Z37" i="11"/>
  <c r="Z38" i="11" s="1"/>
  <c r="Y37" i="11"/>
  <c r="Y38" i="11" s="1"/>
  <c r="X37" i="11"/>
  <c r="X38" i="11" s="1"/>
  <c r="W37" i="11"/>
  <c r="W38" i="11" s="1"/>
  <c r="V37" i="11"/>
  <c r="V38" i="11" s="1"/>
  <c r="U37" i="11"/>
  <c r="U38" i="11" s="1"/>
  <c r="T37" i="11"/>
  <c r="T38" i="11" s="1"/>
  <c r="S37" i="11"/>
  <c r="S38" i="11" s="1"/>
  <c r="R37" i="11"/>
  <c r="R38" i="11" s="1"/>
  <c r="Q37" i="11"/>
  <c r="Q38" i="11" s="1"/>
  <c r="P37" i="11"/>
  <c r="P38" i="11" s="1"/>
  <c r="O37" i="11"/>
  <c r="O38" i="11" s="1"/>
  <c r="N37" i="11"/>
  <c r="N38" i="11" s="1"/>
  <c r="M37" i="11"/>
  <c r="M38" i="11" s="1"/>
  <c r="L37" i="11"/>
  <c r="L38" i="11" s="1"/>
  <c r="K37" i="11"/>
  <c r="K38" i="11" s="1"/>
  <c r="J37" i="11"/>
  <c r="J38" i="11" s="1"/>
  <c r="I37" i="11"/>
  <c r="I38" i="11" s="1"/>
  <c r="H37" i="11"/>
  <c r="H38" i="11" s="1"/>
  <c r="G37" i="11"/>
  <c r="G38" i="11" s="1"/>
  <c r="F37" i="11"/>
  <c r="F38" i="11" s="1"/>
  <c r="E37" i="11"/>
  <c r="E38" i="11" s="1"/>
  <c r="D37" i="11"/>
  <c r="D38" i="11" s="1"/>
  <c r="C37" i="11"/>
  <c r="C38" i="11" s="1"/>
  <c r="Z32" i="11"/>
  <c r="Y32" i="11"/>
  <c r="X32" i="11"/>
  <c r="W32" i="11"/>
  <c r="V32" i="11"/>
  <c r="U32" i="11"/>
  <c r="T32" i="11"/>
  <c r="S32" i="11"/>
  <c r="R32" i="11"/>
  <c r="Q32" i="11"/>
  <c r="P32" i="11"/>
  <c r="O32" i="11"/>
  <c r="N32" i="11"/>
  <c r="M32" i="11"/>
  <c r="L32" i="11"/>
  <c r="K32" i="11"/>
  <c r="J32" i="11"/>
  <c r="I32" i="11"/>
  <c r="H32" i="11"/>
  <c r="G32" i="11"/>
  <c r="F32" i="11"/>
  <c r="E32" i="11"/>
  <c r="D32" i="11"/>
  <c r="C32" i="11"/>
  <c r="Z29" i="11"/>
  <c r="Z30" i="11" s="1"/>
  <c r="Y29" i="11"/>
  <c r="Y30" i="11" s="1"/>
  <c r="X29" i="11"/>
  <c r="X30" i="11" s="1"/>
  <c r="W29" i="11"/>
  <c r="W30" i="11" s="1"/>
  <c r="V29" i="11"/>
  <c r="V30" i="11" s="1"/>
  <c r="U29" i="11"/>
  <c r="U30" i="11" s="1"/>
  <c r="T29" i="11"/>
  <c r="T30" i="11" s="1"/>
  <c r="S29" i="11"/>
  <c r="S30" i="11" s="1"/>
  <c r="R29" i="11"/>
  <c r="R30" i="11" s="1"/>
  <c r="Q29" i="11"/>
  <c r="Q30" i="11" s="1"/>
  <c r="P29" i="11"/>
  <c r="P30" i="11" s="1"/>
  <c r="O29" i="11"/>
  <c r="O30" i="11" s="1"/>
  <c r="N29" i="11"/>
  <c r="N30" i="11" s="1"/>
  <c r="M29" i="11"/>
  <c r="M30" i="11" s="1"/>
  <c r="L29" i="11"/>
  <c r="L30" i="11" s="1"/>
  <c r="K29" i="11"/>
  <c r="K30" i="11" s="1"/>
  <c r="J29" i="11"/>
  <c r="J30" i="11" s="1"/>
  <c r="I29" i="11"/>
  <c r="I30" i="11" s="1"/>
  <c r="H29" i="11"/>
  <c r="H30" i="11" s="1"/>
  <c r="G29" i="11"/>
  <c r="G30" i="11" s="1"/>
  <c r="F29" i="11"/>
  <c r="F30" i="11" s="1"/>
  <c r="E29" i="11"/>
  <c r="E30" i="11" s="1"/>
  <c r="D29" i="11"/>
  <c r="D30" i="11" s="1"/>
  <c r="C29" i="11"/>
  <c r="C30" i="11" s="1"/>
  <c r="C22" i="11"/>
  <c r="C16" i="11"/>
  <c r="R6" i="11"/>
  <c r="R13" i="11" s="1"/>
  <c r="Q6" i="11"/>
  <c r="Q13" i="11" s="1"/>
  <c r="P6" i="11"/>
  <c r="P13" i="11" s="1"/>
  <c r="O6" i="11"/>
  <c r="O13" i="11" s="1"/>
  <c r="L56" i="1"/>
  <c r="M56" i="1"/>
  <c r="N56" i="1"/>
  <c r="O56" i="1"/>
  <c r="P56" i="1"/>
  <c r="Q56" i="1"/>
  <c r="R56" i="1"/>
  <c r="S56" i="1"/>
  <c r="T56" i="1"/>
  <c r="U56" i="1"/>
  <c r="V56" i="1"/>
  <c r="W56" i="1"/>
  <c r="X56" i="1"/>
  <c r="Y56" i="1"/>
  <c r="Z56" i="1"/>
  <c r="Z44" i="1"/>
  <c r="Y44" i="1"/>
  <c r="X44" i="1"/>
  <c r="W44" i="1"/>
  <c r="V44" i="1"/>
  <c r="U44" i="1"/>
  <c r="T44" i="1"/>
  <c r="S44" i="1"/>
  <c r="R44" i="1"/>
  <c r="Q44" i="1"/>
  <c r="P44" i="1"/>
  <c r="O44" i="1"/>
  <c r="N44" i="1"/>
  <c r="M44" i="1"/>
  <c r="L44" i="1"/>
  <c r="K44" i="1"/>
  <c r="J44" i="1"/>
  <c r="I44" i="1"/>
  <c r="H44" i="1"/>
  <c r="G44" i="1"/>
  <c r="F44" i="1"/>
  <c r="E44" i="1"/>
  <c r="D44" i="1"/>
  <c r="C44" i="1"/>
  <c r="Z9" i="1"/>
  <c r="Y9" i="1"/>
  <c r="X9" i="1"/>
  <c r="W9" i="1"/>
  <c r="V9" i="1"/>
  <c r="U9" i="1"/>
  <c r="T9" i="1"/>
  <c r="S9" i="1"/>
  <c r="R9" i="1"/>
  <c r="Q9" i="1"/>
  <c r="P9" i="1"/>
  <c r="O9" i="1"/>
  <c r="N9" i="1"/>
  <c r="M9" i="1"/>
  <c r="L9" i="1"/>
  <c r="K9" i="1"/>
  <c r="J9" i="1"/>
  <c r="I9" i="1"/>
  <c r="H9" i="1"/>
  <c r="G9" i="1"/>
  <c r="F9" i="1"/>
  <c r="E9" i="1"/>
  <c r="D9" i="1"/>
  <c r="C9" i="1"/>
  <c r="R6" i="1"/>
  <c r="R13" i="1" s="1"/>
  <c r="Q6" i="1"/>
  <c r="Q13" i="1" s="1"/>
  <c r="P6" i="1"/>
  <c r="P13" i="1" s="1"/>
  <c r="O6" i="1"/>
  <c r="O13" i="1" s="1"/>
  <c r="Z5" i="1"/>
  <c r="Z6" i="1" s="1"/>
  <c r="Y5" i="1"/>
  <c r="Y6" i="1" s="1"/>
  <c r="Y13" i="1" s="1"/>
  <c r="X5" i="1"/>
  <c r="X6" i="1" s="1"/>
  <c r="X13" i="1" s="1"/>
  <c r="W5" i="1"/>
  <c r="V5" i="1"/>
  <c r="U5" i="1"/>
  <c r="U6" i="1" s="1"/>
  <c r="U13" i="1" s="1"/>
  <c r="T5" i="1"/>
  <c r="T6" i="1" s="1"/>
  <c r="T13" i="1" s="1"/>
  <c r="S5" i="1"/>
  <c r="S6" i="1" s="1"/>
  <c r="N5" i="1"/>
  <c r="N6" i="1" s="1"/>
  <c r="M5" i="1"/>
  <c r="M6" i="1" s="1"/>
  <c r="M13" i="1" s="1"/>
  <c r="L5" i="1"/>
  <c r="L6" i="1" s="1"/>
  <c r="L13" i="1" s="1"/>
  <c r="J5" i="1"/>
  <c r="I5" i="1"/>
  <c r="I6" i="1" s="1"/>
  <c r="I13" i="1" s="1"/>
  <c r="H5" i="1"/>
  <c r="H6" i="1" s="1"/>
  <c r="H13" i="1" s="1"/>
  <c r="G5" i="1"/>
  <c r="G6" i="1" s="1"/>
  <c r="F5" i="1"/>
  <c r="F6" i="1" s="1"/>
  <c r="E5" i="1"/>
  <c r="E6" i="1" s="1"/>
  <c r="E13" i="1" s="1"/>
  <c r="D5" i="1"/>
  <c r="D6" i="1" s="1"/>
  <c r="C5" i="1"/>
  <c r="C6" i="1" s="1"/>
  <c r="L17" i="17" l="1"/>
  <c r="C6" i="18"/>
  <c r="L40" i="11"/>
  <c r="L33" i="11"/>
  <c r="Q8" i="11"/>
  <c r="O8" i="12"/>
  <c r="V8" i="12"/>
  <c r="I6" i="11"/>
  <c r="I8" i="11" s="1"/>
  <c r="C8" i="12"/>
  <c r="G8" i="12"/>
  <c r="F8" i="12"/>
  <c r="N8" i="12"/>
  <c r="R8" i="12"/>
  <c r="L8" i="12"/>
  <c r="P8" i="12"/>
  <c r="Y8" i="12"/>
  <c r="Q8" i="12"/>
  <c r="T8" i="11"/>
  <c r="K6" i="11"/>
  <c r="K13" i="11" s="1"/>
  <c r="G13" i="11"/>
  <c r="D13" i="11"/>
  <c r="H21" i="11"/>
  <c r="H23" i="11" s="1"/>
  <c r="L21" i="11"/>
  <c r="L23" i="11" s="1"/>
  <c r="D21" i="11"/>
  <c r="D23" i="11" s="1"/>
  <c r="Q21" i="11"/>
  <c r="Q23" i="11" s="1"/>
  <c r="U8" i="11"/>
  <c r="Z8" i="11"/>
  <c r="W13" i="11"/>
  <c r="G51" i="11"/>
  <c r="W51" i="11"/>
  <c r="W8" i="11"/>
  <c r="L13" i="11"/>
  <c r="T13" i="11"/>
  <c r="X13" i="11"/>
  <c r="E8" i="11"/>
  <c r="M8" i="11"/>
  <c r="N51" i="11"/>
  <c r="Z51" i="11"/>
  <c r="P8" i="11"/>
  <c r="X8" i="11"/>
  <c r="H13" i="11"/>
  <c r="M13" i="11"/>
  <c r="U13" i="11"/>
  <c r="Y13" i="11"/>
  <c r="N8" i="11"/>
  <c r="R8" i="11"/>
  <c r="V8" i="11"/>
  <c r="F13" i="11"/>
  <c r="I51" i="11"/>
  <c r="Y51" i="11"/>
  <c r="E13" i="11"/>
  <c r="N13" i="11"/>
  <c r="V13" i="11"/>
  <c r="Z13" i="11"/>
  <c r="F8" i="11"/>
  <c r="J13" i="11"/>
  <c r="S13" i="11"/>
  <c r="C8" i="11"/>
  <c r="G8" i="11"/>
  <c r="O8" i="11"/>
  <c r="S8" i="11"/>
  <c r="Y8" i="11"/>
  <c r="N13" i="1"/>
  <c r="F13" i="1"/>
  <c r="Z13" i="1"/>
  <c r="J6" i="1"/>
  <c r="J13" i="1" s="1"/>
  <c r="V6" i="1"/>
  <c r="V13" i="1" s="1"/>
  <c r="G13" i="1"/>
  <c r="S13" i="1"/>
  <c r="K13" i="1"/>
  <c r="W6" i="1"/>
  <c r="W13" i="1" s="1"/>
  <c r="G26" i="11" l="1"/>
  <c r="Y26" i="11"/>
  <c r="W26" i="11"/>
  <c r="AA13" i="1"/>
  <c r="Z26" i="11"/>
  <c r="P40" i="11"/>
  <c r="P33" i="11"/>
  <c r="P26" i="11"/>
  <c r="F12" i="12"/>
  <c r="F26" i="12" s="1"/>
  <c r="R40" i="11"/>
  <c r="R33" i="11"/>
  <c r="L12" i="12"/>
  <c r="L26" i="12" s="1"/>
  <c r="S26" i="11"/>
  <c r="N40" i="11"/>
  <c r="N33" i="11"/>
  <c r="N26" i="11"/>
  <c r="Q12" i="12"/>
  <c r="Q26" i="12" s="1"/>
  <c r="Q40" i="12"/>
  <c r="Q33" i="12"/>
  <c r="R12" i="12"/>
  <c r="R26" i="12" s="1"/>
  <c r="R40" i="12"/>
  <c r="R33" i="12"/>
  <c r="C12" i="12"/>
  <c r="Q40" i="11"/>
  <c r="Q33" i="11"/>
  <c r="P12" i="12"/>
  <c r="P26" i="12" s="1"/>
  <c r="P40" i="12"/>
  <c r="P33" i="12"/>
  <c r="V12" i="12"/>
  <c r="V26" i="12" s="1"/>
  <c r="V40" i="12"/>
  <c r="V33" i="12"/>
  <c r="T21" i="11"/>
  <c r="T23" i="11" s="1"/>
  <c r="T26" i="11"/>
  <c r="G12" i="12"/>
  <c r="G26" i="12" s="1"/>
  <c r="O40" i="12"/>
  <c r="O33" i="12"/>
  <c r="O40" i="11"/>
  <c r="O33" i="11"/>
  <c r="O26" i="11"/>
  <c r="M33" i="11"/>
  <c r="M40" i="11"/>
  <c r="M26" i="11"/>
  <c r="Y12" i="12"/>
  <c r="Y26" i="12" s="1"/>
  <c r="Y40" i="12"/>
  <c r="Y33" i="12"/>
  <c r="N12" i="12"/>
  <c r="N26" i="12" s="1"/>
  <c r="I21" i="11"/>
  <c r="I23" i="11" s="1"/>
  <c r="O15" i="12"/>
  <c r="O17" i="12" s="1"/>
  <c r="O12" i="12"/>
  <c r="O26" i="12" s="1"/>
  <c r="O34" i="12" s="1"/>
  <c r="O21" i="12"/>
  <c r="O23" i="12" s="1"/>
  <c r="X8" i="12"/>
  <c r="D8" i="12"/>
  <c r="D15" i="12" s="1"/>
  <c r="D17" i="12" s="1"/>
  <c r="I13" i="11"/>
  <c r="I26" i="11" s="1"/>
  <c r="K8" i="12"/>
  <c r="M8" i="12"/>
  <c r="M15" i="12" s="1"/>
  <c r="M17" i="12" s="1"/>
  <c r="H8" i="12"/>
  <c r="W8" i="12"/>
  <c r="I8" i="12"/>
  <c r="T8" i="12"/>
  <c r="J8" i="12"/>
  <c r="E8" i="12"/>
  <c r="S8" i="12"/>
  <c r="N15" i="12"/>
  <c r="N17" i="12" s="1"/>
  <c r="N21" i="12"/>
  <c r="N23" i="12" s="1"/>
  <c r="V15" i="12"/>
  <c r="V17" i="12" s="1"/>
  <c r="V21" i="12"/>
  <c r="V23" i="12" s="1"/>
  <c r="L21" i="12"/>
  <c r="L23" i="12" s="1"/>
  <c r="L15" i="12"/>
  <c r="L17" i="12" s="1"/>
  <c r="F15" i="12"/>
  <c r="F17" i="12" s="1"/>
  <c r="F21" i="12"/>
  <c r="F23" i="12" s="1"/>
  <c r="C21" i="12"/>
  <c r="C23" i="12" s="1"/>
  <c r="C24" i="12" s="1"/>
  <c r="C25" i="12" s="1"/>
  <c r="C15" i="12"/>
  <c r="Y21" i="12"/>
  <c r="Y23" i="12" s="1"/>
  <c r="Y15" i="12"/>
  <c r="Y17" i="12" s="1"/>
  <c r="I15" i="11"/>
  <c r="I17" i="11" s="1"/>
  <c r="U8" i="12"/>
  <c r="P21" i="12"/>
  <c r="P23" i="12" s="1"/>
  <c r="P15" i="12"/>
  <c r="P17" i="12" s="1"/>
  <c r="Z8" i="12"/>
  <c r="G21" i="12"/>
  <c r="G23" i="12" s="1"/>
  <c r="G15" i="12"/>
  <c r="G17" i="12" s="1"/>
  <c r="Q21" i="12"/>
  <c r="Q23" i="12" s="1"/>
  <c r="Q15" i="12"/>
  <c r="Q17" i="12" s="1"/>
  <c r="R15" i="12"/>
  <c r="R17" i="12" s="1"/>
  <c r="R21" i="12"/>
  <c r="R23" i="12" s="1"/>
  <c r="K8" i="11"/>
  <c r="M51" i="11"/>
  <c r="M15" i="11" s="1"/>
  <c r="M17" i="11" s="1"/>
  <c r="R51" i="11"/>
  <c r="R15" i="11" s="1"/>
  <c r="R17" i="11" s="1"/>
  <c r="Q51" i="11"/>
  <c r="Q26" i="11" s="1"/>
  <c r="X51" i="11"/>
  <c r="X26" i="11" s="1"/>
  <c r="T51" i="11"/>
  <c r="T15" i="11" s="1"/>
  <c r="T17" i="11" s="1"/>
  <c r="P51" i="11"/>
  <c r="P15" i="11" s="1"/>
  <c r="P17" i="11" s="1"/>
  <c r="L51" i="11"/>
  <c r="H51" i="11"/>
  <c r="H26" i="11" s="1"/>
  <c r="D51" i="11"/>
  <c r="S51" i="11"/>
  <c r="S15" i="11" s="1"/>
  <c r="S17" i="11" s="1"/>
  <c r="J51" i="11"/>
  <c r="F51" i="11"/>
  <c r="F26" i="11" s="1"/>
  <c r="O51" i="11"/>
  <c r="F21" i="11"/>
  <c r="F23" i="11" s="1"/>
  <c r="G21" i="11"/>
  <c r="G23" i="11" s="1"/>
  <c r="G15" i="11"/>
  <c r="G17" i="11" s="1"/>
  <c r="J8" i="11"/>
  <c r="C51" i="11"/>
  <c r="C26" i="11" s="1"/>
  <c r="N21" i="11"/>
  <c r="N23" i="11" s="1"/>
  <c r="N15" i="11"/>
  <c r="N17" i="11" s="1"/>
  <c r="S21" i="11"/>
  <c r="S23" i="11" s="1"/>
  <c r="C21" i="11"/>
  <c r="C23" i="11" s="1"/>
  <c r="C24" i="11" s="1"/>
  <c r="C25" i="11" s="1"/>
  <c r="V21" i="11"/>
  <c r="V23" i="11" s="1"/>
  <c r="K51" i="11"/>
  <c r="M21" i="11"/>
  <c r="M23" i="11" s="1"/>
  <c r="Z21" i="11"/>
  <c r="Z23" i="11" s="1"/>
  <c r="Z15" i="11"/>
  <c r="Z17" i="11" s="1"/>
  <c r="Y21" i="11"/>
  <c r="Y23" i="11" s="1"/>
  <c r="Y15" i="11"/>
  <c r="Y17" i="11" s="1"/>
  <c r="O21" i="11"/>
  <c r="O23" i="11" s="1"/>
  <c r="U51" i="11"/>
  <c r="U26" i="11" s="1"/>
  <c r="E51" i="11"/>
  <c r="E15" i="11" s="1"/>
  <c r="E17" i="11" s="1"/>
  <c r="R21" i="11"/>
  <c r="R23" i="11" s="1"/>
  <c r="X21" i="11"/>
  <c r="X23" i="11" s="1"/>
  <c r="P21" i="11"/>
  <c r="P23" i="11" s="1"/>
  <c r="E21" i="11"/>
  <c r="E23" i="11" s="1"/>
  <c r="W21" i="11"/>
  <c r="W23" i="11" s="1"/>
  <c r="W15" i="11"/>
  <c r="W17" i="11" s="1"/>
  <c r="V51" i="11"/>
  <c r="V15" i="11" s="1"/>
  <c r="V17" i="11" s="1"/>
  <c r="U21" i="11"/>
  <c r="U23" i="11" s="1"/>
  <c r="D11" i="17" l="1"/>
  <c r="C38" i="18"/>
  <c r="B38" i="18"/>
  <c r="B40" i="18" s="1"/>
  <c r="AA8" i="11"/>
  <c r="AA8" i="12"/>
  <c r="D20" i="12"/>
  <c r="D22" i="12" s="1"/>
  <c r="D20" i="11"/>
  <c r="D22" i="11" s="1"/>
  <c r="D24" i="11" s="1"/>
  <c r="D25" i="11" s="1"/>
  <c r="E20" i="11" s="1"/>
  <c r="C26" i="12"/>
  <c r="AA13" i="11"/>
  <c r="D23" i="17" s="1"/>
  <c r="C17" i="12"/>
  <c r="C18" i="12" s="1"/>
  <c r="C19" i="12" s="1"/>
  <c r="D12" i="12"/>
  <c r="D26" i="12" s="1"/>
  <c r="J26" i="11"/>
  <c r="D15" i="11"/>
  <c r="D17" i="11" s="1"/>
  <c r="D26" i="11"/>
  <c r="D28" i="11" s="1"/>
  <c r="U12" i="12"/>
  <c r="U26" i="12" s="1"/>
  <c r="U40" i="12"/>
  <c r="U33" i="12"/>
  <c r="S40" i="12"/>
  <c r="S33" i="12"/>
  <c r="R26" i="11"/>
  <c r="R27" i="11" s="1"/>
  <c r="L15" i="11"/>
  <c r="L17" i="11" s="1"/>
  <c r="L26" i="11"/>
  <c r="L28" i="11" s="1"/>
  <c r="D21" i="12"/>
  <c r="D23" i="12" s="1"/>
  <c r="T40" i="12"/>
  <c r="T33" i="12"/>
  <c r="X40" i="12"/>
  <c r="X33" i="12"/>
  <c r="K40" i="11"/>
  <c r="K33" i="11"/>
  <c r="K26" i="11"/>
  <c r="K28" i="11" s="1"/>
  <c r="Z12" i="12"/>
  <c r="Z26" i="12" s="1"/>
  <c r="Z40" i="12"/>
  <c r="Z33" i="12"/>
  <c r="W40" i="12"/>
  <c r="W33" i="12"/>
  <c r="E26" i="11"/>
  <c r="E34" i="11" s="1"/>
  <c r="V26" i="11"/>
  <c r="J12" i="12"/>
  <c r="J26" i="12" s="1"/>
  <c r="K21" i="12"/>
  <c r="K23" i="12" s="1"/>
  <c r="K12" i="12"/>
  <c r="K26" i="12" s="1"/>
  <c r="K27" i="12" s="1"/>
  <c r="W15" i="12"/>
  <c r="W17" i="12" s="1"/>
  <c r="W12" i="12"/>
  <c r="W26" i="12" s="1"/>
  <c r="W28" i="12" s="1"/>
  <c r="S21" i="12"/>
  <c r="S23" i="12" s="1"/>
  <c r="S12" i="12"/>
  <c r="S26" i="12" s="1"/>
  <c r="S34" i="12" s="1"/>
  <c r="T12" i="12"/>
  <c r="T26" i="12" s="1"/>
  <c r="H12" i="12"/>
  <c r="H26" i="12" s="1"/>
  <c r="E21" i="12"/>
  <c r="E23" i="12" s="1"/>
  <c r="E12" i="12"/>
  <c r="E26" i="12" s="1"/>
  <c r="E28" i="12" s="1"/>
  <c r="I21" i="12"/>
  <c r="I23" i="12" s="1"/>
  <c r="I12" i="12"/>
  <c r="I26" i="12" s="1"/>
  <c r="I28" i="12" s="1"/>
  <c r="M21" i="12"/>
  <c r="M23" i="12" s="1"/>
  <c r="M12" i="12"/>
  <c r="M26" i="12" s="1"/>
  <c r="M27" i="12" s="1"/>
  <c r="X21" i="12"/>
  <c r="X23" i="12" s="1"/>
  <c r="X12" i="12"/>
  <c r="X26" i="12" s="1"/>
  <c r="X15" i="12"/>
  <c r="X17" i="12" s="1"/>
  <c r="O27" i="12"/>
  <c r="O28" i="12"/>
  <c r="E15" i="12"/>
  <c r="E17" i="12" s="1"/>
  <c r="M28" i="11"/>
  <c r="O15" i="11"/>
  <c r="O17" i="11" s="1"/>
  <c r="T27" i="11"/>
  <c r="P27" i="11"/>
  <c r="S27" i="11"/>
  <c r="T21" i="12"/>
  <c r="T23" i="12" s="1"/>
  <c r="T15" i="12"/>
  <c r="T17" i="12" s="1"/>
  <c r="S15" i="12"/>
  <c r="S17" i="12" s="1"/>
  <c r="W21" i="12"/>
  <c r="W23" i="12" s="1"/>
  <c r="H15" i="12"/>
  <c r="H17" i="12" s="1"/>
  <c r="H21" i="12"/>
  <c r="H23" i="12" s="1"/>
  <c r="K15" i="12"/>
  <c r="K17" i="12" s="1"/>
  <c r="I15" i="12"/>
  <c r="I17" i="12" s="1"/>
  <c r="J15" i="12"/>
  <c r="J17" i="12" s="1"/>
  <c r="J21" i="12"/>
  <c r="J23" i="12" s="1"/>
  <c r="L27" i="12"/>
  <c r="L34" i="12"/>
  <c r="L28" i="12"/>
  <c r="R34" i="12"/>
  <c r="R28" i="12"/>
  <c r="R27" i="12"/>
  <c r="G34" i="12"/>
  <c r="G28" i="12"/>
  <c r="G27" i="12"/>
  <c r="O36" i="12"/>
  <c r="O35" i="12"/>
  <c r="Y34" i="12"/>
  <c r="Y28" i="12"/>
  <c r="Y27" i="12"/>
  <c r="V34" i="12"/>
  <c r="V28" i="12"/>
  <c r="V27" i="12"/>
  <c r="Q34" i="12"/>
  <c r="Q28" i="12"/>
  <c r="Q27" i="12"/>
  <c r="Z15" i="12"/>
  <c r="Z17" i="12" s="1"/>
  <c r="Z21" i="12"/>
  <c r="Z23" i="12" s="1"/>
  <c r="U21" i="12"/>
  <c r="U23" i="12" s="1"/>
  <c r="U15" i="12"/>
  <c r="U17" i="12" s="1"/>
  <c r="F34" i="12"/>
  <c r="F28" i="12"/>
  <c r="F27" i="12"/>
  <c r="P34" i="12"/>
  <c r="P28" i="12"/>
  <c r="P27" i="12"/>
  <c r="K21" i="11"/>
  <c r="K23" i="11" s="1"/>
  <c r="N34" i="12"/>
  <c r="N28" i="12"/>
  <c r="N27" i="12"/>
  <c r="U28" i="11"/>
  <c r="U27" i="11"/>
  <c r="P28" i="11"/>
  <c r="Z27" i="11"/>
  <c r="Z28" i="11"/>
  <c r="N28" i="11"/>
  <c r="N27" i="11"/>
  <c r="F15" i="11"/>
  <c r="F17" i="11" s="1"/>
  <c r="X15" i="11"/>
  <c r="X17" i="11" s="1"/>
  <c r="Y28" i="11"/>
  <c r="Y27" i="11"/>
  <c r="I28" i="11"/>
  <c r="I27" i="11"/>
  <c r="G28" i="11"/>
  <c r="G27" i="11"/>
  <c r="F28" i="11"/>
  <c r="F27" i="11"/>
  <c r="X27" i="11"/>
  <c r="X28" i="11"/>
  <c r="W28" i="11"/>
  <c r="W27" i="11"/>
  <c r="O28" i="11"/>
  <c r="O27" i="11"/>
  <c r="C27" i="11"/>
  <c r="C28" i="11"/>
  <c r="C15" i="11"/>
  <c r="Q15" i="11"/>
  <c r="Q17" i="11" s="1"/>
  <c r="H15" i="11"/>
  <c r="H17" i="11" s="1"/>
  <c r="U34" i="11"/>
  <c r="W34" i="11"/>
  <c r="X34" i="11"/>
  <c r="O34" i="11"/>
  <c r="Y34" i="11"/>
  <c r="N34" i="11"/>
  <c r="U15" i="11"/>
  <c r="U17" i="11" s="1"/>
  <c r="C34" i="11"/>
  <c r="K15" i="11"/>
  <c r="K17" i="11" s="1"/>
  <c r="P34" i="11"/>
  <c r="T34" i="11"/>
  <c r="Z34" i="11"/>
  <c r="J21" i="11"/>
  <c r="J23" i="11" s="1"/>
  <c r="J15" i="11"/>
  <c r="J17" i="11" s="1"/>
  <c r="G34" i="11"/>
  <c r="I34" i="11"/>
  <c r="F34" i="11"/>
  <c r="E27" i="11" l="1"/>
  <c r="L27" i="11"/>
  <c r="H15" i="17"/>
  <c r="C24" i="18" s="1"/>
  <c r="M6" i="5"/>
  <c r="D15" i="17"/>
  <c r="M5" i="5"/>
  <c r="D27" i="11"/>
  <c r="L34" i="11"/>
  <c r="L36" i="11" s="1"/>
  <c r="E28" i="11"/>
  <c r="AA12" i="12"/>
  <c r="D28" i="12"/>
  <c r="D27" i="12"/>
  <c r="D34" i="12"/>
  <c r="D36" i="12" s="1"/>
  <c r="C39" i="12"/>
  <c r="C31" i="12"/>
  <c r="D14" i="12"/>
  <c r="D16" i="12" s="1"/>
  <c r="D18" i="12" s="1"/>
  <c r="D19" i="12" s="1"/>
  <c r="I34" i="12"/>
  <c r="I36" i="12" s="1"/>
  <c r="C17" i="11"/>
  <c r="C18" i="11" s="1"/>
  <c r="C19" i="11" s="1"/>
  <c r="D34" i="11"/>
  <c r="D35" i="11" s="1"/>
  <c r="D24" i="12"/>
  <c r="D25" i="12" s="1"/>
  <c r="R28" i="11"/>
  <c r="M34" i="11"/>
  <c r="M36" i="11" s="1"/>
  <c r="R34" i="11"/>
  <c r="R36" i="11" s="1"/>
  <c r="M27" i="11"/>
  <c r="M34" i="12"/>
  <c r="T28" i="11"/>
  <c r="I27" i="12"/>
  <c r="T27" i="12"/>
  <c r="T34" i="12"/>
  <c r="T36" i="12" s="1"/>
  <c r="T28" i="12"/>
  <c r="X34" i="12"/>
  <c r="X35" i="12" s="1"/>
  <c r="X27" i="12"/>
  <c r="H34" i="12"/>
  <c r="H36" i="12" s="1"/>
  <c r="H28" i="12"/>
  <c r="H27" i="12"/>
  <c r="J27" i="12"/>
  <c r="J34" i="12"/>
  <c r="J35" i="12" s="1"/>
  <c r="J28" i="12"/>
  <c r="X28" i="12"/>
  <c r="W34" i="12"/>
  <c r="W35" i="12" s="1"/>
  <c r="W27" i="12"/>
  <c r="K34" i="12"/>
  <c r="E34" i="12"/>
  <c r="E36" i="12" s="1"/>
  <c r="E27" i="12"/>
  <c r="S28" i="11"/>
  <c r="S34" i="11"/>
  <c r="S36" i="11" s="1"/>
  <c r="K28" i="12"/>
  <c r="M28" i="12"/>
  <c r="K34" i="11"/>
  <c r="K36" i="11" s="1"/>
  <c r="K27" i="11"/>
  <c r="S28" i="12"/>
  <c r="S27" i="12"/>
  <c r="F36" i="12"/>
  <c r="F35" i="12"/>
  <c r="C34" i="12"/>
  <c r="C28" i="12"/>
  <c r="C27" i="12"/>
  <c r="P36" i="12"/>
  <c r="P35" i="12"/>
  <c r="U34" i="12"/>
  <c r="U28" i="12"/>
  <c r="U27" i="12"/>
  <c r="V36" i="12"/>
  <c r="V35" i="12"/>
  <c r="L35" i="12"/>
  <c r="L36" i="12"/>
  <c r="Z34" i="12"/>
  <c r="Z28" i="12"/>
  <c r="Z27" i="12"/>
  <c r="R36" i="12"/>
  <c r="R35" i="12"/>
  <c r="S36" i="12"/>
  <c r="S35" i="12"/>
  <c r="N36" i="12"/>
  <c r="N35" i="12"/>
  <c r="Q36" i="12"/>
  <c r="Q35" i="12"/>
  <c r="Y36" i="12"/>
  <c r="Y35" i="12"/>
  <c r="G36" i="12"/>
  <c r="G35" i="12"/>
  <c r="Q28" i="11"/>
  <c r="Q27" i="11"/>
  <c r="J27" i="11"/>
  <c r="J28" i="11"/>
  <c r="H27" i="11"/>
  <c r="H28" i="11"/>
  <c r="V28" i="11"/>
  <c r="V27" i="11"/>
  <c r="H34" i="11"/>
  <c r="Q34" i="11"/>
  <c r="E22" i="11"/>
  <c r="E24" i="11" s="1"/>
  <c r="E25" i="11" s="1"/>
  <c r="F20" i="11" s="1"/>
  <c r="G36" i="11"/>
  <c r="G35" i="11"/>
  <c r="L35" i="11"/>
  <c r="J34" i="11"/>
  <c r="Z36" i="11"/>
  <c r="Z35" i="11"/>
  <c r="V34" i="11"/>
  <c r="I36" i="11"/>
  <c r="I35" i="11"/>
  <c r="E36" i="11"/>
  <c r="E35" i="11"/>
  <c r="P36" i="11"/>
  <c r="P35" i="11"/>
  <c r="C35" i="11"/>
  <c r="C36" i="11"/>
  <c r="O36" i="11"/>
  <c r="O35" i="11"/>
  <c r="X36" i="11"/>
  <c r="X35" i="11"/>
  <c r="Y36" i="11"/>
  <c r="Y35" i="11"/>
  <c r="W36" i="11"/>
  <c r="W35" i="11"/>
  <c r="F36" i="11"/>
  <c r="F35" i="11"/>
  <c r="T36" i="11"/>
  <c r="T35" i="11"/>
  <c r="N36" i="11"/>
  <c r="N35" i="11"/>
  <c r="U36" i="11"/>
  <c r="U35" i="11"/>
  <c r="M35" i="12" l="1"/>
  <c r="K35" i="12"/>
  <c r="D35" i="12"/>
  <c r="H22" i="17"/>
  <c r="H21" i="17"/>
  <c r="H23" i="17"/>
  <c r="C39" i="18"/>
  <c r="C40" i="18" s="1"/>
  <c r="C44" i="18" s="1"/>
  <c r="D22" i="17"/>
  <c r="C23" i="18"/>
  <c r="C26" i="18" s="1"/>
  <c r="C32" i="18" s="1"/>
  <c r="D21" i="17"/>
  <c r="E35" i="12"/>
  <c r="X36" i="12"/>
  <c r="D36" i="11"/>
  <c r="W36" i="12"/>
  <c r="I35" i="12"/>
  <c r="M36" i="12"/>
  <c r="C31" i="11"/>
  <c r="C33" i="11" s="1"/>
  <c r="C39" i="11"/>
  <c r="C40" i="11" s="1"/>
  <c r="D31" i="12"/>
  <c r="D33" i="12" s="1"/>
  <c r="S35" i="11"/>
  <c r="J36" i="12"/>
  <c r="C33" i="12"/>
  <c r="E20" i="12"/>
  <c r="E22" i="12" s="1"/>
  <c r="E24" i="12" s="1"/>
  <c r="E25" i="12" s="1"/>
  <c r="F20" i="12" s="1"/>
  <c r="F22" i="12" s="1"/>
  <c r="F24" i="12" s="1"/>
  <c r="F25" i="12" s="1"/>
  <c r="G20" i="12" s="1"/>
  <c r="D14" i="11"/>
  <c r="D16" i="11" s="1"/>
  <c r="D18" i="11" s="1"/>
  <c r="D19" i="11" s="1"/>
  <c r="D31" i="11" s="1"/>
  <c r="D33" i="11" s="1"/>
  <c r="E14" i="12"/>
  <c r="E16" i="12" s="1"/>
  <c r="E18" i="12" s="1"/>
  <c r="E19" i="12" s="1"/>
  <c r="D39" i="12"/>
  <c r="M35" i="11"/>
  <c r="R35" i="11"/>
  <c r="T35" i="12"/>
  <c r="H35" i="12"/>
  <c r="K36" i="12"/>
  <c r="K35" i="11"/>
  <c r="Z36" i="12"/>
  <c r="Z35" i="12"/>
  <c r="U36" i="12"/>
  <c r="U35" i="12"/>
  <c r="C36" i="12"/>
  <c r="C35" i="12"/>
  <c r="C40" i="12" s="1"/>
  <c r="Q35" i="11"/>
  <c r="Q36" i="11"/>
  <c r="H35" i="11"/>
  <c r="H36" i="11"/>
  <c r="F22" i="11"/>
  <c r="F24" i="11" s="1"/>
  <c r="F25" i="11" s="1"/>
  <c r="G20" i="11" s="1"/>
  <c r="J36" i="11"/>
  <c r="J35" i="11"/>
  <c r="V36" i="11"/>
  <c r="V35" i="11"/>
  <c r="D40" i="12" l="1"/>
  <c r="C45" i="18"/>
  <c r="F72" i="18" s="1"/>
  <c r="C116" i="18"/>
  <c r="C117" i="18" s="1"/>
  <c r="C122" i="18" s="1"/>
  <c r="G47" i="18"/>
  <c r="G48" i="18" s="1"/>
  <c r="C107" i="18" s="1"/>
  <c r="F47" i="18"/>
  <c r="F48" i="18" s="1"/>
  <c r="C77" i="18" s="1"/>
  <c r="E14" i="11"/>
  <c r="E16" i="11" s="1"/>
  <c r="E18" i="11" s="1"/>
  <c r="E19" i="11" s="1"/>
  <c r="F14" i="11" s="1"/>
  <c r="F16" i="11" s="1"/>
  <c r="F18" i="11" s="1"/>
  <c r="F19" i="11" s="1"/>
  <c r="D39" i="11"/>
  <c r="D40" i="11" s="1"/>
  <c r="D48" i="11" s="1"/>
  <c r="D53" i="11" s="1"/>
  <c r="D55" i="11" s="1"/>
  <c r="E31" i="12"/>
  <c r="E33" i="12" s="1"/>
  <c r="C48" i="11"/>
  <c r="C53" i="11" s="1"/>
  <c r="F14" i="12"/>
  <c r="F16" i="12" s="1"/>
  <c r="F18" i="12" s="1"/>
  <c r="F19" i="12" s="1"/>
  <c r="E39" i="12"/>
  <c r="E40" i="12" s="1"/>
  <c r="C48" i="12"/>
  <c r="C53" i="12" s="1"/>
  <c r="D48" i="12"/>
  <c r="D53" i="12" s="1"/>
  <c r="D55" i="12" s="1"/>
  <c r="G22" i="12"/>
  <c r="G24" i="12" s="1"/>
  <c r="G25" i="12" s="1"/>
  <c r="H20" i="12" s="1"/>
  <c r="G22" i="11"/>
  <c r="G24" i="11" s="1"/>
  <c r="G25" i="11" s="1"/>
  <c r="C86" i="18" l="1"/>
  <c r="C87" i="18"/>
  <c r="C88" i="18"/>
  <c r="C89" i="18"/>
  <c r="C55" i="11"/>
  <c r="E39" i="11"/>
  <c r="E40" i="11" s="1"/>
  <c r="E31" i="11"/>
  <c r="E33" i="11" s="1"/>
  <c r="F31" i="12"/>
  <c r="F33" i="12" s="1"/>
  <c r="C55" i="12"/>
  <c r="H20" i="11"/>
  <c r="H22" i="11" s="1"/>
  <c r="H24" i="11" s="1"/>
  <c r="H25" i="11" s="1"/>
  <c r="G14" i="12"/>
  <c r="G16" i="12" s="1"/>
  <c r="G18" i="12" s="1"/>
  <c r="G19" i="12" s="1"/>
  <c r="G31" i="12" s="1"/>
  <c r="F39" i="12"/>
  <c r="F40" i="12" s="1"/>
  <c r="F31" i="11"/>
  <c r="F33" i="11" s="1"/>
  <c r="F39" i="11"/>
  <c r="F40" i="11" s="1"/>
  <c r="E48" i="12"/>
  <c r="E53" i="12" s="1"/>
  <c r="E55" i="12" s="1"/>
  <c r="H22" i="12"/>
  <c r="H24" i="12" s="1"/>
  <c r="H25" i="12" s="1"/>
  <c r="I20" i="12" s="1"/>
  <c r="G14" i="11"/>
  <c r="C90" i="18" l="1"/>
  <c r="C95" i="18" s="1"/>
  <c r="E48" i="11"/>
  <c r="E53" i="11" s="1"/>
  <c r="I20" i="11"/>
  <c r="I22" i="11" s="1"/>
  <c r="I24" i="11" s="1"/>
  <c r="I25" i="11" s="1"/>
  <c r="J20" i="11" s="1"/>
  <c r="H14" i="12"/>
  <c r="H16" i="12" s="1"/>
  <c r="H18" i="12" s="1"/>
  <c r="H19" i="12" s="1"/>
  <c r="G39" i="12"/>
  <c r="G40" i="12" s="1"/>
  <c r="F48" i="11"/>
  <c r="F53" i="11" s="1"/>
  <c r="F55" i="11" s="1"/>
  <c r="F48" i="12"/>
  <c r="F53" i="12" s="1"/>
  <c r="I22" i="12"/>
  <c r="I24" i="12" s="1"/>
  <c r="I25" i="12" s="1"/>
  <c r="J20" i="12" s="1"/>
  <c r="G33" i="12"/>
  <c r="G16" i="11"/>
  <c r="G18" i="11" s="1"/>
  <c r="G19" i="11" s="1"/>
  <c r="E55" i="11" l="1"/>
  <c r="F55" i="12"/>
  <c r="H39" i="12"/>
  <c r="H40" i="12" s="1"/>
  <c r="H31" i="12"/>
  <c r="H33" i="12" s="1"/>
  <c r="G31" i="11"/>
  <c r="G33" i="11" s="1"/>
  <c r="G39" i="11"/>
  <c r="G48" i="12"/>
  <c r="G53" i="12" s="1"/>
  <c r="J22" i="12"/>
  <c r="J24" i="12" s="1"/>
  <c r="J25" i="12" s="1"/>
  <c r="K20" i="12" s="1"/>
  <c r="G40" i="11"/>
  <c r="I14" i="12"/>
  <c r="J22" i="11"/>
  <c r="J24" i="11" s="1"/>
  <c r="J25" i="11" s="1"/>
  <c r="K20" i="11" s="1"/>
  <c r="H14" i="11"/>
  <c r="H48" i="12" l="1"/>
  <c r="H53" i="12" s="1"/>
  <c r="H55" i="12" s="1"/>
  <c r="G48" i="11"/>
  <c r="G53" i="11" s="1"/>
  <c r="K22" i="12"/>
  <c r="K24" i="12" s="1"/>
  <c r="K25" i="12" s="1"/>
  <c r="L20" i="12" s="1"/>
  <c r="I16" i="12"/>
  <c r="I18" i="12" s="1"/>
  <c r="I19" i="12" s="1"/>
  <c r="K22" i="11"/>
  <c r="K24" i="11" s="1"/>
  <c r="K25" i="11" s="1"/>
  <c r="L20" i="11" s="1"/>
  <c r="H16" i="11"/>
  <c r="H18" i="11" s="1"/>
  <c r="H19" i="11" s="1"/>
  <c r="G55" i="11" l="1"/>
  <c r="I39" i="12"/>
  <c r="I40" i="12" s="1"/>
  <c r="I31" i="12"/>
  <c r="I33" i="12" s="1"/>
  <c r="H31" i="11"/>
  <c r="H33" i="11" s="1"/>
  <c r="H39" i="11"/>
  <c r="H40" i="11" s="1"/>
  <c r="L22" i="12"/>
  <c r="L24" i="12" s="1"/>
  <c r="L25" i="12" s="1"/>
  <c r="M20" i="12" s="1"/>
  <c r="J14" i="12"/>
  <c r="L22" i="11"/>
  <c r="L24" i="11" s="1"/>
  <c r="L25" i="11" s="1"/>
  <c r="M20" i="11" s="1"/>
  <c r="I14" i="11"/>
  <c r="H48" i="11" l="1"/>
  <c r="H53" i="11" s="1"/>
  <c r="I48" i="12"/>
  <c r="I53" i="12" s="1"/>
  <c r="I55" i="12" s="1"/>
  <c r="M22" i="12"/>
  <c r="M24" i="12" s="1"/>
  <c r="M25" i="12" s="1"/>
  <c r="N20" i="12" s="1"/>
  <c r="J16" i="12"/>
  <c r="J18" i="12" s="1"/>
  <c r="J19" i="12" s="1"/>
  <c r="J31" i="12" s="1"/>
  <c r="M22" i="11"/>
  <c r="M24" i="11" s="1"/>
  <c r="M25" i="11" s="1"/>
  <c r="N20" i="11" s="1"/>
  <c r="I16" i="11"/>
  <c r="I18" i="11" s="1"/>
  <c r="I19" i="11" s="1"/>
  <c r="H55" i="11" l="1"/>
  <c r="K14" i="12"/>
  <c r="K16" i="12" s="1"/>
  <c r="K18" i="12" s="1"/>
  <c r="K19" i="12" s="1"/>
  <c r="J39" i="12"/>
  <c r="J40" i="12" s="1"/>
  <c r="I31" i="11"/>
  <c r="I33" i="11" s="1"/>
  <c r="I39" i="11"/>
  <c r="I40" i="11" s="1"/>
  <c r="N22" i="12"/>
  <c r="N24" i="12" s="1"/>
  <c r="N25" i="12" s="1"/>
  <c r="O20" i="12" s="1"/>
  <c r="J33" i="12"/>
  <c r="N22" i="11"/>
  <c r="N24" i="11" s="1"/>
  <c r="N25" i="11" s="1"/>
  <c r="O20" i="11" s="1"/>
  <c r="J14" i="11"/>
  <c r="K39" i="12" l="1"/>
  <c r="K40" i="12" s="1"/>
  <c r="K31" i="12"/>
  <c r="K33" i="12" s="1"/>
  <c r="I48" i="11"/>
  <c r="I53" i="11" s="1"/>
  <c r="J48" i="12"/>
  <c r="J53" i="12" s="1"/>
  <c r="J55" i="12" s="1"/>
  <c r="O22" i="12"/>
  <c r="O24" i="12" s="1"/>
  <c r="O25" i="12" s="1"/>
  <c r="P20" i="12" s="1"/>
  <c r="L14" i="12"/>
  <c r="O22" i="11"/>
  <c r="O24" i="11" s="1"/>
  <c r="O25" i="11" s="1"/>
  <c r="P20" i="11" s="1"/>
  <c r="J16" i="11"/>
  <c r="J18" i="11" s="1"/>
  <c r="J19" i="11" s="1"/>
  <c r="I55" i="11" l="1"/>
  <c r="J31" i="11"/>
  <c r="J39" i="11"/>
  <c r="J40" i="11" s="1"/>
  <c r="K48" i="12"/>
  <c r="K53" i="12" s="1"/>
  <c r="P22" i="12"/>
  <c r="P24" i="12" s="1"/>
  <c r="P25" i="12" s="1"/>
  <c r="Q20" i="12" s="1"/>
  <c r="J33" i="11"/>
  <c r="L16" i="12"/>
  <c r="L18" i="12" s="1"/>
  <c r="L19" i="12" s="1"/>
  <c r="L31" i="12" s="1"/>
  <c r="L33" i="12" s="1"/>
  <c r="P22" i="11"/>
  <c r="P24" i="11" s="1"/>
  <c r="P25" i="11" s="1"/>
  <c r="Q20" i="11" s="1"/>
  <c r="K14" i="11"/>
  <c r="M14" i="12" l="1"/>
  <c r="M16" i="12" s="1"/>
  <c r="M18" i="12" s="1"/>
  <c r="M19" i="12" s="1"/>
  <c r="M31" i="12" s="1"/>
  <c r="M33" i="12" s="1"/>
  <c r="L39" i="12"/>
  <c r="L40" i="12" s="1"/>
  <c r="L48" i="12" s="1"/>
  <c r="L53" i="12" s="1"/>
  <c r="J48" i="11"/>
  <c r="J53" i="11" s="1"/>
  <c r="J55" i="11" s="1"/>
  <c r="Q22" i="12"/>
  <c r="Q24" i="12" s="1"/>
  <c r="Q25" i="12" s="1"/>
  <c r="R20" i="12" s="1"/>
  <c r="Q22" i="11"/>
  <c r="Q24" i="11" s="1"/>
  <c r="Q25" i="11" s="1"/>
  <c r="R20" i="11" s="1"/>
  <c r="K16" i="11"/>
  <c r="K18" i="11" s="1"/>
  <c r="K19" i="11" s="1"/>
  <c r="N14" i="12" l="1"/>
  <c r="M39" i="12"/>
  <c r="M40" i="12" s="1"/>
  <c r="K31" i="11"/>
  <c r="K39" i="11"/>
  <c r="N16" i="12"/>
  <c r="N18" i="12" s="1"/>
  <c r="N19" i="12" s="1"/>
  <c r="N31" i="12" s="1"/>
  <c r="N33" i="12" s="1"/>
  <c r="AA33" i="12" s="1"/>
  <c r="R22" i="12"/>
  <c r="R24" i="12" s="1"/>
  <c r="R25" i="12" s="1"/>
  <c r="S20" i="12" s="1"/>
  <c r="K48" i="11"/>
  <c r="K53" i="11" s="1"/>
  <c r="K55" i="11" s="1"/>
  <c r="L14" i="11"/>
  <c r="L16" i="11" s="1"/>
  <c r="L18" i="11" s="1"/>
  <c r="L19" i="11" s="1"/>
  <c r="R22" i="11"/>
  <c r="R24" i="11" s="1"/>
  <c r="R25" i="11" s="1"/>
  <c r="S20" i="11" s="1"/>
  <c r="O14" i="12" l="1"/>
  <c r="O16" i="12" s="1"/>
  <c r="O18" i="12" s="1"/>
  <c r="O19" i="12" s="1"/>
  <c r="O31" i="12" s="1"/>
  <c r="N39" i="12"/>
  <c r="N40" i="12" s="1"/>
  <c r="AA40" i="12" s="1"/>
  <c r="L31" i="11"/>
  <c r="L39" i="11"/>
  <c r="M48" i="12"/>
  <c r="M53" i="12" s="1"/>
  <c r="S22" i="12"/>
  <c r="S24" i="12" s="1"/>
  <c r="S25" i="12" s="1"/>
  <c r="T20" i="12" s="1"/>
  <c r="L48" i="11"/>
  <c r="L53" i="11" s="1"/>
  <c r="S22" i="11"/>
  <c r="S24" i="11" s="1"/>
  <c r="S25" i="11" s="1"/>
  <c r="T20" i="11" s="1"/>
  <c r="M14" i="11"/>
  <c r="C61" i="18" l="1"/>
  <c r="H20" i="17"/>
  <c r="P14" i="12"/>
  <c r="P16" i="12" s="1"/>
  <c r="P18" i="12" s="1"/>
  <c r="P19" i="12" s="1"/>
  <c r="P31" i="12" s="1"/>
  <c r="O39" i="12"/>
  <c r="N48" i="12"/>
  <c r="N53" i="12" s="1"/>
  <c r="T22" i="12"/>
  <c r="T24" i="12" s="1"/>
  <c r="T25" i="12" s="1"/>
  <c r="U20" i="12" s="1"/>
  <c r="T22" i="11"/>
  <c r="T24" i="11" s="1"/>
  <c r="T25" i="11" s="1"/>
  <c r="U20" i="11" s="1"/>
  <c r="M16" i="11"/>
  <c r="M18" i="11" s="1"/>
  <c r="M19" i="11" s="1"/>
  <c r="Q14" i="12" l="1"/>
  <c r="Q16" i="12" s="1"/>
  <c r="Q18" i="12" s="1"/>
  <c r="Q19" i="12" s="1"/>
  <c r="P39" i="12"/>
  <c r="M31" i="11"/>
  <c r="M39" i="11"/>
  <c r="O48" i="12"/>
  <c r="O53" i="12" s="1"/>
  <c r="U22" i="12"/>
  <c r="U24" i="12" s="1"/>
  <c r="U25" i="12" s="1"/>
  <c r="V20" i="12" s="1"/>
  <c r="M48" i="11"/>
  <c r="M53" i="11" s="1"/>
  <c r="U22" i="11"/>
  <c r="U24" i="11" s="1"/>
  <c r="U25" i="11" s="1"/>
  <c r="V20" i="11" s="1"/>
  <c r="N14" i="11"/>
  <c r="Q39" i="12" l="1"/>
  <c r="Q31" i="12"/>
  <c r="P48" i="12"/>
  <c r="P53" i="12" s="1"/>
  <c r="V22" i="12"/>
  <c r="V24" i="12" s="1"/>
  <c r="V25" i="12" s="1"/>
  <c r="W20" i="12" s="1"/>
  <c r="R14" i="12"/>
  <c r="V22" i="11"/>
  <c r="V24" i="11" s="1"/>
  <c r="V25" i="11" s="1"/>
  <c r="W20" i="11" s="1"/>
  <c r="N16" i="11"/>
  <c r="N18" i="11" s="1"/>
  <c r="N19" i="11" s="1"/>
  <c r="N31" i="11" l="1"/>
  <c r="N39" i="11"/>
  <c r="Q48" i="12"/>
  <c r="Q53" i="12" s="1"/>
  <c r="W22" i="12"/>
  <c r="W24" i="12" s="1"/>
  <c r="W25" i="12" s="1"/>
  <c r="X20" i="12" s="1"/>
  <c r="N48" i="11"/>
  <c r="N53" i="11" s="1"/>
  <c r="R16" i="12"/>
  <c r="R18" i="12" s="1"/>
  <c r="R19" i="12" s="1"/>
  <c r="R31" i="12" s="1"/>
  <c r="W22" i="11"/>
  <c r="W24" i="11" s="1"/>
  <c r="W25" i="11" s="1"/>
  <c r="X20" i="11" s="1"/>
  <c r="O14" i="11"/>
  <c r="S14" i="12" l="1"/>
  <c r="R39" i="12"/>
  <c r="X22" i="12"/>
  <c r="X24" i="12" s="1"/>
  <c r="X25" i="12" s="1"/>
  <c r="Y20" i="12" s="1"/>
  <c r="S16" i="12"/>
  <c r="S18" i="12" s="1"/>
  <c r="S19" i="12" s="1"/>
  <c r="S31" i="12" s="1"/>
  <c r="X22" i="11"/>
  <c r="X24" i="11" s="1"/>
  <c r="X25" i="11" s="1"/>
  <c r="Y20" i="11" s="1"/>
  <c r="O16" i="11"/>
  <c r="O18" i="11" s="1"/>
  <c r="O19" i="11" s="1"/>
  <c r="T14" i="12" l="1"/>
  <c r="T16" i="12" s="1"/>
  <c r="T18" i="12" s="1"/>
  <c r="T19" i="12" s="1"/>
  <c r="T31" i="12" s="1"/>
  <c r="S39" i="12"/>
  <c r="O31" i="11"/>
  <c r="O39" i="11"/>
  <c r="R48" i="12"/>
  <c r="R53" i="12" s="1"/>
  <c r="Y22" i="12"/>
  <c r="Y24" i="12" s="1"/>
  <c r="Y25" i="12" s="1"/>
  <c r="Z20" i="12" s="1"/>
  <c r="Z22" i="12" s="1"/>
  <c r="Z24" i="12" s="1"/>
  <c r="Z25" i="12" s="1"/>
  <c r="AA25" i="12" s="1"/>
  <c r="O48" i="11"/>
  <c r="O53" i="11" s="1"/>
  <c r="Y22" i="11"/>
  <c r="Y24" i="11" s="1"/>
  <c r="Y25" i="11" s="1"/>
  <c r="Z20" i="11" s="1"/>
  <c r="Z22" i="11" s="1"/>
  <c r="Z24" i="11" s="1"/>
  <c r="Z25" i="11" s="1"/>
  <c r="AA25" i="11" s="1"/>
  <c r="P14" i="11"/>
  <c r="D18" i="17" l="1"/>
  <c r="C15" i="18"/>
  <c r="H18" i="17"/>
  <c r="C16" i="18"/>
  <c r="U14" i="12"/>
  <c r="U16" i="12" s="1"/>
  <c r="U18" i="12" s="1"/>
  <c r="U19" i="12" s="1"/>
  <c r="T39" i="12"/>
  <c r="S48" i="12"/>
  <c r="S53" i="12" s="1"/>
  <c r="P16" i="11"/>
  <c r="P18" i="11" s="1"/>
  <c r="P19" i="11" s="1"/>
  <c r="C18" i="18" l="1"/>
  <c r="U39" i="12"/>
  <c r="U31" i="12"/>
  <c r="P31" i="11"/>
  <c r="P39" i="11"/>
  <c r="T48" i="12"/>
  <c r="T53" i="12" s="1"/>
  <c r="P48" i="11"/>
  <c r="P53" i="11" s="1"/>
  <c r="V14" i="12"/>
  <c r="Q14" i="11"/>
  <c r="C74" i="18" l="1"/>
  <c r="C106" i="18"/>
  <c r="U48" i="12"/>
  <c r="U53" i="12" s="1"/>
  <c r="V16" i="12"/>
  <c r="V18" i="12" s="1"/>
  <c r="V19" i="12" s="1"/>
  <c r="V31" i="12" s="1"/>
  <c r="Q16" i="11"/>
  <c r="Q18" i="11" s="1"/>
  <c r="Q19" i="11" s="1"/>
  <c r="W14" i="12" l="1"/>
  <c r="V39" i="12"/>
  <c r="Q31" i="11"/>
  <c r="Q39" i="11"/>
  <c r="W16" i="12"/>
  <c r="W18" i="12" s="1"/>
  <c r="W19" i="12" s="1"/>
  <c r="Q48" i="11"/>
  <c r="Q53" i="11" s="1"/>
  <c r="R14" i="11"/>
  <c r="W39" i="12" l="1"/>
  <c r="W31" i="12"/>
  <c r="V48" i="12"/>
  <c r="V53" i="12" s="1"/>
  <c r="X14" i="12"/>
  <c r="R16" i="11"/>
  <c r="R18" i="11" s="1"/>
  <c r="R19" i="11" s="1"/>
  <c r="R31" i="11" l="1"/>
  <c r="R39" i="11"/>
  <c r="W48" i="12"/>
  <c r="W53" i="12" s="1"/>
  <c r="X16" i="12"/>
  <c r="X18" i="12" s="1"/>
  <c r="X19" i="12" s="1"/>
  <c r="X31" i="12" s="1"/>
  <c r="R48" i="11"/>
  <c r="R53" i="11" s="1"/>
  <c r="S14" i="11"/>
  <c r="Y14" i="12" l="1"/>
  <c r="Y16" i="12" s="1"/>
  <c r="Y18" i="12" s="1"/>
  <c r="Y19" i="12" s="1"/>
  <c r="X39" i="12"/>
  <c r="S16" i="11"/>
  <c r="S18" i="11" s="1"/>
  <c r="S19" i="11" s="1"/>
  <c r="Y39" i="12" l="1"/>
  <c r="Y31" i="12"/>
  <c r="S31" i="11"/>
  <c r="S33" i="11" s="1"/>
  <c r="S39" i="11"/>
  <c r="S40" i="11" s="1"/>
  <c r="X48" i="12"/>
  <c r="X53" i="12" s="1"/>
  <c r="Z14" i="12"/>
  <c r="Z16" i="12" s="1"/>
  <c r="Z18" i="12" s="1"/>
  <c r="Z19" i="12" s="1"/>
  <c r="AA19" i="12" s="1"/>
  <c r="T14" i="11"/>
  <c r="H17" i="17" l="1"/>
  <c r="C5" i="18"/>
  <c r="Z39" i="12"/>
  <c r="Z31" i="12"/>
  <c r="Y48" i="12"/>
  <c r="Y53" i="12" s="1"/>
  <c r="Z48" i="12"/>
  <c r="Z53" i="12" s="1"/>
  <c r="S48" i="11"/>
  <c r="S53" i="11" s="1"/>
  <c r="T16" i="11"/>
  <c r="T18" i="11" s="1"/>
  <c r="T19" i="11" s="1"/>
  <c r="AA53" i="12" l="1"/>
  <c r="L6" i="5" s="1"/>
  <c r="T31" i="11"/>
  <c r="T39" i="11"/>
  <c r="T40" i="11" s="1"/>
  <c r="U14" i="11"/>
  <c r="T33" i="11" l="1"/>
  <c r="T48" i="11" s="1"/>
  <c r="T53" i="11" s="1"/>
  <c r="U16" i="11"/>
  <c r="U18" i="11" s="1"/>
  <c r="U19" i="11" s="1"/>
  <c r="U31" i="11" l="1"/>
  <c r="U33" i="11" s="1"/>
  <c r="U39" i="11"/>
  <c r="U40" i="11" s="1"/>
  <c r="V14" i="11"/>
  <c r="U48" i="11" l="1"/>
  <c r="U53" i="11" s="1"/>
  <c r="V16" i="11"/>
  <c r="V18" i="11" s="1"/>
  <c r="V19" i="11" s="1"/>
  <c r="V31" i="11" l="1"/>
  <c r="V39" i="11"/>
  <c r="V40" i="11" s="1"/>
  <c r="W14" i="11"/>
  <c r="V33" i="11" l="1"/>
  <c r="V48" i="11" s="1"/>
  <c r="V53" i="11" s="1"/>
  <c r="W16" i="11"/>
  <c r="W18" i="11" s="1"/>
  <c r="W19" i="11" s="1"/>
  <c r="W39" i="11" l="1"/>
  <c r="W40" i="11" s="1"/>
  <c r="W31" i="11"/>
  <c r="X14" i="11"/>
  <c r="W33" i="11" l="1"/>
  <c r="W48" i="11" s="1"/>
  <c r="W53" i="11" s="1"/>
  <c r="X16" i="11"/>
  <c r="X18" i="11" s="1"/>
  <c r="X19" i="11" s="1"/>
  <c r="X31" i="11" l="1"/>
  <c r="X33" i="11" s="1"/>
  <c r="X39" i="11"/>
  <c r="X40" i="11" s="1"/>
  <c r="Y14" i="11"/>
  <c r="X48" i="11" l="1"/>
  <c r="X53" i="11" s="1"/>
  <c r="Y16" i="11"/>
  <c r="Y18" i="11" s="1"/>
  <c r="Y19" i="11" s="1"/>
  <c r="Y31" i="11" l="1"/>
  <c r="Y33" i="11" s="1"/>
  <c r="Y39" i="11"/>
  <c r="Y40" i="11" s="1"/>
  <c r="Z14" i="11"/>
  <c r="Z16" i="11" s="1"/>
  <c r="Z18" i="11" s="1"/>
  <c r="Z19" i="11" s="1"/>
  <c r="AA19" i="11" s="1"/>
  <c r="D17" i="17" l="1"/>
  <c r="C4" i="18"/>
  <c r="C7" i="18" s="1"/>
  <c r="Z31" i="11"/>
  <c r="Z33" i="11" s="1"/>
  <c r="AA33" i="11" s="1"/>
  <c r="Z39" i="11"/>
  <c r="Z40" i="11" s="1"/>
  <c r="AA40" i="11" s="1"/>
  <c r="Y48" i="11"/>
  <c r="Y53" i="11" s="1"/>
  <c r="C60" i="18" l="1"/>
  <c r="C63" i="18" s="1"/>
  <c r="C66" i="18" s="1"/>
  <c r="C54" i="18" s="1"/>
  <c r="C104" i="18"/>
  <c r="C108" i="18" s="1"/>
  <c r="C109" i="18" s="1"/>
  <c r="C111" i="18" s="1"/>
  <c r="C123" i="18" s="1"/>
  <c r="C124" i="18" s="1"/>
  <c r="C51" i="18" s="1"/>
  <c r="C72" i="18"/>
  <c r="C78" i="18" s="1"/>
  <c r="C79" i="18" s="1"/>
  <c r="C81" i="18" s="1"/>
  <c r="C96" i="18" s="1"/>
  <c r="C97" i="18" s="1"/>
  <c r="C50" i="18" s="1"/>
  <c r="D20" i="17"/>
  <c r="Z48" i="11"/>
  <c r="Z53" i="11" s="1"/>
  <c r="AA53" i="11" s="1"/>
  <c r="L5" i="5" s="1"/>
  <c r="C53" i="18" l="1"/>
  <c r="C55" i="18" s="1"/>
  <c r="G4" i="18" s="1"/>
  <c r="D39" i="1"/>
  <c r="E39" i="1"/>
  <c r="F39" i="1"/>
  <c r="G39" i="1"/>
  <c r="H39" i="1"/>
  <c r="I39" i="1"/>
  <c r="J39" i="1"/>
  <c r="K39" i="1"/>
  <c r="L39" i="1"/>
  <c r="M39" i="1"/>
  <c r="N39" i="1"/>
  <c r="O39" i="1"/>
  <c r="P39" i="1"/>
  <c r="Q39" i="1"/>
  <c r="R39" i="1"/>
  <c r="S39" i="1"/>
  <c r="T39" i="1"/>
  <c r="U39" i="1"/>
  <c r="V39" i="1"/>
  <c r="W39" i="1"/>
  <c r="X39" i="1"/>
  <c r="Y39" i="1"/>
  <c r="Z39" i="1"/>
  <c r="C39" i="1"/>
  <c r="D37" i="1"/>
  <c r="D38" i="1" s="1"/>
  <c r="E37" i="1"/>
  <c r="E38" i="1" s="1"/>
  <c r="F37" i="1"/>
  <c r="F38" i="1" s="1"/>
  <c r="G37" i="1"/>
  <c r="G38" i="1" s="1"/>
  <c r="H37" i="1"/>
  <c r="H38" i="1" s="1"/>
  <c r="I37" i="1"/>
  <c r="I38" i="1" s="1"/>
  <c r="J37" i="1"/>
  <c r="J38" i="1" s="1"/>
  <c r="K37" i="1"/>
  <c r="K38" i="1" s="1"/>
  <c r="L37" i="1"/>
  <c r="L38" i="1" s="1"/>
  <c r="M37" i="1"/>
  <c r="M38" i="1" s="1"/>
  <c r="N37" i="1"/>
  <c r="N38" i="1" s="1"/>
  <c r="O37" i="1"/>
  <c r="O38" i="1" s="1"/>
  <c r="P37" i="1"/>
  <c r="P38" i="1" s="1"/>
  <c r="Q37" i="1"/>
  <c r="Q38" i="1" s="1"/>
  <c r="R37" i="1"/>
  <c r="R38" i="1" s="1"/>
  <c r="S37" i="1"/>
  <c r="S38" i="1" s="1"/>
  <c r="T37" i="1"/>
  <c r="T38" i="1" s="1"/>
  <c r="U37" i="1"/>
  <c r="U38" i="1" s="1"/>
  <c r="V37" i="1"/>
  <c r="V38" i="1" s="1"/>
  <c r="W37" i="1"/>
  <c r="W38" i="1" s="1"/>
  <c r="X37" i="1"/>
  <c r="X38" i="1" s="1"/>
  <c r="Y37" i="1"/>
  <c r="Y38" i="1" s="1"/>
  <c r="Z37" i="1"/>
  <c r="Z38" i="1" s="1"/>
  <c r="C37" i="1"/>
  <c r="C38" i="1" s="1"/>
  <c r="D29" i="1"/>
  <c r="D30" i="1" s="1"/>
  <c r="E29" i="1"/>
  <c r="E30" i="1" s="1"/>
  <c r="F29" i="1"/>
  <c r="F30" i="1" s="1"/>
  <c r="G29" i="1"/>
  <c r="G30" i="1" s="1"/>
  <c r="H29" i="1"/>
  <c r="H30" i="1" s="1"/>
  <c r="I29" i="1"/>
  <c r="I30" i="1" s="1"/>
  <c r="J29" i="1"/>
  <c r="J30" i="1" s="1"/>
  <c r="K29" i="1"/>
  <c r="K30" i="1" s="1"/>
  <c r="L29" i="1"/>
  <c r="L30" i="1" s="1"/>
  <c r="M29" i="1"/>
  <c r="M30" i="1" s="1"/>
  <c r="N29" i="1"/>
  <c r="N30" i="1" s="1"/>
  <c r="O29" i="1"/>
  <c r="O30" i="1" s="1"/>
  <c r="P29" i="1"/>
  <c r="P30" i="1" s="1"/>
  <c r="Q29" i="1"/>
  <c r="Q30" i="1" s="1"/>
  <c r="R29" i="1"/>
  <c r="R30" i="1" s="1"/>
  <c r="S29" i="1"/>
  <c r="S30" i="1" s="1"/>
  <c r="T29" i="1"/>
  <c r="T30" i="1" s="1"/>
  <c r="U29" i="1"/>
  <c r="U30" i="1" s="1"/>
  <c r="V29" i="1"/>
  <c r="V30" i="1" s="1"/>
  <c r="W29" i="1"/>
  <c r="W30" i="1" s="1"/>
  <c r="X29" i="1"/>
  <c r="X30" i="1" s="1"/>
  <c r="Y29" i="1"/>
  <c r="Y30" i="1" s="1"/>
  <c r="Z29" i="1"/>
  <c r="Z30" i="1" s="1"/>
  <c r="D31" i="1"/>
  <c r="E31" i="1"/>
  <c r="F31" i="1"/>
  <c r="G31" i="1"/>
  <c r="H31" i="1"/>
  <c r="I31" i="1"/>
  <c r="J31" i="1"/>
  <c r="K31" i="1"/>
  <c r="L31" i="1"/>
  <c r="M31" i="1"/>
  <c r="N31" i="1"/>
  <c r="O31" i="1"/>
  <c r="P31" i="1"/>
  <c r="Q31" i="1"/>
  <c r="R31" i="1"/>
  <c r="S31" i="1"/>
  <c r="T31" i="1"/>
  <c r="U31" i="1"/>
  <c r="V31" i="1"/>
  <c r="W31" i="1"/>
  <c r="X31" i="1"/>
  <c r="Y31" i="1"/>
  <c r="Z31" i="1"/>
  <c r="D32" i="1"/>
  <c r="E32" i="1"/>
  <c r="F32" i="1"/>
  <c r="G32" i="1"/>
  <c r="H32" i="1"/>
  <c r="I32" i="1"/>
  <c r="J32" i="1"/>
  <c r="K32" i="1"/>
  <c r="L32" i="1"/>
  <c r="M32" i="1"/>
  <c r="N32" i="1"/>
  <c r="O32" i="1"/>
  <c r="P32" i="1"/>
  <c r="Q32" i="1"/>
  <c r="R32" i="1"/>
  <c r="S32" i="1"/>
  <c r="T32" i="1"/>
  <c r="U32" i="1"/>
  <c r="V32" i="1"/>
  <c r="W32" i="1"/>
  <c r="X32" i="1"/>
  <c r="Y32" i="1"/>
  <c r="Z32" i="1"/>
  <c r="C32" i="1"/>
  <c r="C31" i="1"/>
  <c r="C29" i="1"/>
  <c r="C30" i="1" s="1"/>
  <c r="C22" i="1"/>
  <c r="C16" i="1"/>
  <c r="D41" i="1"/>
  <c r="E41" i="1"/>
  <c r="F41" i="1"/>
  <c r="G41" i="1"/>
  <c r="H41" i="1"/>
  <c r="I41" i="1"/>
  <c r="J41" i="1"/>
  <c r="K41" i="1"/>
  <c r="L41" i="1"/>
  <c r="M41" i="1"/>
  <c r="N41" i="1"/>
  <c r="O41" i="1"/>
  <c r="P41" i="1"/>
  <c r="Q41" i="1"/>
  <c r="R41" i="1"/>
  <c r="S41" i="1"/>
  <c r="T41" i="1"/>
  <c r="U41" i="1"/>
  <c r="V41" i="1"/>
  <c r="W41" i="1"/>
  <c r="X41" i="1"/>
  <c r="Y41" i="1"/>
  <c r="Z41" i="1"/>
  <c r="D42" i="1"/>
  <c r="E42" i="1"/>
  <c r="F42" i="1"/>
  <c r="G42" i="1"/>
  <c r="H42" i="1"/>
  <c r="I42" i="1"/>
  <c r="J42" i="1"/>
  <c r="K42" i="1"/>
  <c r="L42" i="1"/>
  <c r="M42" i="1"/>
  <c r="N42" i="1"/>
  <c r="O42" i="1"/>
  <c r="P42" i="1"/>
  <c r="Q42" i="1"/>
  <c r="R42" i="1"/>
  <c r="S42" i="1"/>
  <c r="T42" i="1"/>
  <c r="U42" i="1"/>
  <c r="V42" i="1"/>
  <c r="W42" i="1"/>
  <c r="X42" i="1"/>
  <c r="Y42" i="1"/>
  <c r="Z42" i="1"/>
  <c r="D43" i="1"/>
  <c r="E43" i="1"/>
  <c r="F43" i="1"/>
  <c r="G43" i="1"/>
  <c r="H43" i="1"/>
  <c r="I43" i="1"/>
  <c r="J43" i="1"/>
  <c r="K43" i="1"/>
  <c r="L43" i="1"/>
  <c r="M43" i="1"/>
  <c r="N43" i="1"/>
  <c r="O43" i="1"/>
  <c r="P43" i="1"/>
  <c r="Q43" i="1"/>
  <c r="R43" i="1"/>
  <c r="S43" i="1"/>
  <c r="T43" i="1"/>
  <c r="U43" i="1"/>
  <c r="V43" i="1"/>
  <c r="W43" i="1"/>
  <c r="X43" i="1"/>
  <c r="Y43" i="1"/>
  <c r="Z43" i="1"/>
  <c r="C46" i="1"/>
  <c r="C43" i="1"/>
  <c r="C42" i="1"/>
  <c r="C41" i="1"/>
  <c r="D46" i="1"/>
  <c r="E46" i="1"/>
  <c r="F46" i="1"/>
  <c r="G46" i="1"/>
  <c r="H46" i="1"/>
  <c r="I46" i="1"/>
  <c r="J46" i="1"/>
  <c r="K46" i="1"/>
  <c r="L46" i="1"/>
  <c r="M46" i="1"/>
  <c r="N46" i="1"/>
  <c r="O46" i="1"/>
  <c r="P46" i="1"/>
  <c r="Q46" i="1"/>
  <c r="R46" i="1"/>
  <c r="S46" i="1"/>
  <c r="T46" i="1"/>
  <c r="U46" i="1"/>
  <c r="V46" i="1"/>
  <c r="W46" i="1"/>
  <c r="X46" i="1"/>
  <c r="Y46" i="1"/>
  <c r="Z46" i="1"/>
  <c r="D12" i="1"/>
  <c r="E12" i="1"/>
  <c r="F12" i="1"/>
  <c r="G12" i="1"/>
  <c r="H12" i="1"/>
  <c r="I12" i="1"/>
  <c r="J12" i="1"/>
  <c r="K12" i="1"/>
  <c r="L12" i="1"/>
  <c r="M12" i="1"/>
  <c r="N12" i="1"/>
  <c r="O12" i="1"/>
  <c r="P12" i="1"/>
  <c r="Q12" i="1"/>
  <c r="R12" i="1"/>
  <c r="S12" i="1"/>
  <c r="T12" i="1"/>
  <c r="U12" i="1"/>
  <c r="V12" i="1"/>
  <c r="W12" i="1"/>
  <c r="X12" i="1"/>
  <c r="Y12" i="1"/>
  <c r="Z12" i="1"/>
  <c r="C12" i="1"/>
  <c r="D4" i="1"/>
  <c r="E4" i="1"/>
  <c r="F4" i="1"/>
  <c r="G4" i="1"/>
  <c r="H4" i="1"/>
  <c r="I4" i="1"/>
  <c r="J4" i="1"/>
  <c r="K4" i="1"/>
  <c r="L4" i="1"/>
  <c r="M4" i="1"/>
  <c r="N4" i="1"/>
  <c r="O4" i="1"/>
  <c r="P4" i="1"/>
  <c r="Q4" i="1"/>
  <c r="R4" i="1"/>
  <c r="S4" i="1"/>
  <c r="T4" i="1"/>
  <c r="U4" i="1"/>
  <c r="V4" i="1"/>
  <c r="W4" i="1"/>
  <c r="X4" i="1"/>
  <c r="Y4" i="1"/>
  <c r="Z4" i="1"/>
  <c r="C4" i="1"/>
  <c r="P50" i="1" l="1"/>
  <c r="P49" i="1"/>
  <c r="P10" i="1"/>
  <c r="P11" i="1" s="1"/>
  <c r="D50" i="1"/>
  <c r="D49" i="1"/>
  <c r="D10" i="1"/>
  <c r="D11" i="1" s="1"/>
  <c r="C50" i="1"/>
  <c r="C10" i="1"/>
  <c r="C11" i="1" s="1"/>
  <c r="C49" i="1"/>
  <c r="W50" i="1"/>
  <c r="W49" i="1"/>
  <c r="W10" i="1"/>
  <c r="W11" i="1" s="1"/>
  <c r="S50" i="1"/>
  <c r="S49" i="1"/>
  <c r="S10" i="1"/>
  <c r="S11" i="1" s="1"/>
  <c r="O50" i="1"/>
  <c r="O49" i="1"/>
  <c r="O10" i="1"/>
  <c r="O11" i="1" s="1"/>
  <c r="K50" i="1"/>
  <c r="K49" i="1"/>
  <c r="K10" i="1"/>
  <c r="K11" i="1" s="1"/>
  <c r="G50" i="1"/>
  <c r="G10" i="1"/>
  <c r="G11" i="1" s="1"/>
  <c r="G49" i="1"/>
  <c r="T50" i="1"/>
  <c r="T49" i="1"/>
  <c r="T10" i="1"/>
  <c r="T11" i="1" s="1"/>
  <c r="H50" i="1"/>
  <c r="H49" i="1"/>
  <c r="H10" i="1"/>
  <c r="H11" i="1" s="1"/>
  <c r="Z50" i="1"/>
  <c r="Z49" i="1"/>
  <c r="Z10" i="1"/>
  <c r="Z11" i="1" s="1"/>
  <c r="V50" i="1"/>
  <c r="V49" i="1"/>
  <c r="V10" i="1"/>
  <c r="V11" i="1" s="1"/>
  <c r="R50" i="1"/>
  <c r="R49" i="1"/>
  <c r="R10" i="1"/>
  <c r="R11" i="1" s="1"/>
  <c r="N50" i="1"/>
  <c r="N49" i="1"/>
  <c r="N10" i="1"/>
  <c r="N11" i="1" s="1"/>
  <c r="J50" i="1"/>
  <c r="J49" i="1"/>
  <c r="J10" i="1"/>
  <c r="J11" i="1" s="1"/>
  <c r="F50" i="1"/>
  <c r="F49" i="1"/>
  <c r="F10" i="1"/>
  <c r="F11" i="1" s="1"/>
  <c r="X50" i="1"/>
  <c r="X49" i="1"/>
  <c r="X10" i="1"/>
  <c r="X11" i="1" s="1"/>
  <c r="L50" i="1"/>
  <c r="L49" i="1"/>
  <c r="L10" i="1"/>
  <c r="L11" i="1" s="1"/>
  <c r="Y49" i="1"/>
  <c r="Y10" i="1"/>
  <c r="Y11" i="1" s="1"/>
  <c r="Y50" i="1"/>
  <c r="U50" i="1"/>
  <c r="U49" i="1"/>
  <c r="U10" i="1"/>
  <c r="U11" i="1" s="1"/>
  <c r="Q50" i="1"/>
  <c r="Q10" i="1"/>
  <c r="Q11" i="1" s="1"/>
  <c r="Q49" i="1"/>
  <c r="M49" i="1"/>
  <c r="M50" i="1"/>
  <c r="M10" i="1"/>
  <c r="M11" i="1" s="1"/>
  <c r="I49" i="1"/>
  <c r="I10" i="1"/>
  <c r="I11" i="1" s="1"/>
  <c r="I50" i="1"/>
  <c r="E50" i="1"/>
  <c r="E49" i="1"/>
  <c r="E10" i="1"/>
  <c r="E11" i="1" s="1"/>
  <c r="X45" i="1"/>
  <c r="P45" i="1"/>
  <c r="H45" i="1"/>
  <c r="C45" i="1"/>
  <c r="W45" i="1"/>
  <c r="S45" i="1"/>
  <c r="O45" i="1"/>
  <c r="K45" i="1"/>
  <c r="G45" i="1"/>
  <c r="T45" i="1"/>
  <c r="L45" i="1"/>
  <c r="D45" i="1"/>
  <c r="Z45" i="1"/>
  <c r="V45" i="1"/>
  <c r="R45" i="1"/>
  <c r="N45" i="1"/>
  <c r="J45" i="1"/>
  <c r="F45" i="1"/>
  <c r="Y45" i="1"/>
  <c r="U45" i="1"/>
  <c r="Q45" i="1"/>
  <c r="M45" i="1"/>
  <c r="I45" i="1"/>
  <c r="E45" i="1"/>
  <c r="R8" i="1"/>
  <c r="F8" i="1"/>
  <c r="Y8" i="1"/>
  <c r="U8" i="1"/>
  <c r="Q8" i="1"/>
  <c r="M8" i="1"/>
  <c r="I8" i="1"/>
  <c r="E8" i="1"/>
  <c r="X8" i="1"/>
  <c r="T8" i="1"/>
  <c r="P8" i="1"/>
  <c r="L8" i="1"/>
  <c r="H8" i="1"/>
  <c r="D8" i="1"/>
  <c r="J8" i="1"/>
  <c r="O8" i="1"/>
  <c r="G8" i="1"/>
  <c r="AA11" i="1" l="1"/>
  <c r="C51" i="1"/>
  <c r="W8" i="1"/>
  <c r="O21" i="1"/>
  <c r="O23" i="1" s="1"/>
  <c r="D21" i="1"/>
  <c r="D23" i="1" s="1"/>
  <c r="Y21" i="1"/>
  <c r="Y23" i="1" s="1"/>
  <c r="X21" i="1"/>
  <c r="X23" i="1" s="1"/>
  <c r="M21" i="1"/>
  <c r="M23" i="1" s="1"/>
  <c r="J21" i="1"/>
  <c r="J23" i="1" s="1"/>
  <c r="L21" i="1"/>
  <c r="L23" i="1" s="1"/>
  <c r="Q21" i="1"/>
  <c r="Q23" i="1" s="1"/>
  <c r="F21" i="1"/>
  <c r="F23" i="1" s="1"/>
  <c r="T21" i="1"/>
  <c r="T23" i="1" s="1"/>
  <c r="I21" i="1"/>
  <c r="I23" i="1" s="1"/>
  <c r="W21" i="1"/>
  <c r="W23" i="1" s="1"/>
  <c r="H21" i="1"/>
  <c r="H23" i="1" s="1"/>
  <c r="G21" i="1"/>
  <c r="G23" i="1" s="1"/>
  <c r="P21" i="1"/>
  <c r="P23" i="1" s="1"/>
  <c r="E21" i="1"/>
  <c r="E23" i="1" s="1"/>
  <c r="U21" i="1"/>
  <c r="U23" i="1" s="1"/>
  <c r="R21" i="1"/>
  <c r="R23" i="1" s="1"/>
  <c r="X51" i="1"/>
  <c r="X26" i="1" s="1"/>
  <c r="K51" i="1"/>
  <c r="G51" i="1"/>
  <c r="G26" i="1" s="1"/>
  <c r="D51" i="1"/>
  <c r="D26" i="1" s="1"/>
  <c r="X15" i="1"/>
  <c r="X17" i="1" s="1"/>
  <c r="T51" i="1"/>
  <c r="T26" i="1" s="1"/>
  <c r="H51" i="1"/>
  <c r="H26" i="1" s="1"/>
  <c r="P51" i="1"/>
  <c r="P26" i="1" s="1"/>
  <c r="L51" i="1"/>
  <c r="L26" i="1" s="1"/>
  <c r="S51" i="1"/>
  <c r="W51" i="1"/>
  <c r="W26" i="1" s="1"/>
  <c r="O51" i="1"/>
  <c r="O26" i="1" s="1"/>
  <c r="U51" i="1"/>
  <c r="U26" i="1" s="1"/>
  <c r="S8" i="1"/>
  <c r="I51" i="1"/>
  <c r="I26" i="1" s="1"/>
  <c r="R51" i="1"/>
  <c r="R26" i="1" s="1"/>
  <c r="M51" i="1"/>
  <c r="M26" i="1" s="1"/>
  <c r="F51" i="1"/>
  <c r="F26" i="1" s="1"/>
  <c r="V51" i="1"/>
  <c r="E51" i="1"/>
  <c r="E26" i="1" s="1"/>
  <c r="N51" i="1"/>
  <c r="Y51" i="1"/>
  <c r="Y26" i="1" s="1"/>
  <c r="Q51" i="1"/>
  <c r="Q26" i="1" s="1"/>
  <c r="J51" i="1"/>
  <c r="J26" i="1" s="1"/>
  <c r="Z51" i="1"/>
  <c r="V8" i="1"/>
  <c r="N8" i="1"/>
  <c r="K8" i="1"/>
  <c r="C8" i="1"/>
  <c r="Z8" i="1"/>
  <c r="AA51" i="1" l="1"/>
  <c r="D7" i="17"/>
  <c r="B41" i="18"/>
  <c r="B44" i="18" s="1"/>
  <c r="Z26" i="1"/>
  <c r="V26" i="1"/>
  <c r="AA8" i="1"/>
  <c r="S26" i="1"/>
  <c r="K26" i="1"/>
  <c r="N26" i="1"/>
  <c r="C26" i="1"/>
  <c r="L15" i="1"/>
  <c r="L17" i="1" s="1"/>
  <c r="R34" i="1"/>
  <c r="R35" i="1" s="1"/>
  <c r="R27" i="1"/>
  <c r="R28" i="1"/>
  <c r="O34" i="1"/>
  <c r="O28" i="1"/>
  <c r="O27" i="1"/>
  <c r="P34" i="1"/>
  <c r="P28" i="1"/>
  <c r="P27" i="1"/>
  <c r="Q34" i="1"/>
  <c r="Q27" i="1"/>
  <c r="Q28" i="1"/>
  <c r="I34" i="1"/>
  <c r="I35" i="1" s="1"/>
  <c r="I27" i="1"/>
  <c r="I28" i="1"/>
  <c r="Y34" i="1"/>
  <c r="Y27" i="1"/>
  <c r="Y28" i="1"/>
  <c r="T34" i="1"/>
  <c r="T28" i="1"/>
  <c r="T27" i="1"/>
  <c r="J34" i="1"/>
  <c r="J28" i="1"/>
  <c r="J27" i="1"/>
  <c r="M34" i="1"/>
  <c r="M27" i="1"/>
  <c r="M28" i="1"/>
  <c r="U34" i="1"/>
  <c r="U27" i="1"/>
  <c r="U28" i="1"/>
  <c r="X34" i="1"/>
  <c r="X28" i="1"/>
  <c r="X27" i="1"/>
  <c r="F34" i="1"/>
  <c r="F28" i="1"/>
  <c r="F27" i="1"/>
  <c r="E34" i="1"/>
  <c r="E28" i="1"/>
  <c r="E27" i="1"/>
  <c r="H34" i="1"/>
  <c r="H27" i="1"/>
  <c r="H28" i="1"/>
  <c r="Q35" i="1"/>
  <c r="V21" i="1"/>
  <c r="V23" i="1" s="1"/>
  <c r="D15" i="1"/>
  <c r="D17" i="1" s="1"/>
  <c r="K21" i="1"/>
  <c r="K23" i="1" s="1"/>
  <c r="G15" i="1"/>
  <c r="G17" i="1" s="1"/>
  <c r="Z21" i="1"/>
  <c r="Z23" i="1" s="1"/>
  <c r="C21" i="1"/>
  <c r="C23" i="1" s="1"/>
  <c r="C24" i="1" s="1"/>
  <c r="C25" i="1" s="1"/>
  <c r="S21" i="1"/>
  <c r="S23" i="1" s="1"/>
  <c r="N21" i="1"/>
  <c r="N23" i="1" s="1"/>
  <c r="N15" i="1"/>
  <c r="N17" i="1" s="1"/>
  <c r="Z15" i="1"/>
  <c r="Z17" i="1" s="1"/>
  <c r="V15" i="1"/>
  <c r="V17" i="1" s="1"/>
  <c r="S15" i="1"/>
  <c r="S17" i="1" s="1"/>
  <c r="K15" i="1"/>
  <c r="K17" i="1" s="1"/>
  <c r="U15" i="1"/>
  <c r="U17" i="1" s="1"/>
  <c r="W15" i="1"/>
  <c r="W17" i="1" s="1"/>
  <c r="P15" i="1"/>
  <c r="P17" i="1" s="1"/>
  <c r="Q15" i="1"/>
  <c r="Q17" i="1" s="1"/>
  <c r="R15" i="1"/>
  <c r="R17" i="1" s="1"/>
  <c r="O15" i="1"/>
  <c r="O17" i="1" s="1"/>
  <c r="Y15" i="1"/>
  <c r="Y17" i="1" s="1"/>
  <c r="T15" i="1"/>
  <c r="T17" i="1" s="1"/>
  <c r="J15" i="1"/>
  <c r="J17" i="1" s="1"/>
  <c r="M15" i="1"/>
  <c r="M17" i="1" s="1"/>
  <c r="E15" i="1"/>
  <c r="E17" i="1" s="1"/>
  <c r="H15" i="1"/>
  <c r="H17" i="1" s="1"/>
  <c r="F15" i="1"/>
  <c r="F17" i="1" s="1"/>
  <c r="I15" i="1"/>
  <c r="I17" i="1" s="1"/>
  <c r="C15" i="1"/>
  <c r="C17" i="1" s="1"/>
  <c r="D3" i="17" l="1"/>
  <c r="M4" i="5"/>
  <c r="M8" i="5" s="1"/>
  <c r="Q33" i="1"/>
  <c r="P33" i="1"/>
  <c r="D9" i="17"/>
  <c r="X33" i="1"/>
  <c r="T33" i="1"/>
  <c r="M33" i="1"/>
  <c r="I33" i="1"/>
  <c r="R33" i="1"/>
  <c r="O33" i="1"/>
  <c r="I36" i="1"/>
  <c r="R36" i="1"/>
  <c r="E33" i="1"/>
  <c r="Q40" i="1"/>
  <c r="H33" i="1"/>
  <c r="U33" i="1"/>
  <c r="Y33" i="1"/>
  <c r="I40" i="1"/>
  <c r="R40" i="1"/>
  <c r="F33" i="1"/>
  <c r="J33" i="1"/>
  <c r="M35" i="1"/>
  <c r="M40" i="1" s="1"/>
  <c r="F35" i="1"/>
  <c r="F40" i="1" s="1"/>
  <c r="J35" i="1"/>
  <c r="J40" i="1" s="1"/>
  <c r="Q36" i="1"/>
  <c r="E36" i="1"/>
  <c r="M36" i="1"/>
  <c r="H35" i="1"/>
  <c r="H40" i="1" s="1"/>
  <c r="U36" i="1"/>
  <c r="Y36" i="1"/>
  <c r="O35" i="1"/>
  <c r="O40" i="1" s="1"/>
  <c r="C18" i="1"/>
  <c r="C19" i="1" s="1"/>
  <c r="X35" i="1"/>
  <c r="X40" i="1" s="1"/>
  <c r="T36" i="1"/>
  <c r="P36" i="1"/>
  <c r="F36" i="1"/>
  <c r="J36" i="1"/>
  <c r="E35" i="1"/>
  <c r="E40" i="1" s="1"/>
  <c r="T35" i="1"/>
  <c r="T40" i="1" s="1"/>
  <c r="U35" i="1"/>
  <c r="U40" i="1" s="1"/>
  <c r="Y35" i="1"/>
  <c r="Y40" i="1" s="1"/>
  <c r="X36" i="1"/>
  <c r="P35" i="1"/>
  <c r="P40" i="1" s="1"/>
  <c r="N34" i="1"/>
  <c r="N27" i="1"/>
  <c r="N28" i="1"/>
  <c r="W28" i="1"/>
  <c r="W27" i="1"/>
  <c r="L34" i="1"/>
  <c r="L28" i="1"/>
  <c r="L27" i="1"/>
  <c r="H36" i="1"/>
  <c r="O36" i="1"/>
  <c r="K28" i="1"/>
  <c r="K27" i="1"/>
  <c r="V34" i="1"/>
  <c r="V28" i="1"/>
  <c r="V27" i="1"/>
  <c r="Z34" i="1"/>
  <c r="Z27" i="1"/>
  <c r="Z28" i="1"/>
  <c r="S28" i="1"/>
  <c r="S27" i="1"/>
  <c r="G34" i="1"/>
  <c r="G28" i="1"/>
  <c r="G27" i="1"/>
  <c r="D34" i="1"/>
  <c r="D27" i="1"/>
  <c r="D28" i="1"/>
  <c r="C34" i="1"/>
  <c r="C28" i="1"/>
  <c r="C27" i="1"/>
  <c r="D20" i="1"/>
  <c r="K34" i="1"/>
  <c r="S34" i="1"/>
  <c r="W34" i="1"/>
  <c r="D10" i="17" l="1"/>
  <c r="B23" i="18"/>
  <c r="B26" i="18" s="1"/>
  <c r="B32" i="18" s="1"/>
  <c r="B45" i="18" s="1"/>
  <c r="D14" i="1"/>
  <c r="D16" i="1" s="1"/>
  <c r="D18" i="1" s="1"/>
  <c r="D19" i="1" s="1"/>
  <c r="C33" i="1"/>
  <c r="W33" i="1"/>
  <c r="D33" i="1"/>
  <c r="S33" i="1"/>
  <c r="K33" i="1"/>
  <c r="L33" i="1"/>
  <c r="Z33" i="1"/>
  <c r="N33" i="1"/>
  <c r="G33" i="1"/>
  <c r="V33" i="1"/>
  <c r="G36" i="1"/>
  <c r="V36" i="1"/>
  <c r="N36" i="1"/>
  <c r="D35" i="1"/>
  <c r="D40" i="1" s="1"/>
  <c r="Z35" i="1"/>
  <c r="Z40" i="1" s="1"/>
  <c r="C36" i="1"/>
  <c r="L36" i="1"/>
  <c r="L35" i="1"/>
  <c r="L40" i="1" s="1"/>
  <c r="G35" i="1"/>
  <c r="G40" i="1" s="1"/>
  <c r="N35" i="1"/>
  <c r="N40" i="1" s="1"/>
  <c r="V35" i="1"/>
  <c r="V40" i="1" s="1"/>
  <c r="Z36" i="1"/>
  <c r="D36" i="1"/>
  <c r="C35" i="1"/>
  <c r="C40" i="1" s="1"/>
  <c r="D22" i="1"/>
  <c r="D24" i="1" s="1"/>
  <c r="D25" i="1" s="1"/>
  <c r="K36" i="1"/>
  <c r="K35" i="1"/>
  <c r="K40" i="1" s="1"/>
  <c r="W36" i="1"/>
  <c r="W35" i="1"/>
  <c r="W40" i="1" s="1"/>
  <c r="S36" i="1"/>
  <c r="S35" i="1"/>
  <c r="S40" i="1" s="1"/>
  <c r="B86" i="18" l="1"/>
  <c r="B116" i="18"/>
  <c r="B117" i="18" s="1"/>
  <c r="B122" i="18" s="1"/>
  <c r="F71" i="18"/>
  <c r="F73" i="18" s="1"/>
  <c r="F78" i="18" s="1"/>
  <c r="F79" i="18" s="1"/>
  <c r="E14" i="1"/>
  <c r="E16" i="1" s="1"/>
  <c r="E18" i="1" s="1"/>
  <c r="E19" i="1" s="1"/>
  <c r="F14" i="1" s="1"/>
  <c r="AA33" i="1"/>
  <c r="AA40" i="1"/>
  <c r="C48" i="1"/>
  <c r="C53" i="1" s="1"/>
  <c r="E20" i="1"/>
  <c r="E22" i="1" s="1"/>
  <c r="E24" i="1" s="1"/>
  <c r="E25" i="1" s="1"/>
  <c r="B89" i="18" l="1"/>
  <c r="B88" i="18"/>
  <c r="B87" i="18"/>
  <c r="B60" i="18"/>
  <c r="B63" i="18" s="1"/>
  <c r="B66" i="18" s="1"/>
  <c r="B54" i="18" s="1"/>
  <c r="F80" i="18"/>
  <c r="L15" i="5"/>
  <c r="D8" i="17"/>
  <c r="C56" i="1"/>
  <c r="C54" i="1"/>
  <c r="F16" i="1"/>
  <c r="F18" i="1" s="1"/>
  <c r="F19" i="1" s="1"/>
  <c r="G14" i="1" s="1"/>
  <c r="G16" i="1" s="1"/>
  <c r="G18" i="1" s="1"/>
  <c r="G19" i="1" s="1"/>
  <c r="E48" i="1"/>
  <c r="E53" i="1" s="1"/>
  <c r="D48" i="1"/>
  <c r="D53" i="1" s="1"/>
  <c r="D54" i="1" s="1"/>
  <c r="B90" i="18" l="1"/>
  <c r="B95" i="18" s="1"/>
  <c r="E56" i="1"/>
  <c r="E54" i="1"/>
  <c r="D56" i="1"/>
  <c r="H14" i="1"/>
  <c r="H16" i="1" s="1"/>
  <c r="H18" i="1" s="1"/>
  <c r="H19" i="1" s="1"/>
  <c r="F20" i="1"/>
  <c r="F22" i="1" s="1"/>
  <c r="F24" i="1" s="1"/>
  <c r="F25" i="1" s="1"/>
  <c r="I14" i="1" l="1"/>
  <c r="I16" i="1" s="1"/>
  <c r="I18" i="1" s="1"/>
  <c r="I19" i="1" s="1"/>
  <c r="F48" i="1"/>
  <c r="F53" i="1" s="1"/>
  <c r="F54" i="1" l="1"/>
  <c r="F56" i="1"/>
  <c r="J14" i="1"/>
  <c r="J16" i="1" s="1"/>
  <c r="J18" i="1" s="1"/>
  <c r="J19" i="1" s="1"/>
  <c r="G20" i="1"/>
  <c r="G22" i="1" s="1"/>
  <c r="G24" i="1" s="1"/>
  <c r="G25" i="1" s="1"/>
  <c r="K14" i="1" l="1"/>
  <c r="K16" i="1" s="1"/>
  <c r="K18" i="1" s="1"/>
  <c r="K19" i="1" s="1"/>
  <c r="L14" i="1" s="1"/>
  <c r="L16" i="1" s="1"/>
  <c r="L18" i="1" s="1"/>
  <c r="L19" i="1" s="1"/>
  <c r="G48" i="1"/>
  <c r="G53" i="1" s="1"/>
  <c r="G54" i="1" l="1"/>
  <c r="G56" i="1"/>
  <c r="H20" i="1"/>
  <c r="H22" i="1" s="1"/>
  <c r="H24" i="1" s="1"/>
  <c r="H25" i="1" s="1"/>
  <c r="M14" i="1"/>
  <c r="M16" i="1" s="1"/>
  <c r="M18" i="1" s="1"/>
  <c r="M19" i="1" s="1"/>
  <c r="H48" i="1" l="1"/>
  <c r="H53" i="1" s="1"/>
  <c r="H54" i="1" s="1"/>
  <c r="N14" i="1"/>
  <c r="N16" i="1" s="1"/>
  <c r="N18" i="1" s="1"/>
  <c r="N19" i="1" s="1"/>
  <c r="H56" i="1" l="1"/>
  <c r="I20" i="1"/>
  <c r="I22" i="1" s="1"/>
  <c r="I24" i="1" s="1"/>
  <c r="I25" i="1" s="1"/>
  <c r="O14" i="1"/>
  <c r="O16" i="1" s="1"/>
  <c r="O18" i="1" s="1"/>
  <c r="O19" i="1" s="1"/>
  <c r="I48" i="1" l="1"/>
  <c r="I53" i="1" s="1"/>
  <c r="I54" i="1" s="1"/>
  <c r="P14" i="1"/>
  <c r="P16" i="1" s="1"/>
  <c r="P18" i="1" s="1"/>
  <c r="P19" i="1" s="1"/>
  <c r="I56" i="1" l="1"/>
  <c r="J20" i="1"/>
  <c r="J22" i="1" s="1"/>
  <c r="J24" i="1" s="1"/>
  <c r="J25" i="1" s="1"/>
  <c r="Q14" i="1"/>
  <c r="Q16" i="1" s="1"/>
  <c r="Q18" i="1" s="1"/>
  <c r="Q19" i="1" s="1"/>
  <c r="J48" i="1" l="1"/>
  <c r="J53" i="1" s="1"/>
  <c r="R14" i="1"/>
  <c r="R16" i="1" s="1"/>
  <c r="R18" i="1" s="1"/>
  <c r="R19" i="1" s="1"/>
  <c r="J56" i="1" l="1"/>
  <c r="J54" i="1"/>
  <c r="K20" i="1"/>
  <c r="K22" i="1" s="1"/>
  <c r="K24" i="1" s="1"/>
  <c r="K25" i="1" s="1"/>
  <c r="S14" i="1"/>
  <c r="S16" i="1" s="1"/>
  <c r="S18" i="1" s="1"/>
  <c r="S19" i="1" s="1"/>
  <c r="K48" i="1" l="1"/>
  <c r="K53" i="1" s="1"/>
  <c r="T14" i="1"/>
  <c r="T16" i="1" s="1"/>
  <c r="T18" i="1" s="1"/>
  <c r="T19" i="1" s="1"/>
  <c r="K56" i="1" l="1"/>
  <c r="K54" i="1"/>
  <c r="L20" i="1"/>
  <c r="L22" i="1" s="1"/>
  <c r="L24" i="1" s="1"/>
  <c r="L25" i="1" s="1"/>
  <c r="U14" i="1"/>
  <c r="U16" i="1" s="1"/>
  <c r="U18" i="1" s="1"/>
  <c r="U19" i="1" s="1"/>
  <c r="L48" i="1" l="1"/>
  <c r="L53" i="1" s="1"/>
  <c r="L54" i="1" s="1"/>
  <c r="V14" i="1"/>
  <c r="V16" i="1" s="1"/>
  <c r="V18" i="1" s="1"/>
  <c r="V19" i="1" s="1"/>
  <c r="M20" i="1" l="1"/>
  <c r="M22" i="1" s="1"/>
  <c r="M24" i="1" s="1"/>
  <c r="M25" i="1" s="1"/>
  <c r="W14" i="1"/>
  <c r="W16" i="1" s="1"/>
  <c r="W18" i="1" s="1"/>
  <c r="W19" i="1" s="1"/>
  <c r="M48" i="1" l="1"/>
  <c r="M53" i="1" s="1"/>
  <c r="M54" i="1" s="1"/>
  <c r="X14" i="1"/>
  <c r="X16" i="1" s="1"/>
  <c r="X18" i="1" s="1"/>
  <c r="X19" i="1" s="1"/>
  <c r="N20" i="1" l="1"/>
  <c r="N22" i="1" s="1"/>
  <c r="N24" i="1" s="1"/>
  <c r="N25" i="1" s="1"/>
  <c r="Y14" i="1"/>
  <c r="Y16" i="1" s="1"/>
  <c r="Y18" i="1" s="1"/>
  <c r="Y19" i="1" s="1"/>
  <c r="N48" i="1" l="1"/>
  <c r="N53" i="1" s="1"/>
  <c r="N54" i="1" s="1"/>
  <c r="Z14" i="1"/>
  <c r="Z16" i="1" s="1"/>
  <c r="Z18" i="1" s="1"/>
  <c r="Z19" i="1" s="1"/>
  <c r="AA19" i="1" s="1"/>
  <c r="D5" i="17" l="1"/>
  <c r="B4" i="18"/>
  <c r="B7" i="18" s="1"/>
  <c r="O20" i="1"/>
  <c r="B72" i="18" l="1"/>
  <c r="B104" i="18"/>
  <c r="O22" i="1"/>
  <c r="O24" i="1" s="1"/>
  <c r="O25" i="1" l="1"/>
  <c r="O48" i="1" s="1"/>
  <c r="O53" i="1" s="1"/>
  <c r="O54" i="1" s="1"/>
  <c r="P20" i="1" l="1"/>
  <c r="P22" i="1" s="1"/>
  <c r="P24" i="1" s="1"/>
  <c r="P25" i="1" s="1"/>
  <c r="P48" i="1" s="1"/>
  <c r="P53" i="1" s="1"/>
  <c r="P54" i="1" s="1"/>
  <c r="Q20" i="1" l="1"/>
  <c r="Q22" i="1" l="1"/>
  <c r="Q24" i="1" s="1"/>
  <c r="Q25" i="1" l="1"/>
  <c r="Q48" i="1" s="1"/>
  <c r="Q53" i="1" s="1"/>
  <c r="Q54" i="1" s="1"/>
  <c r="R20" i="1" l="1"/>
  <c r="R22" i="1" s="1"/>
  <c r="R24" i="1" s="1"/>
  <c r="R25" i="1" l="1"/>
  <c r="R48" i="1" s="1"/>
  <c r="R53" i="1" s="1"/>
  <c r="R54" i="1" s="1"/>
  <c r="S20" i="1" l="1"/>
  <c r="S22" i="1" s="1"/>
  <c r="S24" i="1" s="1"/>
  <c r="S25" i="1" l="1"/>
  <c r="S48" i="1" s="1"/>
  <c r="S53" i="1" s="1"/>
  <c r="S54" i="1" s="1"/>
  <c r="T20" i="1" l="1"/>
  <c r="T22" i="1" s="1"/>
  <c r="T24" i="1" s="1"/>
  <c r="T25" i="1" l="1"/>
  <c r="T48" i="1" s="1"/>
  <c r="T53" i="1" s="1"/>
  <c r="T54" i="1" s="1"/>
  <c r="U20" i="1" l="1"/>
  <c r="U22" i="1" s="1"/>
  <c r="U24" i="1" s="1"/>
  <c r="U25" i="1" l="1"/>
  <c r="U48" i="1" s="1"/>
  <c r="U53" i="1" s="1"/>
  <c r="U54" i="1" s="1"/>
  <c r="V20" i="1" l="1"/>
  <c r="V22" i="1" s="1"/>
  <c r="V24" i="1" s="1"/>
  <c r="V25" i="1" l="1"/>
  <c r="W20" i="1" s="1"/>
  <c r="V48" i="1" l="1"/>
  <c r="V53" i="1" s="1"/>
  <c r="V54" i="1" s="1"/>
  <c r="W22" i="1"/>
  <c r="W24" i="1" s="1"/>
  <c r="W25" i="1" l="1"/>
  <c r="W48" i="1" s="1"/>
  <c r="W53" i="1" s="1"/>
  <c r="W54" i="1" s="1"/>
  <c r="X20" i="1" l="1"/>
  <c r="X22" i="1" s="1"/>
  <c r="X24" i="1" s="1"/>
  <c r="X25" i="1" l="1"/>
  <c r="X48" i="1" s="1"/>
  <c r="X53" i="1" s="1"/>
  <c r="X54" i="1" s="1"/>
  <c r="Y20" i="1" l="1"/>
  <c r="Y22" i="1" s="1"/>
  <c r="Y24" i="1" s="1"/>
  <c r="Y25" i="1" l="1"/>
  <c r="Y48" i="1" s="1"/>
  <c r="Y53" i="1" s="1"/>
  <c r="Y54" i="1" s="1"/>
  <c r="Z20" i="1" l="1"/>
  <c r="Z22" i="1" s="1"/>
  <c r="Z24" i="1" s="1"/>
  <c r="Z25" i="1" l="1"/>
  <c r="Z48" i="1" l="1"/>
  <c r="Z53" i="1" s="1"/>
  <c r="AA25" i="1"/>
  <c r="D6" i="17" l="1"/>
  <c r="B15" i="18"/>
  <c r="B18" i="18" s="1"/>
  <c r="Z54" i="1"/>
  <c r="AA53" i="1"/>
  <c r="B106" i="18" l="1"/>
  <c r="B108" i="18" s="1"/>
  <c r="B109" i="18" s="1"/>
  <c r="B111" i="18" s="1"/>
  <c r="B123" i="18" s="1"/>
  <c r="B124" i="18" s="1"/>
  <c r="B51" i="18" s="1"/>
  <c r="B74" i="18"/>
  <c r="B78" i="18" s="1"/>
  <c r="B79" i="18" s="1"/>
  <c r="B81" i="18" s="1"/>
  <c r="B96" i="18" s="1"/>
  <c r="B97" i="18" s="1"/>
  <c r="B50" i="18" s="1"/>
  <c r="AA54" i="1"/>
  <c r="L4" i="5" s="1"/>
  <c r="L8" i="5" s="1"/>
  <c r="B53" i="18" l="1"/>
  <c r="B55" i="18" s="1"/>
  <c r="G3" i="18" s="1"/>
  <c r="G5" i="18" s="1"/>
  <c r="L17" i="5" s="1"/>
  <c r="L18" i="5" s="1"/>
  <c r="H14" i="5" s="1"/>
  <c r="H16" i="5" s="1"/>
  <c r="D5" i="19" s="1"/>
</calcChain>
</file>

<file path=xl/comments1.xml><?xml version="1.0" encoding="utf-8"?>
<comments xmlns="http://schemas.openxmlformats.org/spreadsheetml/2006/main">
  <authors>
    <author>jpratt</author>
    <author>Jordan Pratt</author>
  </authors>
  <commentList>
    <comment ref="C15" authorId="0" shapeId="0">
      <text>
        <r>
          <rPr>
            <b/>
            <sz val="9"/>
            <color indexed="81"/>
            <rFont val="Tahoma"/>
            <family val="2"/>
          </rPr>
          <t>jpratt:</t>
        </r>
        <r>
          <rPr>
            <sz val="9"/>
            <color indexed="81"/>
            <rFont val="Tahoma"/>
            <family val="2"/>
          </rPr>
          <t xml:space="preserve">
This is days in the </t>
        </r>
        <r>
          <rPr>
            <b/>
            <sz val="9"/>
            <color indexed="81"/>
            <rFont val="Tahoma"/>
            <family val="2"/>
          </rPr>
          <t>previous</t>
        </r>
        <r>
          <rPr>
            <sz val="9"/>
            <color indexed="81"/>
            <rFont val="Tahoma"/>
            <family val="2"/>
          </rPr>
          <t xml:space="preserve"> month - remember they pay out the </t>
        </r>
        <r>
          <rPr>
            <b/>
            <sz val="9"/>
            <color indexed="81"/>
            <rFont val="Tahoma"/>
            <family val="2"/>
          </rPr>
          <t>following</t>
        </r>
        <r>
          <rPr>
            <sz val="9"/>
            <color indexed="81"/>
            <rFont val="Tahoma"/>
            <family val="2"/>
          </rPr>
          <t xml:space="preserve"> month.</t>
        </r>
      </text>
    </comment>
    <comment ref="L16" authorId="1" shapeId="0">
      <text>
        <r>
          <rPr>
            <b/>
            <sz val="9"/>
            <color indexed="81"/>
            <rFont val="Tahoma"/>
            <family val="2"/>
          </rPr>
          <t>Jordan Pratt:</t>
        </r>
        <r>
          <rPr>
            <sz val="9"/>
            <color indexed="81"/>
            <rFont val="Tahoma"/>
            <family val="2"/>
          </rPr>
          <t xml:space="preserve">
This was the money she received from the UofC at the start of 2017 for the classes she taught at the end of 2016…she has already been taxed for this, SO DON'T INCLUDE IT in tax calcs for this year - I'm just putting it here so our budget is accurate!</t>
        </r>
      </text>
    </comment>
  </commentList>
</comments>
</file>

<file path=xl/comments10.xml><?xml version="1.0" encoding="utf-8"?>
<comments xmlns="http://schemas.openxmlformats.org/spreadsheetml/2006/main">
  <authors>
    <author>jpratt</author>
    <author>Jordan Pratt</author>
  </authors>
  <commentList>
    <comment ref="A3" authorId="0" shapeId="0">
      <text>
        <r>
          <rPr>
            <b/>
            <sz val="9"/>
            <color indexed="81"/>
            <rFont val="Tahoma"/>
            <family val="2"/>
          </rPr>
          <t>jpratt:</t>
        </r>
        <r>
          <rPr>
            <sz val="9"/>
            <color indexed="81"/>
            <rFont val="Tahoma"/>
            <family val="2"/>
          </rPr>
          <t xml:space="preserve">
At U of C, it's a base salary per 1/2-course equivalent. Take the given number and divide by 8 (pay periods).</t>
        </r>
      </text>
    </comment>
    <comment ref="A5" authorId="1" shapeId="0">
      <text>
        <r>
          <rPr>
            <b/>
            <sz val="9"/>
            <color indexed="81"/>
            <rFont val="Tahoma"/>
            <family val="2"/>
          </rPr>
          <t>Jordan Pratt:</t>
        </r>
        <r>
          <rPr>
            <sz val="9"/>
            <color indexed="81"/>
            <rFont val="Tahoma"/>
            <family val="2"/>
          </rPr>
          <t xml:space="preserve">
Seems to be a fixed rate. I had a hell of a time finding any info on this.</t>
        </r>
      </text>
    </comment>
    <comment ref="A6" authorId="1" shapeId="0">
      <text>
        <r>
          <rPr>
            <b/>
            <sz val="9"/>
            <color indexed="81"/>
            <rFont val="Tahoma"/>
            <family val="2"/>
          </rPr>
          <t>Jordan Pratt:</t>
        </r>
        <r>
          <rPr>
            <sz val="9"/>
            <color indexed="81"/>
            <rFont val="Tahoma"/>
            <family val="2"/>
          </rPr>
          <t xml:space="preserve">
This is just a guess, based on looking at paycheques.</t>
        </r>
      </text>
    </comment>
  </commentList>
</comments>
</file>

<file path=xl/comments2.xml><?xml version="1.0" encoding="utf-8"?>
<comments xmlns="http://schemas.openxmlformats.org/spreadsheetml/2006/main">
  <authors>
    <author>jpratt</author>
  </authors>
  <commentList>
    <comment ref="C7" authorId="0" shapeId="0">
      <text>
        <r>
          <rPr>
            <b/>
            <sz val="9"/>
            <color indexed="81"/>
            <rFont val="Tahoma"/>
            <family val="2"/>
          </rPr>
          <t>jpratt:</t>
        </r>
        <r>
          <rPr>
            <sz val="9"/>
            <color indexed="81"/>
            <rFont val="Tahoma"/>
            <family val="2"/>
          </rPr>
          <t xml:space="preserve">
some are 2 year averages / 2 (bold), while others are from just last year (2016)
</t>
        </r>
      </text>
    </comment>
  </commentList>
</comments>
</file>

<file path=xl/comments3.xml><?xml version="1.0" encoding="utf-8"?>
<comments xmlns="http://schemas.openxmlformats.org/spreadsheetml/2006/main">
  <authors>
    <author>jpratt</author>
  </authors>
  <commentList>
    <comment ref="G4" authorId="0" shapeId="0">
      <text>
        <r>
          <rPr>
            <b/>
            <sz val="9"/>
            <color indexed="81"/>
            <rFont val="Tahoma"/>
            <family val="2"/>
          </rPr>
          <t>jpratt:</t>
        </r>
        <r>
          <rPr>
            <sz val="9"/>
            <color indexed="81"/>
            <rFont val="Tahoma"/>
            <family val="2"/>
          </rPr>
          <t xml:space="preserve">
Grid bump to 30.9</t>
        </r>
      </text>
    </comment>
    <comment ref="K5" authorId="0" shapeId="0">
      <text>
        <r>
          <rPr>
            <b/>
            <sz val="9"/>
            <color indexed="81"/>
            <rFont val="Tahoma"/>
            <family val="2"/>
          </rPr>
          <t>jpratt:</t>
        </r>
        <r>
          <rPr>
            <sz val="9"/>
            <color indexed="81"/>
            <rFont val="Tahoma"/>
            <family val="2"/>
          </rPr>
          <t xml:space="preserve">
Not sure why I got paid here….</t>
        </r>
      </text>
    </comment>
    <comment ref="B7" authorId="0" shapeId="0">
      <text>
        <r>
          <rPr>
            <b/>
            <sz val="9"/>
            <color indexed="81"/>
            <rFont val="Tahoma"/>
            <family val="2"/>
          </rPr>
          <t>jpratt:</t>
        </r>
        <r>
          <rPr>
            <sz val="9"/>
            <color indexed="81"/>
            <rFont val="Tahoma"/>
            <family val="2"/>
          </rPr>
          <t xml:space="preserve">
For discrepencies that Payroll does that I Just Don't Understand
</t>
        </r>
      </text>
    </comment>
    <comment ref="C7" authorId="0" shapeId="0">
      <text>
        <r>
          <rPr>
            <b/>
            <sz val="9"/>
            <color indexed="81"/>
            <rFont val="Tahoma"/>
            <family val="2"/>
          </rPr>
          <t>jpratt:</t>
        </r>
        <r>
          <rPr>
            <sz val="9"/>
            <color indexed="81"/>
            <rFont val="Tahoma"/>
            <family val="2"/>
          </rPr>
          <t xml:space="preserve">
Mix-up with me not getting 2 hours per week of tutorials on contract.</t>
        </r>
      </text>
    </comment>
    <comment ref="D7" authorId="0" shapeId="0">
      <text>
        <r>
          <rPr>
            <b/>
            <sz val="9"/>
            <color indexed="81"/>
            <rFont val="Tahoma"/>
            <family val="2"/>
          </rPr>
          <t>jpratt:</t>
        </r>
        <r>
          <rPr>
            <sz val="9"/>
            <color indexed="81"/>
            <rFont val="Tahoma"/>
            <family val="2"/>
          </rPr>
          <t xml:space="preserve">
Payroll adjusts for issue with last pay period.</t>
        </r>
      </text>
    </comment>
    <comment ref="B11" authorId="0" shapeId="0">
      <text>
        <r>
          <rPr>
            <b/>
            <sz val="9"/>
            <color indexed="81"/>
            <rFont val="Tahoma"/>
            <family val="2"/>
          </rPr>
          <t>jpratt:</t>
        </r>
        <r>
          <rPr>
            <sz val="9"/>
            <color indexed="81"/>
            <rFont val="Tahoma"/>
            <family val="2"/>
          </rPr>
          <t xml:space="preserve">
Rule one rate up to threshold, after that other rate. 
The cutoff is for your *annual* salary, so we need to multiply these by 24 and then later divide by 24.
Since I'm guaranteed to be over the threshold, don't worry about using an IF().
</t>
        </r>
      </text>
    </comment>
    <comment ref="C13" authorId="0" shapeId="0">
      <text>
        <r>
          <rPr>
            <b/>
            <sz val="9"/>
            <color indexed="81"/>
            <rFont val="Tahoma"/>
            <family val="2"/>
          </rPr>
          <t>jpratt:</t>
        </r>
        <r>
          <rPr>
            <sz val="9"/>
            <color indexed="81"/>
            <rFont val="Tahoma"/>
            <family val="2"/>
          </rPr>
          <t xml:space="preserve">
Due to issue with being underpaid on tutorial contract.</t>
        </r>
      </text>
    </comment>
    <comment ref="D13" authorId="0" shapeId="0">
      <text>
        <r>
          <rPr>
            <b/>
            <sz val="9"/>
            <color indexed="81"/>
            <rFont val="Tahoma"/>
            <family val="2"/>
          </rPr>
          <t>jpratt:</t>
        </r>
        <r>
          <rPr>
            <sz val="9"/>
            <color indexed="81"/>
            <rFont val="Tahoma"/>
            <family val="2"/>
          </rPr>
          <t xml:space="preserve">
See comment on prev payment.</t>
        </r>
      </text>
    </comment>
    <comment ref="B45" authorId="0" shapeId="0">
      <text>
        <r>
          <rPr>
            <b/>
            <sz val="9"/>
            <color indexed="81"/>
            <rFont val="Tahoma"/>
            <family val="2"/>
          </rPr>
          <t>jpratt:</t>
        </r>
        <r>
          <rPr>
            <sz val="9"/>
            <color indexed="81"/>
            <rFont val="Tahoma"/>
            <family val="2"/>
          </rPr>
          <t xml:space="preserve">
IA salary only.</t>
        </r>
      </text>
    </comment>
    <comment ref="O46" authorId="0" shapeId="0">
      <text>
        <r>
          <rPr>
            <b/>
            <sz val="9"/>
            <color indexed="81"/>
            <rFont val="Tahoma"/>
            <family val="2"/>
          </rPr>
          <t>jpratt:</t>
        </r>
        <r>
          <rPr>
            <sz val="9"/>
            <color indexed="81"/>
            <rFont val="Tahoma"/>
            <family val="2"/>
          </rPr>
          <t xml:space="preserve">
Parking rates went up.</t>
        </r>
      </text>
    </comment>
  </commentList>
</comments>
</file>

<file path=xl/comments4.xml><?xml version="1.0" encoding="utf-8"?>
<comments xmlns="http://schemas.openxmlformats.org/spreadsheetml/2006/main">
  <authors>
    <author>jpratt</author>
  </authors>
  <commentList>
    <comment ref="B7" authorId="0" shapeId="0">
      <text>
        <r>
          <rPr>
            <b/>
            <sz val="9"/>
            <color indexed="81"/>
            <rFont val="Tahoma"/>
            <family val="2"/>
          </rPr>
          <t>jpratt:</t>
        </r>
        <r>
          <rPr>
            <sz val="9"/>
            <color indexed="81"/>
            <rFont val="Tahoma"/>
            <family val="2"/>
          </rPr>
          <t xml:space="preserve">
For discrepencies that Payroll does that I Just Don't Understand
</t>
        </r>
      </text>
    </comment>
    <comment ref="B11" authorId="0" shapeId="0">
      <text>
        <r>
          <rPr>
            <b/>
            <sz val="9"/>
            <color indexed="81"/>
            <rFont val="Tahoma"/>
            <family val="2"/>
          </rPr>
          <t>jpratt:</t>
        </r>
        <r>
          <rPr>
            <sz val="9"/>
            <color indexed="81"/>
            <rFont val="Tahoma"/>
            <family val="2"/>
          </rPr>
          <t xml:space="preserve">
Rule one rate up to threshold, after that other rate. 
The cutoff is for your *annual* salary, so we need to multiply these by 24 and then later divide by 24.
Since I'm guaranteed to be over the threshold, don't worry about using an IF().
</t>
        </r>
      </text>
    </comment>
    <comment ref="B31" authorId="0" shapeId="0">
      <text>
        <r>
          <rPr>
            <b/>
            <sz val="9"/>
            <color indexed="81"/>
            <rFont val="Tahoma"/>
            <family val="2"/>
          </rPr>
          <t>jpratt:</t>
        </r>
        <r>
          <rPr>
            <sz val="9"/>
            <color indexed="81"/>
            <rFont val="Tahoma"/>
            <family val="2"/>
          </rPr>
          <t xml:space="preserve">
This calc is different for me, since N doesn't max out her contributions.</t>
        </r>
      </text>
    </comment>
    <comment ref="B33" authorId="0" shapeId="0">
      <text>
        <r>
          <rPr>
            <b/>
            <sz val="9"/>
            <color indexed="81"/>
            <rFont val="Tahoma"/>
            <family val="2"/>
          </rPr>
          <t>jpratt:</t>
        </r>
        <r>
          <rPr>
            <sz val="9"/>
            <color indexed="81"/>
            <rFont val="Tahoma"/>
            <family val="2"/>
          </rPr>
          <t xml:space="preserve">
This is different, because there are months when N has no income.</t>
        </r>
      </text>
    </comment>
    <comment ref="B39" authorId="0" shapeId="0">
      <text>
        <r>
          <rPr>
            <b/>
            <sz val="9"/>
            <color indexed="81"/>
            <rFont val="Tahoma"/>
            <family val="2"/>
          </rPr>
          <t>jpratt:</t>
        </r>
        <r>
          <rPr>
            <sz val="9"/>
            <color indexed="81"/>
            <rFont val="Tahoma"/>
            <family val="2"/>
          </rPr>
          <t xml:space="preserve">
This calc is different for me, since N doesn't max out her contributions.</t>
        </r>
      </text>
    </comment>
    <comment ref="G55" authorId="0" shapeId="0">
      <text>
        <r>
          <rPr>
            <b/>
            <sz val="9"/>
            <color indexed="81"/>
            <rFont val="Tahoma"/>
            <family val="2"/>
          </rPr>
          <t>jpratt:</t>
        </r>
        <r>
          <rPr>
            <sz val="9"/>
            <color indexed="81"/>
            <rFont val="Tahoma"/>
            <family val="2"/>
          </rPr>
          <t xml:space="preserve">
PD reimbursement for computer hardware - no tax repercussions…I think
</t>
        </r>
      </text>
    </comment>
  </commentList>
</comments>
</file>

<file path=xl/comments5.xml><?xml version="1.0" encoding="utf-8"?>
<comments xmlns="http://schemas.openxmlformats.org/spreadsheetml/2006/main">
  <authors>
    <author>jpratt</author>
  </authors>
  <commentList>
    <comment ref="B7" authorId="0" shapeId="0">
      <text>
        <r>
          <rPr>
            <b/>
            <sz val="9"/>
            <color indexed="81"/>
            <rFont val="Tahoma"/>
            <family val="2"/>
          </rPr>
          <t>jpratt:</t>
        </r>
        <r>
          <rPr>
            <sz val="9"/>
            <color indexed="81"/>
            <rFont val="Tahoma"/>
            <family val="2"/>
          </rPr>
          <t xml:space="preserve">
For discrepencies that Payroll does that I Just Don't Understand
</t>
        </r>
      </text>
    </comment>
    <comment ref="B31" authorId="0" shapeId="0">
      <text>
        <r>
          <rPr>
            <b/>
            <sz val="9"/>
            <color indexed="81"/>
            <rFont val="Tahoma"/>
            <family val="2"/>
          </rPr>
          <t>jpratt:</t>
        </r>
        <r>
          <rPr>
            <sz val="9"/>
            <color indexed="81"/>
            <rFont val="Tahoma"/>
            <family val="2"/>
          </rPr>
          <t xml:space="preserve">
This calc is different for me, since N doesn't max out her contributions.</t>
        </r>
      </text>
    </comment>
    <comment ref="B33" authorId="0" shapeId="0">
      <text>
        <r>
          <rPr>
            <b/>
            <sz val="9"/>
            <color indexed="81"/>
            <rFont val="Tahoma"/>
            <family val="2"/>
          </rPr>
          <t>jpratt:</t>
        </r>
        <r>
          <rPr>
            <sz val="9"/>
            <color indexed="81"/>
            <rFont val="Tahoma"/>
            <family val="2"/>
          </rPr>
          <t xml:space="preserve">
This is different, because there are months when N has no income.</t>
        </r>
      </text>
    </comment>
    <comment ref="B39" authorId="0" shapeId="0">
      <text>
        <r>
          <rPr>
            <b/>
            <sz val="9"/>
            <color indexed="81"/>
            <rFont val="Tahoma"/>
            <family val="2"/>
          </rPr>
          <t>jpratt:</t>
        </r>
        <r>
          <rPr>
            <sz val="9"/>
            <color indexed="81"/>
            <rFont val="Tahoma"/>
            <family val="2"/>
          </rPr>
          <t xml:space="preserve">
This calc is different for me, since N doesn't max out her contributions.</t>
        </r>
      </text>
    </comment>
  </commentList>
</comments>
</file>

<file path=xl/comments6.xml><?xml version="1.0" encoding="utf-8"?>
<comments xmlns="http://schemas.openxmlformats.org/spreadsheetml/2006/main">
  <authors>
    <author>jpratt</author>
  </authors>
  <commentList>
    <comment ref="B5" authorId="0" shapeId="0">
      <text>
        <r>
          <rPr>
            <b/>
            <sz val="9"/>
            <color indexed="81"/>
            <rFont val="Tahoma"/>
            <family val="2"/>
          </rPr>
          <t>jpratt:</t>
        </r>
        <r>
          <rPr>
            <sz val="9"/>
            <color indexed="81"/>
            <rFont val="Tahoma"/>
            <family val="2"/>
          </rPr>
          <t xml:space="preserve">
For discrepencies that Payroll does that I Just Don't Understand
</t>
        </r>
      </text>
    </comment>
    <comment ref="B29" authorId="0" shapeId="0">
      <text>
        <r>
          <rPr>
            <b/>
            <sz val="9"/>
            <color indexed="81"/>
            <rFont val="Tahoma"/>
            <family val="2"/>
          </rPr>
          <t>jpratt:</t>
        </r>
        <r>
          <rPr>
            <sz val="9"/>
            <color indexed="81"/>
            <rFont val="Tahoma"/>
            <family val="2"/>
          </rPr>
          <t xml:space="preserve">
This calc is different for me, since N doesn't max out her contributions.</t>
        </r>
      </text>
    </comment>
    <comment ref="B31" authorId="0" shapeId="0">
      <text>
        <r>
          <rPr>
            <b/>
            <sz val="9"/>
            <color indexed="81"/>
            <rFont val="Tahoma"/>
            <family val="2"/>
          </rPr>
          <t>jpratt:</t>
        </r>
        <r>
          <rPr>
            <sz val="9"/>
            <color indexed="81"/>
            <rFont val="Tahoma"/>
            <family val="2"/>
          </rPr>
          <t xml:space="preserve">
This is different, because there are months when N has no income.</t>
        </r>
      </text>
    </comment>
    <comment ref="B37" authorId="0" shapeId="0">
      <text>
        <r>
          <rPr>
            <b/>
            <sz val="9"/>
            <color indexed="81"/>
            <rFont val="Tahoma"/>
            <family val="2"/>
          </rPr>
          <t>jpratt:</t>
        </r>
        <r>
          <rPr>
            <sz val="9"/>
            <color indexed="81"/>
            <rFont val="Tahoma"/>
            <family val="2"/>
          </rPr>
          <t xml:space="preserve">
This calc is different for me, since N doesn't max out her contributions.</t>
        </r>
      </text>
    </comment>
  </commentList>
</comments>
</file>

<file path=xl/comments7.xml><?xml version="1.0" encoding="utf-8"?>
<comments xmlns="http://schemas.openxmlformats.org/spreadsheetml/2006/main">
  <authors>
    <author>jpratt</author>
    <author>Jordan Pratt</author>
  </authors>
  <commentList>
    <comment ref="E16" authorId="0" shapeId="0">
      <text>
        <r>
          <rPr>
            <b/>
            <sz val="9"/>
            <color indexed="81"/>
            <rFont val="Tahoma"/>
            <family val="2"/>
          </rPr>
          <t>jpratt:</t>
        </r>
        <r>
          <rPr>
            <sz val="9"/>
            <color indexed="81"/>
            <rFont val="Tahoma"/>
            <family val="2"/>
          </rPr>
          <t xml:space="preserve">
2 days PREP (19h)
</t>
        </r>
      </text>
    </comment>
    <comment ref="E17" authorId="1" shapeId="0">
      <text>
        <r>
          <rPr>
            <b/>
            <sz val="9"/>
            <color indexed="81"/>
            <rFont val="Tahoma"/>
            <family val="2"/>
          </rPr>
          <t>Jordan Pratt:</t>
        </r>
        <r>
          <rPr>
            <sz val="9"/>
            <color indexed="81"/>
            <rFont val="Tahoma"/>
            <family val="2"/>
          </rPr>
          <t xml:space="preserve">
PEP income (Mar. 30,31) received</t>
        </r>
      </text>
    </comment>
    <comment ref="E18" authorId="0" shapeId="0">
      <text>
        <r>
          <rPr>
            <b/>
            <sz val="9"/>
            <color indexed="81"/>
            <rFont val="Tahoma"/>
            <family val="2"/>
          </rPr>
          <t>jpratt:</t>
        </r>
        <r>
          <rPr>
            <sz val="9"/>
            <color indexed="81"/>
            <rFont val="Tahoma"/>
            <family val="2"/>
          </rPr>
          <t xml:space="preserve">
2 PREP</t>
        </r>
      </text>
    </comment>
    <comment ref="E20" authorId="0" shapeId="0">
      <text>
        <r>
          <rPr>
            <b/>
            <sz val="9"/>
            <color indexed="81"/>
            <rFont val="Tahoma"/>
            <family val="2"/>
          </rPr>
          <t>jpratt:</t>
        </r>
        <r>
          <rPr>
            <sz val="9"/>
            <color indexed="81"/>
            <rFont val="Tahoma"/>
            <family val="2"/>
          </rPr>
          <t xml:space="preserve">
2PEP, 2ACEF</t>
        </r>
      </text>
    </comment>
    <comment ref="E21" authorId="0" shapeId="0">
      <text>
        <r>
          <rPr>
            <b/>
            <sz val="9"/>
            <color indexed="81"/>
            <rFont val="Tahoma"/>
            <family val="2"/>
          </rPr>
          <t>jpratt:</t>
        </r>
        <r>
          <rPr>
            <sz val="9"/>
            <color indexed="81"/>
            <rFont val="Tahoma"/>
            <family val="2"/>
          </rPr>
          <t xml:space="preserve">
2 PREP
</t>
        </r>
      </text>
    </comment>
    <comment ref="E23" authorId="0" shapeId="0">
      <text>
        <r>
          <rPr>
            <b/>
            <sz val="9"/>
            <color indexed="81"/>
            <rFont val="Tahoma"/>
            <family val="2"/>
          </rPr>
          <t>jpratt:</t>
        </r>
        <r>
          <rPr>
            <sz val="9"/>
            <color indexed="81"/>
            <rFont val="Tahoma"/>
            <family val="2"/>
          </rPr>
          <t xml:space="preserve">
2 PEP from late SEP</t>
        </r>
      </text>
    </comment>
    <comment ref="E25" authorId="0" shapeId="0">
      <text>
        <r>
          <rPr>
            <b/>
            <sz val="9"/>
            <color indexed="81"/>
            <rFont val="Tahoma"/>
            <family val="2"/>
          </rPr>
          <t>jpratt:</t>
        </r>
        <r>
          <rPr>
            <sz val="9"/>
            <color indexed="81"/>
            <rFont val="Tahoma"/>
            <family val="2"/>
          </rPr>
          <t xml:space="preserve">
2 PREP late Nov, 2 PEP December</t>
        </r>
      </text>
    </comment>
    <comment ref="A42" authorId="0" shapeId="0">
      <text>
        <r>
          <rPr>
            <b/>
            <sz val="9"/>
            <color indexed="81"/>
            <rFont val="Tahoma"/>
            <family val="2"/>
          </rPr>
          <t>jpratt:</t>
        </r>
        <r>
          <rPr>
            <sz val="9"/>
            <color indexed="81"/>
            <rFont val="Tahoma"/>
            <family val="2"/>
          </rPr>
          <t xml:space="preserve">
Mei Glendale. 241
Mei CCH. 125
Mitz CCH 75</t>
        </r>
      </text>
    </comment>
    <comment ref="E42" authorId="0" shapeId="0">
      <text>
        <r>
          <rPr>
            <b/>
            <sz val="9"/>
            <color indexed="81"/>
            <rFont val="Tahoma"/>
            <family val="2"/>
          </rPr>
          <t>jpratt:</t>
        </r>
        <r>
          <rPr>
            <sz val="9"/>
            <color indexed="81"/>
            <rFont val="Tahoma"/>
            <family val="2"/>
          </rPr>
          <t xml:space="preserve">
Get this from sunlife - recent claims. I made a csv into a spreadhseet (in taxes 2016), so do this at the end of every year - tickle!
</t>
        </r>
      </text>
    </comment>
    <comment ref="A43" authorId="0" shapeId="0">
      <text>
        <r>
          <rPr>
            <b/>
            <sz val="9"/>
            <color indexed="81"/>
            <rFont val="Tahoma"/>
            <family val="2"/>
          </rPr>
          <t>jpratt:</t>
        </r>
        <r>
          <rPr>
            <sz val="9"/>
            <color indexed="81"/>
            <rFont val="Tahoma"/>
            <family val="2"/>
          </rPr>
          <t xml:space="preserve">
only for Nobuko, since I max out my CPP over the year via MRU</t>
        </r>
      </text>
    </comment>
    <comment ref="E43" authorId="0" shapeId="0">
      <text>
        <r>
          <rPr>
            <b/>
            <sz val="9"/>
            <color indexed="81"/>
            <rFont val="Tahoma"/>
            <family val="2"/>
          </rPr>
          <t>jpratt:</t>
        </r>
        <r>
          <rPr>
            <sz val="9"/>
            <color indexed="81"/>
            <rFont val="Tahoma"/>
            <family val="2"/>
          </rPr>
          <t xml:space="preserve">
This is used in the commented calc ('fed magic, prov magic') below - you'll need to look this up each year, though I doubt you'll hit it - the 3% of N's income seems more likely.</t>
        </r>
      </text>
    </comment>
    <comment ref="E44" authorId="0" shapeId="0">
      <text>
        <r>
          <rPr>
            <b/>
            <sz val="9"/>
            <color indexed="81"/>
            <rFont val="Tahoma"/>
            <family val="2"/>
          </rPr>
          <t>jpratt:</t>
        </r>
        <r>
          <rPr>
            <sz val="9"/>
            <color indexed="81"/>
            <rFont val="Tahoma"/>
            <family val="2"/>
          </rPr>
          <t xml:space="preserve">
This is what I've paid out of pocket, after any reimbursements from Sunlife. See my medical expenses worksheet. BUT DON'T INCLUDE MASSAGE - IT'S NOT ELIGIBLE!</t>
        </r>
      </text>
    </comment>
    <comment ref="E45" authorId="0" shapeId="0">
      <text>
        <r>
          <rPr>
            <b/>
            <sz val="9"/>
            <color indexed="81"/>
            <rFont val="Tahoma"/>
            <family val="2"/>
          </rPr>
          <t>jpratt:</t>
        </r>
        <r>
          <rPr>
            <sz val="9"/>
            <color indexed="81"/>
            <rFont val="Tahoma"/>
            <family val="2"/>
          </rPr>
          <t xml:space="preserve">
These are my health care deductions from my MRU paycheque.</t>
        </r>
      </text>
    </comment>
    <comment ref="E47" authorId="0" shapeId="0">
      <text>
        <r>
          <rPr>
            <b/>
            <sz val="9"/>
            <color indexed="81"/>
            <rFont val="Tahoma"/>
            <family val="2"/>
          </rPr>
          <t>jpratt:</t>
        </r>
        <r>
          <rPr>
            <sz val="9"/>
            <color indexed="81"/>
            <rFont val="Tahoma"/>
            <family val="2"/>
          </rPr>
          <t xml:space="preserve">
2237 or 3% of Taxable Income, whichever is less [NOBUKO]
</t>
        </r>
      </text>
    </comment>
    <comment ref="E77" authorId="0" shapeId="0">
      <text>
        <r>
          <rPr>
            <b/>
            <sz val="9"/>
            <color indexed="81"/>
            <rFont val="Tahoma"/>
            <family val="2"/>
          </rPr>
          <t>jpratt:</t>
        </r>
        <r>
          <rPr>
            <sz val="9"/>
            <color indexed="81"/>
            <rFont val="Tahoma"/>
            <family val="2"/>
          </rPr>
          <t xml:space="preserve">
13.5% of amount of family net between 30,000 and 65,000 (in our case 35,000)
</t>
        </r>
      </text>
    </comment>
    <comment ref="E78" authorId="0" shapeId="0">
      <text>
        <r>
          <rPr>
            <b/>
            <sz val="9"/>
            <color indexed="81"/>
            <rFont val="Tahoma"/>
            <family val="2"/>
          </rPr>
          <t>jpratt:</t>
        </r>
        <r>
          <rPr>
            <sz val="9"/>
            <color indexed="81"/>
            <rFont val="Tahoma"/>
            <family val="2"/>
          </rPr>
          <t xml:space="preserve">
5.7% of family net over 65,000</t>
        </r>
      </text>
    </comment>
    <comment ref="A80" authorId="0" shapeId="0">
      <text>
        <r>
          <rPr>
            <b/>
            <sz val="9"/>
            <color indexed="81"/>
            <rFont val="Tahoma"/>
            <family val="2"/>
          </rPr>
          <t>jpratt:</t>
        </r>
        <r>
          <rPr>
            <sz val="9"/>
            <color indexed="81"/>
            <rFont val="Tahoma"/>
            <family val="2"/>
          </rPr>
          <t xml:space="preserve">
Just used 2015 amt.</t>
        </r>
      </text>
    </comment>
    <comment ref="A110" authorId="0" shapeId="0">
      <text>
        <r>
          <rPr>
            <b/>
            <sz val="9"/>
            <color indexed="81"/>
            <rFont val="Tahoma"/>
            <family val="2"/>
          </rPr>
          <t>jpratt:</t>
        </r>
        <r>
          <rPr>
            <sz val="9"/>
            <color indexed="81"/>
            <rFont val="Tahoma"/>
            <family val="2"/>
          </rPr>
          <t xml:space="preserve">
Just used 2015 amt.</t>
        </r>
      </text>
    </comment>
  </commentList>
</comments>
</file>

<file path=xl/comments8.xml><?xml version="1.0" encoding="utf-8"?>
<comments xmlns="http://schemas.openxmlformats.org/spreadsheetml/2006/main">
  <authors>
    <author>jpratt</author>
  </authors>
  <commentList>
    <comment ref="A14" authorId="0" shapeId="0">
      <text>
        <r>
          <rPr>
            <b/>
            <sz val="9"/>
            <color indexed="81"/>
            <rFont val="Tahoma"/>
            <family val="2"/>
          </rPr>
          <t>jpratt:</t>
        </r>
        <r>
          <rPr>
            <sz val="9"/>
            <color indexed="81"/>
            <rFont val="Tahoma"/>
            <family val="2"/>
          </rPr>
          <t xml:space="preserve">
per $1000 of salary covered</t>
        </r>
      </text>
    </comment>
    <comment ref="A15" authorId="0" shapeId="0">
      <text>
        <r>
          <rPr>
            <b/>
            <sz val="9"/>
            <color indexed="81"/>
            <rFont val="Tahoma"/>
            <family val="2"/>
          </rPr>
          <t>jpratt:</t>
        </r>
        <r>
          <rPr>
            <sz val="9"/>
            <color indexed="81"/>
            <rFont val="Tahoma"/>
            <family val="2"/>
          </rPr>
          <t xml:space="preserve">
per $1000 of salary covered</t>
        </r>
      </text>
    </comment>
  </commentList>
</comments>
</file>

<file path=xl/comments9.xml><?xml version="1.0" encoding="utf-8"?>
<comments xmlns="http://schemas.openxmlformats.org/spreadsheetml/2006/main">
  <authors>
    <author>jpratt</author>
  </authors>
  <commentList>
    <comment ref="A8" authorId="0" shapeId="0">
      <text>
        <r>
          <rPr>
            <b/>
            <sz val="9"/>
            <color indexed="81"/>
            <rFont val="Tahoma"/>
            <family val="2"/>
          </rPr>
          <t>jpratt:</t>
        </r>
        <r>
          <rPr>
            <sz val="9"/>
            <color indexed="81"/>
            <rFont val="Tahoma"/>
            <family val="2"/>
          </rPr>
          <t xml:space="preserve">
This is the number of hours a single hour of lecture or tutorial is credited in one pay period
</t>
        </r>
      </text>
    </comment>
    <comment ref="A9" authorId="0" shapeId="0">
      <text>
        <r>
          <rPr>
            <b/>
            <sz val="9"/>
            <color indexed="81"/>
            <rFont val="Tahoma"/>
            <family val="2"/>
          </rPr>
          <t>jpratt:</t>
        </r>
        <r>
          <rPr>
            <sz val="9"/>
            <color indexed="81"/>
            <rFont val="Tahoma"/>
            <family val="2"/>
          </rPr>
          <t xml:space="preserve">
This is the number of hours a single hour of lab is credited in one pay period</t>
        </r>
      </text>
    </comment>
  </commentList>
</comments>
</file>

<file path=xl/sharedStrings.xml><?xml version="1.0" encoding="utf-8"?>
<sst xmlns="http://schemas.openxmlformats.org/spreadsheetml/2006/main" count="795" uniqueCount="471">
  <si>
    <t>Regular Pay (Staff)</t>
  </si>
  <si>
    <t>Regular Pay (Faculty)</t>
  </si>
  <si>
    <t>Holiday Pay (Faculty)</t>
  </si>
  <si>
    <t>Earnings</t>
  </si>
  <si>
    <t>MRSA Dues</t>
  </si>
  <si>
    <t>MRFA Dues</t>
  </si>
  <si>
    <t>RPP</t>
  </si>
  <si>
    <t>CPP</t>
  </si>
  <si>
    <t>EI</t>
  </si>
  <si>
    <t>Federal Tax</t>
  </si>
  <si>
    <t>AB Tax</t>
  </si>
  <si>
    <t>Critical Illness (Spouse)</t>
  </si>
  <si>
    <t>Critical Illness (Voluntary)</t>
  </si>
  <si>
    <t>Dental</t>
  </si>
  <si>
    <t>Extended Health</t>
  </si>
  <si>
    <t>Long Term Disability</t>
  </si>
  <si>
    <t>Parking</t>
  </si>
  <si>
    <t>Dismemberment</t>
  </si>
  <si>
    <t>Life</t>
  </si>
  <si>
    <t>Deductions</t>
  </si>
  <si>
    <t>Taxable</t>
  </si>
  <si>
    <t>Jan</t>
  </si>
  <si>
    <t>Feb</t>
  </si>
  <si>
    <t>Mar</t>
  </si>
  <si>
    <t>Apr</t>
  </si>
  <si>
    <t>May</t>
  </si>
  <si>
    <t>Jun</t>
  </si>
  <si>
    <t>Jul</t>
  </si>
  <si>
    <t>Aug</t>
  </si>
  <si>
    <t>Sep</t>
  </si>
  <si>
    <t>Oct</t>
  </si>
  <si>
    <t>Nov</t>
  </si>
  <si>
    <t>Dec</t>
  </si>
  <si>
    <t>Staff Salary 30.9</t>
  </si>
  <si>
    <t>LAPP:cutoff</t>
  </si>
  <si>
    <t>LAPP:lower rate</t>
  </si>
  <si>
    <t>LAPP:uppper rate</t>
  </si>
  <si>
    <t>Critical Illness Spouse</t>
  </si>
  <si>
    <t>Critical Illness Voluntary</t>
  </si>
  <si>
    <t>Long Term Disability Rate</t>
  </si>
  <si>
    <t>Taxable:Dismemberment</t>
  </si>
  <si>
    <t>Taxable:Life</t>
  </si>
  <si>
    <t>Lecture Rate J</t>
  </si>
  <si>
    <t>Lab Rate J</t>
  </si>
  <si>
    <t>Lecture Rate N</t>
  </si>
  <si>
    <t>MRSA Dues Rate</t>
  </si>
  <si>
    <t>Holiday Rate</t>
  </si>
  <si>
    <t>Lec/Tut Conversion Rate</t>
  </si>
  <si>
    <t>Lab Conversion Rate</t>
  </si>
  <si>
    <t>Lec Hrs/Wk</t>
  </si>
  <si>
    <t>Tut Hrs/Wk</t>
  </si>
  <si>
    <t>Lab Hrs/Wk</t>
  </si>
  <si>
    <t>Winter-J</t>
  </si>
  <si>
    <t>Winter-N</t>
  </si>
  <si>
    <t>Spring-J</t>
  </si>
  <si>
    <t>Spring-N</t>
  </si>
  <si>
    <t>Fall-J</t>
  </si>
  <si>
    <t>Fall-N</t>
  </si>
  <si>
    <t>Adjustments</t>
  </si>
  <si>
    <t xml:space="preserve">                  </t>
  </si>
  <si>
    <t>MAX ANNUAL CPP</t>
  </si>
  <si>
    <t>MAX ANNUAL EI</t>
  </si>
  <si>
    <t>CPP RATE</t>
  </si>
  <si>
    <t>YTD CPP</t>
  </si>
  <si>
    <t>CPP:part A</t>
  </si>
  <si>
    <t>CPP:part B</t>
  </si>
  <si>
    <t>CPP:pensionable income</t>
  </si>
  <si>
    <t>CPP:min</t>
  </si>
  <si>
    <t>EI RATE</t>
  </si>
  <si>
    <t>EI-YTD</t>
  </si>
  <si>
    <t>EI:insurable earnings</t>
  </si>
  <si>
    <t>EI:part A</t>
  </si>
  <si>
    <t>EI:part B</t>
  </si>
  <si>
    <t>EI:min</t>
  </si>
  <si>
    <t>JP</t>
  </si>
  <si>
    <t>NP-MRU</t>
  </si>
  <si>
    <t>NP-UofC</t>
  </si>
  <si>
    <t>NP-Hoshuko</t>
  </si>
  <si>
    <t>Code</t>
  </si>
  <si>
    <t>TC</t>
  </si>
  <si>
    <t>TCP</t>
  </si>
  <si>
    <t>K1</t>
  </si>
  <si>
    <t>K1P</t>
  </si>
  <si>
    <t>Fed Rates/Thresholds</t>
  </si>
  <si>
    <t>R</t>
  </si>
  <si>
    <t>K</t>
  </si>
  <si>
    <t>Upper A</t>
  </si>
  <si>
    <t>AB Rates/Thresholds</t>
  </si>
  <si>
    <t>FedTax:  A (Taxable Income)</t>
  </si>
  <si>
    <t>FedTax: R</t>
  </si>
  <si>
    <t>FedTax: K</t>
  </si>
  <si>
    <t>FedTax: Claim Code</t>
  </si>
  <si>
    <t>FedTax: K1</t>
  </si>
  <si>
    <t>FedTax: K2</t>
  </si>
  <si>
    <t>CANADA EMP CREDIT</t>
  </si>
  <si>
    <t>FedTax: K4</t>
  </si>
  <si>
    <t>ProvTax: A</t>
  </si>
  <si>
    <t>ProvTax: V</t>
  </si>
  <si>
    <t>ProvTax: KP</t>
  </si>
  <si>
    <t xml:space="preserve">ProvTax: Claim Code </t>
  </si>
  <si>
    <t>ProvTax: K1P</t>
  </si>
  <si>
    <t>ProvTax: K2P</t>
  </si>
  <si>
    <t>Est Take Home Pay</t>
  </si>
  <si>
    <t>Act Take Home Pay</t>
  </si>
  <si>
    <t>Difference</t>
  </si>
  <si>
    <t>RPP: base</t>
  </si>
  <si>
    <t>RPP: over</t>
  </si>
  <si>
    <t>CAUT Dues Rate</t>
  </si>
  <si>
    <t>TUCFA Dues Rate</t>
  </si>
  <si>
    <t>Lecture Rate N (per course)</t>
  </si>
  <si>
    <t>Lecture Rate N (per pay pd)</t>
  </si>
  <si>
    <t>Benefit Premium Rate</t>
  </si>
  <si>
    <t>Benefit Pay (Facutly)</t>
  </si>
  <si>
    <t>MRU Work</t>
  </si>
  <si>
    <t>Classes/Sem</t>
  </si>
  <si>
    <t>Winter</t>
  </si>
  <si>
    <t>Spring</t>
  </si>
  <si>
    <t>Summer</t>
  </si>
  <si>
    <t>Fall</t>
  </si>
  <si>
    <t>Est Take Home Pay (w/o parking)</t>
  </si>
  <si>
    <t>CAUT Dues</t>
  </si>
  <si>
    <t>TUCFA Dues</t>
  </si>
  <si>
    <t>Regular Pay</t>
  </si>
  <si>
    <t>Month</t>
  </si>
  <si>
    <t>Daily Rate</t>
  </si>
  <si>
    <t>R =&gt;</t>
  </si>
  <si>
    <t>CPP Deducted</t>
  </si>
  <si>
    <t>EI Deducted</t>
  </si>
  <si>
    <t>Union Dues</t>
  </si>
  <si>
    <t>EI Insurable Earnings</t>
  </si>
  <si>
    <t>Pensionable Earnings</t>
  </si>
  <si>
    <t>Income Tax Deducted</t>
  </si>
  <si>
    <t>Employment Income</t>
  </si>
  <si>
    <t>MAX PENSIONABLE</t>
  </si>
  <si>
    <t>MAX INSURABLE</t>
  </si>
  <si>
    <t>JP T4: MRU</t>
  </si>
  <si>
    <t>NP T4: MRU</t>
  </si>
  <si>
    <t>NP T4: U of C</t>
  </si>
  <si>
    <t>NP T4: Hoshuko</t>
  </si>
  <si>
    <t>Dues</t>
  </si>
  <si>
    <t>U of C Work</t>
  </si>
  <si>
    <t>Hoshuko Work</t>
  </si>
  <si>
    <t>Days</t>
  </si>
  <si>
    <t>FED</t>
  </si>
  <si>
    <t>AB</t>
  </si>
  <si>
    <t>Net</t>
  </si>
  <si>
    <t>Gross</t>
  </si>
  <si>
    <t>J-MRU</t>
  </si>
  <si>
    <t>N-MRU</t>
  </si>
  <si>
    <t>U of C</t>
  </si>
  <si>
    <t>Hoshuko</t>
  </si>
  <si>
    <t>Total</t>
  </si>
  <si>
    <t>Column1</t>
  </si>
  <si>
    <t>Source</t>
  </si>
  <si>
    <t>Amt</t>
  </si>
  <si>
    <t>CASB</t>
  </si>
  <si>
    <t>4Life</t>
  </si>
  <si>
    <t>Other</t>
  </si>
  <si>
    <t>Total IN</t>
  </si>
  <si>
    <t>Total OUT</t>
  </si>
  <si>
    <t>Est</t>
  </si>
  <si>
    <t>Act</t>
  </si>
  <si>
    <t>Est Employment Earnings</t>
  </si>
  <si>
    <t>Est Other Earnings</t>
  </si>
  <si>
    <t>CPP Calcs</t>
  </si>
  <si>
    <t>Need To Put Aside</t>
  </si>
  <si>
    <t>Max for 2017</t>
  </si>
  <si>
    <t>Owing/Refund (JP)</t>
  </si>
  <si>
    <t>MRU CPP</t>
  </si>
  <si>
    <t>Owing/Refund (NP)</t>
  </si>
  <si>
    <t>Total Owing/Refund</t>
  </si>
  <si>
    <t>Total Employment CPP Deducted</t>
  </si>
  <si>
    <t>4Life (9.9% of 4Life incoome)</t>
  </si>
  <si>
    <t>EI Calcs</t>
  </si>
  <si>
    <t>Misc</t>
  </si>
  <si>
    <t>Owed</t>
  </si>
  <si>
    <t>MRU</t>
  </si>
  <si>
    <t>Total Employment EI Deducted</t>
  </si>
  <si>
    <t>T1 Step 2: Total Income</t>
  </si>
  <si>
    <t>Employment Income (MRU)</t>
  </si>
  <si>
    <t>Employment Income (U of C)</t>
  </si>
  <si>
    <t>Employment Income (Hoshuko)</t>
  </si>
  <si>
    <t>Total Employment Income</t>
  </si>
  <si>
    <t>Annual</t>
  </si>
  <si>
    <t>Biz Income (CASB)</t>
  </si>
  <si>
    <t>Biz Income (4Life)</t>
  </si>
  <si>
    <t>&lt;== these cells are *calculated* - no data entry needed</t>
  </si>
  <si>
    <t>Biz Income (Misc)</t>
  </si>
  <si>
    <t>&lt;== these cells are linked from other cells - no data entry</t>
  </si>
  <si>
    <t>Total Biz Income</t>
  </si>
  <si>
    <t>&lt;== these ones you need to enter in directly, or via below</t>
  </si>
  <si>
    <t>Total (Gross) Income</t>
  </si>
  <si>
    <t>Child Care Expenses</t>
  </si>
  <si>
    <t>T1 Step 3,4: Net/Taxable Income</t>
  </si>
  <si>
    <t>Glendale</t>
  </si>
  <si>
    <t>CCH (mitz)</t>
  </si>
  <si>
    <t>Minus</t>
  </si>
  <si>
    <t>CCH (mei)</t>
  </si>
  <si>
    <t>Union Dues (MRU)</t>
  </si>
  <si>
    <t>Union Dues (U of C)</t>
  </si>
  <si>
    <t>Total Union Dues</t>
  </si>
  <si>
    <t>RPP Deductions</t>
  </si>
  <si>
    <t>Child Care</t>
  </si>
  <si>
    <t>Medical Expenses</t>
  </si>
  <si>
    <t>1/2 for CPP on Self-Emp</t>
  </si>
  <si>
    <t>Magic Num</t>
  </si>
  <si>
    <t>Subtraction Total</t>
  </si>
  <si>
    <t>Out of Pocket</t>
  </si>
  <si>
    <t>Net (and for us, Taxable) Income</t>
  </si>
  <si>
    <t>T4 Line 85</t>
  </si>
  <si>
    <t>Total Exp</t>
  </si>
  <si>
    <t>- fed magic</t>
  </si>
  <si>
    <t>- prov magic</t>
  </si>
  <si>
    <t>T1 Step 6: Refund/Balance Owing</t>
  </si>
  <si>
    <t>Med Claim</t>
  </si>
  <si>
    <t>Net Federal Tax (see below)</t>
  </si>
  <si>
    <t>Net Provincial Tax (see below)</t>
  </si>
  <si>
    <t>Donations</t>
  </si>
  <si>
    <t>CPP owing on 4Life</t>
  </si>
  <si>
    <t>Total Tax Payable</t>
  </si>
  <si>
    <t>minus Total Credits</t>
  </si>
  <si>
    <t>min bucket</t>
  </si>
  <si>
    <t>Refund/Balance Owing</t>
  </si>
  <si>
    <t>over bucket</t>
  </si>
  <si>
    <t>(over the min bucket)</t>
  </si>
  <si>
    <t>Fed bottom</t>
  </si>
  <si>
    <t>AB bottom</t>
  </si>
  <si>
    <t>Total Credits (for T1 Step 6 above)</t>
  </si>
  <si>
    <t>Fed top</t>
  </si>
  <si>
    <t>AB top</t>
  </si>
  <si>
    <t>NP</t>
  </si>
  <si>
    <t>Total Fed</t>
  </si>
  <si>
    <t>Total AB</t>
  </si>
  <si>
    <t>Tax Already Paid (MRU)</t>
  </si>
  <si>
    <t>Tax Already Paid (U of C)</t>
  </si>
  <si>
    <t>Tax Already Paid (Hoshuko)</t>
  </si>
  <si>
    <t>Transit</t>
  </si>
  <si>
    <t>Total Tax Paid</t>
  </si>
  <si>
    <t>EI Overpayment</t>
  </si>
  <si>
    <t>#UofC Sems.</t>
  </si>
  <si>
    <t>Tax Paid by Installment</t>
  </si>
  <si>
    <t>$/bus pass</t>
  </si>
  <si>
    <t>Total Credits</t>
  </si>
  <si>
    <t>Schedule 1 Step 1: Fed Tax Credits</t>
  </si>
  <si>
    <t>Canada Child Benefit (CCB)</t>
  </si>
  <si>
    <t>Basic Personal Amt</t>
  </si>
  <si>
    <t>Net Inc (J)</t>
  </si>
  <si>
    <t>CPP Employment Contributions</t>
  </si>
  <si>
    <t>Net Inc (N)</t>
  </si>
  <si>
    <t>1/2 CPP for 4Life</t>
  </si>
  <si>
    <t>Family Net</t>
  </si>
  <si>
    <t>EI Contributions</t>
  </si>
  <si>
    <t>Canada Employment Amount</t>
  </si>
  <si>
    <t>Base / kid</t>
  </si>
  <si>
    <t>Public Transit Amount</t>
  </si>
  <si>
    <t>x 2</t>
  </si>
  <si>
    <t>minus one</t>
  </si>
  <si>
    <t>Fed Tax Credits Subtotal</t>
  </si>
  <si>
    <t>minus two</t>
  </si>
  <si>
    <t>x15%</t>
  </si>
  <si>
    <t>Add Donations</t>
  </si>
  <si>
    <t>Per Month</t>
  </si>
  <si>
    <t>starts July 2018</t>
  </si>
  <si>
    <t>Schedule 1 Step 2: Tax on Taxable Income</t>
  </si>
  <si>
    <t>Taxable Income:</t>
  </si>
  <si>
    <t>Fed Tax</t>
  </si>
  <si>
    <t>Schedule 1 Step 3: Net Federal Tax</t>
  </si>
  <si>
    <t>Tax Calculated</t>
  </si>
  <si>
    <t>minus Credits Calculated</t>
  </si>
  <si>
    <t>Net Federal Tax</t>
  </si>
  <si>
    <t>AB428 Step 1: AB Tax Credits</t>
  </si>
  <si>
    <t>x10%</t>
  </si>
  <si>
    <t>AB428 Step 2: Tax on Taxable Income</t>
  </si>
  <si>
    <t>straight 10%</t>
  </si>
  <si>
    <t>AB428 Step 3: Net AB Tax</t>
  </si>
  <si>
    <t>Net AB Tax</t>
  </si>
  <si>
    <t>BASIC PERSONAL AMT</t>
  </si>
  <si>
    <t>AB BASIC PERSONAL</t>
  </si>
  <si>
    <t>Tax Owing</t>
  </si>
  <si>
    <t>CCB</t>
  </si>
  <si>
    <t>PUT COMMENTS FROM APP INTO HERE FOR DOCUMENTATION</t>
  </si>
  <si>
    <t>PLACE INTO GITHUB</t>
  </si>
  <si>
    <t>REFACTOR PERIODICALLY</t>
  </si>
  <si>
    <t>Cutoffs</t>
  </si>
  <si>
    <t>Annual Expenses (JAN-2017 to DEC-2017)</t>
  </si>
  <si>
    <t>Use this sheet for expenses PAID during the year (and not for saving stuff.)</t>
  </si>
  <si>
    <t>Actual</t>
  </si>
  <si>
    <t>Inflation Rate:</t>
  </si>
  <si>
    <t>Total Annual Expenses:</t>
  </si>
  <si>
    <t>Left Over:</t>
  </si>
  <si>
    <t>RED = needs decision</t>
  </si>
  <si>
    <t>1/2 Diff</t>
  </si>
  <si>
    <t>Empty Count:</t>
  </si>
  <si>
    <t>YNAB</t>
  </si>
  <si>
    <t>Name</t>
  </si>
  <si>
    <t>2016 Actuals</t>
  </si>
  <si>
    <t>Est. Annual</t>
  </si>
  <si>
    <t>Act. Annual</t>
  </si>
  <si>
    <t>Variance</t>
  </si>
  <si>
    <t>Comments</t>
  </si>
  <si>
    <t>Est 1/2 Year</t>
  </si>
  <si>
    <t>Actual 1/2 Year</t>
  </si>
  <si>
    <t>Notes</t>
  </si>
  <si>
    <t>Monthly [Periodic]:Rent</t>
  </si>
  <si>
    <t>Monthly [sporadic]:Household</t>
  </si>
  <si>
    <t>Savings Goals:Moving Expenses</t>
  </si>
  <si>
    <t>Debt Paydown:Loan Repay &gt; LoC</t>
  </si>
  <si>
    <t>Monthly [Periodic]:Just Energy</t>
  </si>
  <si>
    <t>Carbon tax + moving to Cook's == uncertainty!</t>
  </si>
  <si>
    <t>Monthly [sporadic]:Family Want</t>
  </si>
  <si>
    <t>Monthly [Periodic]:Piano &gt; Lessons</t>
  </si>
  <si>
    <t>Includes gift + recital fees (assume Mei goes to 45min?)</t>
  </si>
  <si>
    <t>Monthly [Periodic]:Arashi-Do</t>
  </si>
  <si>
    <t>11 months, 2 tests, 4 tournaments, $50 equipment</t>
  </si>
  <si>
    <t>EFM [periodic]:Hoshuko</t>
  </si>
  <si>
    <t>Monthly [Periodic]:TV/Phone/Internet</t>
  </si>
  <si>
    <t>Movies are separate, though</t>
  </si>
  <si>
    <t>Monthly [Periodic]:Monthly Donations</t>
  </si>
  <si>
    <t>Monthly [Periodic]:Enmax</t>
  </si>
  <si>
    <t>Monthly [sporadic]:Gifts &amp; Treats</t>
  </si>
  <si>
    <t>EFM [sporadic]:Car &gt; Maintenance/Repairs</t>
  </si>
  <si>
    <t>Included a $250 detailing. Skip this year.</t>
  </si>
  <si>
    <t>Monthly [Periodic]:Allowance &gt; Jordan</t>
  </si>
  <si>
    <t>Monthly [Periodic]:Allowance &gt; Nobuko</t>
  </si>
  <si>
    <t>Annual:Car Insurance [AUG]</t>
  </si>
  <si>
    <t>Monthly [Periodic]:Insurance &gt; Life (Manulife)</t>
  </si>
  <si>
    <t>EFM [sporadic]:4Life Products</t>
  </si>
  <si>
    <t>Dollar is killing this.</t>
  </si>
  <si>
    <t>Annual:Christmas &gt; Family Gifts [DEC]</t>
  </si>
  <si>
    <t>Monthly [sporadic]:Car &gt; Gas</t>
  </si>
  <si>
    <t>Monthly [Periodic]:Parking Pass</t>
  </si>
  <si>
    <t>Was 48.50/pay period. Up by inflation.</t>
  </si>
  <si>
    <t>Annual:Chief Hector Rem &gt; Mitz [MAR]</t>
  </si>
  <si>
    <t>Annual:Chief Hector Rem &gt; Mei [MAR]</t>
  </si>
  <si>
    <t>Monthly [sporadic]:Girl Dinners</t>
  </si>
  <si>
    <t>Monthly [sporadic]:Japanese Groceries</t>
  </si>
  <si>
    <t>Monthly [Periodic]:Cell &gt; Nobuko</t>
  </si>
  <si>
    <t>EFM [sporadic]:Clothes &gt; Mitski</t>
  </si>
  <si>
    <t>EFM [sporadic]:Haircuts</t>
  </si>
  <si>
    <t>new haircut place for N = $170/  … girls = ? 3 times/yr?</t>
  </si>
  <si>
    <t>EFM [sporadic]:Clothes &gt; Nobuko</t>
  </si>
  <si>
    <t>Monthly [Periodic]:Allowance &gt; Mitz</t>
  </si>
  <si>
    <t>bump to $50</t>
  </si>
  <si>
    <t>Monthly [Periodic]:Mei &gt; RESP Contribution</t>
  </si>
  <si>
    <t>Bump up?</t>
  </si>
  <si>
    <t>Monthly [Periodic]:Mitz &gt; RESP Contribution</t>
  </si>
  <si>
    <t>Savings Goals:Japan Trip [2019]</t>
  </si>
  <si>
    <t>Discretionary:RMR [FEB]</t>
  </si>
  <si>
    <t>EFM [sporadic]:Pet Supplies</t>
  </si>
  <si>
    <t>EFM [sporadic]:Clothes &gt; Mei</t>
  </si>
  <si>
    <t>Annual:Camping [JUN]</t>
  </si>
  <si>
    <t>guess (based on last two times, assuming we go 2x)</t>
  </si>
  <si>
    <t>EFY:Tires &gt; Winter [2017-OCT]</t>
  </si>
  <si>
    <t>425 left to pay this year. Next in 5 years.</t>
  </si>
  <si>
    <t>Monthly [Periodic]:Transit Pass (N)</t>
  </si>
  <si>
    <t>don't need for winter (no U of C) - assume Fall only</t>
  </si>
  <si>
    <t>EFM [periodic]:Piano &gt; Tuning</t>
  </si>
  <si>
    <t>Annual:Nobuko Retreat [MAY]</t>
  </si>
  <si>
    <t>Annual:CCH Equipment [JUN]</t>
  </si>
  <si>
    <t>guess (Mitz needs a new sleeping bag, Mei a pad)</t>
  </si>
  <si>
    <t>Monthly [Periodic]:Allowance &gt; Mei</t>
  </si>
  <si>
    <t>bump to $30</t>
  </si>
  <si>
    <t>EFM [sporadic]:Supplements</t>
  </si>
  <si>
    <t>Annual:School &gt; CBE Fees [AUG]</t>
  </si>
  <si>
    <t>Annual:Chief Hector Dep &gt; Mitski [OCT]</t>
  </si>
  <si>
    <t>Annual:Chief Hector Dep &gt; Mei [OCT]</t>
  </si>
  <si>
    <t>Annual:Stampede [JUN]</t>
  </si>
  <si>
    <t>EFM [sporadic]:Entertaining</t>
  </si>
  <si>
    <t>EFM [sporadic]:Household (Big Stuff)</t>
  </si>
  <si>
    <t>EFM [sporadic]:Misc</t>
  </si>
  <si>
    <t>Was WAY too high for 2016. Need to control this.</t>
  </si>
  <si>
    <t>EFY:Tires &gt; All-S [2018 - APR]</t>
  </si>
  <si>
    <t>300 this year, 300 next (2018).</t>
  </si>
  <si>
    <t>EFM [sporadic]:School &gt; Activity</t>
  </si>
  <si>
    <t>Monthly [Periodic]:Noon Supervision Fees &gt; Mei</t>
  </si>
  <si>
    <t>Annual:Birthday &gt; Mitz [MAR]</t>
  </si>
  <si>
    <t>Annual:Birthday &gt; Mei [MAY]</t>
  </si>
  <si>
    <t>Monthly [sporadic]:Stationery</t>
  </si>
  <si>
    <t>EFM [periodic]:Sports &gt; Mitz</t>
  </si>
  <si>
    <t>Hard to tell…swimming?</t>
  </si>
  <si>
    <t>EFM [sporadic]:Sporadic Donations</t>
  </si>
  <si>
    <t>Went a bit over.</t>
  </si>
  <si>
    <t>Annual:Anniversary Dinner [NOV]</t>
  </si>
  <si>
    <t>EFY:Cell Phone [2019 - SEP]</t>
  </si>
  <si>
    <t>EFM [sporadic]:Medical/Dental</t>
  </si>
  <si>
    <t>Annual:Insurance &gt; Rental [JUN]</t>
  </si>
  <si>
    <t>Annual:Crashplan [MAY]</t>
  </si>
  <si>
    <t>Is now $150 USD / year.</t>
  </si>
  <si>
    <t>EFM [sporadic]:School &gt; Band</t>
  </si>
  <si>
    <t>EFM [sporadic]:School &gt; Direct Donation</t>
  </si>
  <si>
    <t>Annual:MRU Locker [AUG]</t>
  </si>
  <si>
    <t>Annual:Christmas &gt; Friends &amp; Coworkers [DEC]</t>
  </si>
  <si>
    <t>EFM [sporadic]:Book Supp &gt; Jordan</t>
  </si>
  <si>
    <t>EFM [sporadic]:Book Supp &gt; Nobuko</t>
  </si>
  <si>
    <t>EFM [sporadic]:Book Supp &gt; Mitz</t>
  </si>
  <si>
    <t>Annual:Christmas &gt; Donations [DEC]</t>
  </si>
  <si>
    <t>Annual:Glendale Parent Site [JUL]</t>
  </si>
  <si>
    <t>EFM [periodic]:Cowley Trips</t>
  </si>
  <si>
    <t>Annual:Calaway Passes [NOV]</t>
  </si>
  <si>
    <t>EFM [periodic]:Sports &gt; Mei</t>
  </si>
  <si>
    <t>More swimming?</t>
  </si>
  <si>
    <t>EFM [sporadic]:School &gt; Fund Raising (General)</t>
  </si>
  <si>
    <t>Annual:DropBox [NOV]</t>
  </si>
  <si>
    <t>Annual:AMA Membership [JUL]</t>
  </si>
  <si>
    <t>EFM [sporadic]:Computer &gt; Ink</t>
  </si>
  <si>
    <t>Annual:Piano &gt; Exam [FEB]</t>
  </si>
  <si>
    <t>Monthly [Periodic]:Github</t>
  </si>
  <si>
    <t>EFM [sporadic]:Book Supp &gt; Mei</t>
  </si>
  <si>
    <t>Annual:Cell &gt; Prepaid [DEC]</t>
  </si>
  <si>
    <t>Annual:Piano &gt; Kiwanis [NOV]</t>
  </si>
  <si>
    <t>EFM [sporadic]:Computer &gt; Hardware</t>
  </si>
  <si>
    <t>EFY:Jpn Passport &gt; Girls [2017-APR]</t>
  </si>
  <si>
    <t>105 left to pay this year. Next in 5 years.</t>
  </si>
  <si>
    <t>EFM [sporadic]:Clothes &gt; Jordan</t>
  </si>
  <si>
    <t>EFM [sporadic]:Piano &gt; Books</t>
  </si>
  <si>
    <t>Probably need some theory books.</t>
  </si>
  <si>
    <t>EFM [sporadic]:School &gt; Supplies</t>
  </si>
  <si>
    <t>Mitz *should* need less this year.</t>
  </si>
  <si>
    <t>Annual:Birthday &gt; Nobuko [MAR]</t>
  </si>
  <si>
    <t>Annual:Mother's Day [APR]</t>
  </si>
  <si>
    <t>guess (mom &amp; Nobuko)</t>
  </si>
  <si>
    <t>Annual:Father's Day [MAY]</t>
  </si>
  <si>
    <t>guess (dad &amp; me)</t>
  </si>
  <si>
    <t>Annual:License Plates [SEP]</t>
  </si>
  <si>
    <t>Annual:End of School GIfts [MAY]</t>
  </si>
  <si>
    <t>Annual:Evernote [NOV]</t>
  </si>
  <si>
    <t>Annual:Halloween [SEP]</t>
  </si>
  <si>
    <t>Annual:Christmas &gt; School Gifts [DEC]</t>
  </si>
  <si>
    <t>EFY:Cdn Passport &gt; Girls [2017-APR]</t>
  </si>
  <si>
    <t>75 left to pay this year. Next in 5 years.</t>
  </si>
  <si>
    <t>Annual:Magnesium [OCT]</t>
  </si>
  <si>
    <t>EFM [sporadic]:School &gt; Pics</t>
  </si>
  <si>
    <t>assume 2 per year (one for each kid)</t>
  </si>
  <si>
    <t>EFM [sporadic]:Car2Go</t>
  </si>
  <si>
    <t>Annual:Crunchyroll [JUN]</t>
  </si>
  <si>
    <t>Annual:Trello [DEC]</t>
  </si>
  <si>
    <t>Annual:Dashlane [OCT]</t>
  </si>
  <si>
    <t>Annual:New Year's Eve [DEC]</t>
  </si>
  <si>
    <t>Annual:Birthday &gt; Jordan [JAN]</t>
  </si>
  <si>
    <t>Annual:FallCon [SEP]</t>
  </si>
  <si>
    <t>guess</t>
  </si>
  <si>
    <t>Savings Goals:Emergency Fund</t>
  </si>
  <si>
    <t>EFM [sporadic]:Parking - Other</t>
  </si>
  <si>
    <t>EFM [sporadic]:Computer &gt; Software</t>
  </si>
  <si>
    <t>EFM [sporadic]:School &gt; Fund Raising (Band)</t>
  </si>
  <si>
    <t>EFY:Antivirus [2017-FEB]</t>
  </si>
  <si>
    <t>40 left to pay this year. Next subscription in 3 yrs.</t>
  </si>
  <si>
    <t>Monthly [Periodic]:Bank Fees</t>
  </si>
  <si>
    <t>Annual:SimpleTax [MAR]</t>
  </si>
  <si>
    <t>Annual:Cozi [SEP]</t>
  </si>
  <si>
    <t>Annual:Shizu License [JUL]</t>
  </si>
  <si>
    <t>EFM [sporadic]:Sporadic Transit</t>
  </si>
  <si>
    <t>EFY:PR Card [2018]</t>
  </si>
  <si>
    <t>EFY:Driver's Lic Ren [2019]</t>
  </si>
  <si>
    <t>EFY:School &gt; Outdoor School [2019 - APR]</t>
  </si>
  <si>
    <t>EFY:Jpn Passport &gt; Nobuko [2020]</t>
  </si>
  <si>
    <t>Discretionary:Nerdvana [DEC-1]</t>
  </si>
  <si>
    <t>Skip 2018 unless money flows.</t>
  </si>
  <si>
    <t>Discretionary:Cirque [JUL?]</t>
  </si>
  <si>
    <t>Savings Goals:Car</t>
  </si>
  <si>
    <t>Savings Goals:Down Payment</t>
  </si>
  <si>
    <t>Savings Goals:Easter Vacation</t>
  </si>
  <si>
    <t>Savings Goals:Family Vacation</t>
  </si>
  <si>
    <t>Savings Goals:Laptop Replacement</t>
  </si>
  <si>
    <t>Buffers:Superstore</t>
  </si>
  <si>
    <t>remember - this is included in the superstore costs!</t>
  </si>
  <si>
    <t>change to Cook's in July</t>
  </si>
  <si>
    <t>piano, U-haul. Hopefully $700 dmg deposit sufficient.</t>
  </si>
  <si>
    <t>Annual Govt Constants</t>
  </si>
  <si>
    <t>Our Claim Codes</t>
  </si>
  <si>
    <t>Claim Codes Constants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</si>
</sst>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_-&quot;$&quot;* #,##0_-;\-&quot;$&quot;* #,##0_-;_-&quot;$&quot;* &quot;-&quot;_-;_-@_-"/>
    <numFmt numFmtId="165" formatCode="_-&quot;$&quot;* #,##0.00_-;\-&quot;$&quot;* #,##0.00_-;_-&quot;$&quot;* &quot;-&quot;??_-;_-@_-"/>
    <numFmt numFmtId="166" formatCode="0.000%"/>
    <numFmt numFmtId="167" formatCode="0.0%"/>
    <numFmt numFmtId="168" formatCode="_-&quot;$&quot;* #,##0_-;\-&quot;$&quot;* #,##0_-;_-&quot;$&quot;*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9" tint="-0.499984740745262"/>
      <name val="Calibri"/>
      <family val="2"/>
      <scheme val="minor"/>
    </font>
    <font>
      <b/>
      <sz val="11"/>
      <color theme="9" tint="-0.499984740745262"/>
      <name val="Calibri"/>
      <family val="2"/>
      <scheme val="minor"/>
    </font>
    <font>
      <sz val="11"/>
      <color rgb="FFC00000"/>
      <name val="Calibri"/>
      <family val="2"/>
      <scheme val="minor"/>
    </font>
    <font>
      <sz val="11"/>
      <color theme="4" tint="-0.499984740745262"/>
      <name val="Calibri"/>
      <family val="2"/>
      <scheme val="minor"/>
    </font>
    <font>
      <b/>
      <sz val="11"/>
      <color rgb="FFC00000"/>
      <name val="Calibri"/>
      <family val="2"/>
      <scheme val="minor"/>
    </font>
    <font>
      <b/>
      <sz val="11"/>
      <color theme="4" tint="-0.499984740745262"/>
      <name val="Calibri"/>
      <family val="2"/>
      <scheme val="minor"/>
    </font>
    <font>
      <b/>
      <i/>
      <sz val="11"/>
      <color theme="9" tint="-0.499984740745262"/>
      <name val="Calibri"/>
      <family val="2"/>
      <scheme val="minor"/>
    </font>
    <font>
      <b/>
      <i/>
      <sz val="11"/>
      <color rgb="FFC00000"/>
      <name val="Calibri"/>
      <family val="2"/>
      <scheme val="minor"/>
    </font>
    <font>
      <b/>
      <i/>
      <sz val="11"/>
      <color theme="4" tint="-0.499984740745262"/>
      <name val="Calibri"/>
      <family val="2"/>
      <scheme val="minor"/>
    </font>
    <font>
      <b/>
      <sz val="11"/>
      <color theme="0"/>
      <name val="Calibri"/>
      <family val="2"/>
      <scheme val="minor"/>
    </font>
    <font>
      <sz val="10"/>
      <color rgb="FF000000"/>
      <name val="Arial"/>
      <family val="2"/>
    </font>
    <font>
      <sz val="14"/>
      <color theme="1"/>
      <name val="Calibri"/>
      <family val="2"/>
      <scheme val="minor"/>
    </font>
    <font>
      <sz val="18"/>
      <color theme="1"/>
      <name val="Calibri"/>
      <family val="2"/>
      <scheme val="minor"/>
    </font>
    <font>
      <b/>
      <sz val="14"/>
      <color theme="1"/>
      <name val="Calibri"/>
      <family val="2"/>
      <scheme val="minor"/>
    </font>
    <font>
      <b/>
      <sz val="16"/>
      <color theme="1"/>
      <name val="Calibri"/>
      <family val="2"/>
      <scheme val="minor"/>
    </font>
    <font>
      <i/>
      <sz val="10"/>
      <color rgb="FF000000"/>
      <name val="Arial"/>
      <family val="2"/>
    </font>
    <font>
      <b/>
      <sz val="10"/>
      <color rgb="FF000000"/>
      <name val="Arial"/>
      <family val="2"/>
    </font>
    <font>
      <sz val="10"/>
      <color theme="1"/>
      <name val="Arial"/>
      <family val="2"/>
    </font>
    <font>
      <b/>
      <i/>
      <sz val="10"/>
      <color rgb="FF000000"/>
      <name val="Arial"/>
      <family val="2"/>
    </font>
    <font>
      <sz val="22"/>
      <color theme="1"/>
      <name val="Calibri Light"/>
      <family val="2"/>
      <scheme val="major"/>
    </font>
    <font>
      <sz val="14"/>
      <name val="Calibri"/>
      <family val="2"/>
      <scheme val="minor"/>
    </font>
    <font>
      <sz val="14"/>
      <color theme="0"/>
      <name val="Calibri"/>
      <family val="2"/>
      <scheme val="minor"/>
    </font>
    <font>
      <sz val="11"/>
      <color theme="5" tint="0.39997558519241921"/>
      <name val="Calibri"/>
      <family val="2"/>
      <scheme val="minor"/>
    </font>
    <font>
      <b/>
      <sz val="11"/>
      <color theme="5" tint="-0.249977111117893"/>
      <name val="Calibri"/>
      <family val="2"/>
      <scheme val="minor"/>
    </font>
    <font>
      <sz val="14"/>
      <color theme="5" tint="-0.499984740745262"/>
      <name val="Calibri"/>
      <family val="2"/>
      <scheme val="minor"/>
    </font>
    <font>
      <b/>
      <sz val="14"/>
      <color theme="0"/>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1"/>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4"/>
        <bgColor theme="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2" tint="-0.749992370372631"/>
        <bgColor indexed="64"/>
      </patternFill>
    </fill>
    <fill>
      <patternFill patternType="solid">
        <fgColor theme="7" tint="0.39997558519241921"/>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286">
    <xf numFmtId="0" fontId="0" fillId="0" borderId="0" xfId="0"/>
    <xf numFmtId="0" fontId="0" fillId="0" borderId="0" xfId="0" applyAlignment="1">
      <alignment horizontal="center" vertical="center"/>
    </xf>
    <xf numFmtId="0" fontId="0" fillId="0" borderId="0" xfId="0" applyAlignment="1">
      <alignment horizontal="center" vertical="center"/>
    </xf>
    <xf numFmtId="2" fontId="0" fillId="0" borderId="0" xfId="0" applyNumberFormat="1"/>
    <xf numFmtId="10" fontId="0" fillId="0" borderId="0" xfId="0" applyNumberFormat="1"/>
    <xf numFmtId="0" fontId="0" fillId="2" borderId="0" xfId="0" applyFill="1"/>
    <xf numFmtId="9" fontId="0" fillId="0" borderId="0" xfId="0" applyNumberFormat="1"/>
    <xf numFmtId="2" fontId="0" fillId="2" borderId="0" xfId="0" applyNumberFormat="1" applyFill="1"/>
    <xf numFmtId="0" fontId="2" fillId="0" borderId="0" xfId="0" applyFont="1"/>
    <xf numFmtId="0" fontId="2" fillId="0" borderId="12" xfId="0" applyFont="1" applyBorder="1"/>
    <xf numFmtId="0" fontId="2" fillId="0" borderId="13" xfId="0" applyFont="1" applyBorder="1"/>
    <xf numFmtId="0" fontId="2" fillId="3" borderId="9" xfId="0" applyFont="1" applyFill="1" applyBorder="1" applyAlignment="1">
      <alignment horizontal="center" vertical="center"/>
    </xf>
    <xf numFmtId="0" fontId="2" fillId="3" borderId="11"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11"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5" borderId="0" xfId="0" applyFill="1" applyBorder="1" applyAlignment="1">
      <alignment horizontal="center" vertical="center"/>
    </xf>
    <xf numFmtId="0" fontId="0" fillId="5" borderId="5" xfId="0" applyFill="1" applyBorder="1" applyAlignment="1">
      <alignment horizontal="center" vertical="center"/>
    </xf>
    <xf numFmtId="0" fontId="0" fillId="3" borderId="6" xfId="0" applyFill="1" applyBorder="1" applyAlignment="1">
      <alignment horizontal="center" vertical="center"/>
    </xf>
    <xf numFmtId="0" fontId="0" fillId="3" borderId="8" xfId="0" applyFill="1" applyBorder="1" applyAlignment="1">
      <alignment horizontal="center" vertical="center"/>
    </xf>
    <xf numFmtId="0" fontId="0" fillId="4" borderId="6" xfId="0" applyFill="1" applyBorder="1" applyAlignment="1">
      <alignment horizontal="center" vertical="center"/>
    </xf>
    <xf numFmtId="0" fontId="0" fillId="4" borderId="8"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6" fillId="0" borderId="0" xfId="0" applyFont="1" applyAlignment="1">
      <alignment horizontal="center" vertical="center" textRotation="45"/>
    </xf>
    <xf numFmtId="0" fontId="9" fillId="0" borderId="0" xfId="0" applyFont="1"/>
    <xf numFmtId="2" fontId="7" fillId="0" borderId="0" xfId="0" applyNumberFormat="1" applyFont="1"/>
    <xf numFmtId="166" fontId="0" fillId="0" borderId="0" xfId="0" applyNumberFormat="1"/>
    <xf numFmtId="0" fontId="0" fillId="0" borderId="14" xfId="0" applyBorder="1"/>
    <xf numFmtId="0" fontId="2" fillId="0" borderId="14" xfId="0" applyFont="1" applyBorder="1"/>
    <xf numFmtId="0" fontId="2" fillId="0" borderId="14" xfId="0" applyFont="1"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5" fontId="0" fillId="0" borderId="0" xfId="1" applyFont="1"/>
    <xf numFmtId="0" fontId="0" fillId="0" borderId="0" xfId="0" applyAlignment="1">
      <alignment horizontal="center" vertical="center"/>
    </xf>
    <xf numFmtId="2" fontId="0" fillId="0" borderId="0" xfId="2" applyNumberFormat="1" applyFont="1"/>
    <xf numFmtId="0" fontId="2" fillId="0" borderId="13" xfId="0" applyFont="1" applyFill="1" applyBorder="1"/>
    <xf numFmtId="0" fontId="2" fillId="0" borderId="10" xfId="0" applyFont="1" applyBorder="1" applyAlignment="1">
      <alignment horizontal="center" vertical="center"/>
    </xf>
    <xf numFmtId="0" fontId="2" fillId="0" borderId="11" xfId="0" applyFont="1" applyBorder="1" applyAlignment="1">
      <alignment horizontal="center" vertical="center"/>
    </xf>
    <xf numFmtId="165" fontId="0" fillId="0" borderId="0" xfId="0" applyNumberFormat="1"/>
    <xf numFmtId="165" fontId="0" fillId="4" borderId="17" xfId="1" applyFont="1" applyFill="1" applyBorder="1" applyAlignment="1"/>
    <xf numFmtId="165" fontId="0" fillId="0" borderId="20" xfId="1" applyFont="1" applyBorder="1" applyAlignment="1"/>
    <xf numFmtId="165" fontId="0" fillId="7" borderId="20" xfId="1" applyFont="1" applyFill="1" applyBorder="1" applyAlignment="1"/>
    <xf numFmtId="165" fontId="0" fillId="7" borderId="23" xfId="1" applyFont="1" applyFill="1" applyBorder="1" applyAlignment="1"/>
    <xf numFmtId="1" fontId="0" fillId="0" borderId="0" xfId="0" applyNumberFormat="1"/>
    <xf numFmtId="0" fontId="2" fillId="9" borderId="1" xfId="0" applyFont="1" applyFill="1" applyBorder="1" applyAlignment="1">
      <alignment horizontal="center" vertical="center"/>
    </xf>
    <xf numFmtId="0" fontId="0" fillId="9" borderId="13" xfId="0" applyFill="1" applyBorder="1" applyAlignment="1">
      <alignment horizontal="center" vertical="center"/>
    </xf>
    <xf numFmtId="0" fontId="2" fillId="6" borderId="1" xfId="0" applyFont="1" applyFill="1" applyBorder="1" applyAlignment="1">
      <alignment horizontal="center" vertical="center"/>
    </xf>
    <xf numFmtId="0" fontId="0" fillId="6" borderId="13" xfId="0" applyFill="1" applyBorder="1" applyAlignment="1">
      <alignment horizontal="center" vertical="center"/>
    </xf>
    <xf numFmtId="0" fontId="2" fillId="4" borderId="1" xfId="0" applyFont="1" applyFill="1" applyBorder="1" applyAlignment="1">
      <alignment horizontal="center" vertical="center"/>
    </xf>
    <xf numFmtId="0" fontId="0" fillId="4" borderId="13" xfId="0" applyFill="1" applyBorder="1" applyAlignment="1">
      <alignment horizontal="center" vertical="center"/>
    </xf>
    <xf numFmtId="0" fontId="0" fillId="11" borderId="1" xfId="0" applyFill="1" applyBorder="1"/>
    <xf numFmtId="0" fontId="0" fillId="0" borderId="18" xfId="0" applyBorder="1" applyAlignment="1">
      <alignment horizontal="center"/>
    </xf>
    <xf numFmtId="0" fontId="0" fillId="0" borderId="20" xfId="0"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0" fillId="13" borderId="18" xfId="0" applyFill="1" applyBorder="1" applyAlignment="1">
      <alignment horizontal="center"/>
    </xf>
    <xf numFmtId="0" fontId="0" fillId="13" borderId="20" xfId="0" applyFill="1" applyBorder="1" applyAlignment="1">
      <alignment horizontal="center"/>
    </xf>
    <xf numFmtId="0" fontId="0" fillId="13" borderId="21" xfId="0" applyFill="1" applyBorder="1" applyAlignment="1">
      <alignment horizontal="center"/>
    </xf>
    <xf numFmtId="0" fontId="0" fillId="13" borderId="23" xfId="0" applyFill="1" applyBorder="1" applyAlignment="1">
      <alignment horizontal="center"/>
    </xf>
    <xf numFmtId="0" fontId="18" fillId="0" borderId="0" xfId="0" applyFont="1" applyBorder="1" applyAlignment="1">
      <alignment horizontal="center"/>
    </xf>
    <xf numFmtId="0" fontId="0" fillId="0" borderId="0" xfId="0" applyFont="1"/>
    <xf numFmtId="0" fontId="6" fillId="0" borderId="2" xfId="0" applyFont="1" applyBorder="1"/>
    <xf numFmtId="2" fontId="5" fillId="0" borderId="2" xfId="0" applyNumberFormat="1" applyFont="1" applyBorder="1"/>
    <xf numFmtId="0" fontId="0" fillId="0" borderId="3" xfId="0" applyBorder="1"/>
    <xf numFmtId="0" fontId="6" fillId="0" borderId="0" xfId="0" applyFont="1" applyBorder="1"/>
    <xf numFmtId="2" fontId="5" fillId="0" borderId="0" xfId="0" applyNumberFormat="1" applyFont="1" applyBorder="1"/>
    <xf numFmtId="0" fontId="0" fillId="0" borderId="5" xfId="0" applyBorder="1"/>
    <xf numFmtId="2" fontId="5" fillId="0" borderId="3" xfId="0" applyNumberFormat="1" applyFont="1" applyBorder="1"/>
    <xf numFmtId="0" fontId="5" fillId="0" borderId="5" xfId="0" applyFont="1" applyBorder="1"/>
    <xf numFmtId="2" fontId="5" fillId="0" borderId="5" xfId="0" applyNumberFormat="1" applyFont="1" applyBorder="1"/>
    <xf numFmtId="0" fontId="11" fillId="0" borderId="0" xfId="0" applyFont="1" applyBorder="1"/>
    <xf numFmtId="0" fontId="9" fillId="0" borderId="2" xfId="0" applyFont="1" applyBorder="1"/>
    <xf numFmtId="2" fontId="7" fillId="0" borderId="2" xfId="0" applyNumberFormat="1" applyFont="1" applyBorder="1"/>
    <xf numFmtId="2" fontId="7" fillId="0" borderId="3" xfId="0" applyNumberFormat="1" applyFont="1" applyBorder="1"/>
    <xf numFmtId="0" fontId="9" fillId="0" borderId="0" xfId="0" applyFont="1" applyBorder="1"/>
    <xf numFmtId="2" fontId="7" fillId="0" borderId="0" xfId="0" applyNumberFormat="1" applyFont="1" applyBorder="1"/>
    <xf numFmtId="2" fontId="7" fillId="0" borderId="5" xfId="0" applyNumberFormat="1" applyFont="1" applyBorder="1"/>
    <xf numFmtId="0" fontId="7" fillId="0" borderId="0" xfId="0" applyFont="1" applyBorder="1"/>
    <xf numFmtId="0" fontId="7" fillId="0" borderId="5" xfId="0" applyFont="1" applyBorder="1"/>
    <xf numFmtId="0" fontId="12" fillId="0" borderId="0" xfId="0" applyFont="1" applyBorder="1"/>
    <xf numFmtId="0" fontId="2" fillId="0" borderId="7" xfId="0" applyFont="1" applyBorder="1"/>
    <xf numFmtId="2" fontId="9" fillId="0" borderId="8" xfId="0" applyNumberFormat="1" applyFont="1" applyBorder="1"/>
    <xf numFmtId="0" fontId="10" fillId="0" borderId="2" xfId="0" applyFont="1" applyBorder="1"/>
    <xf numFmtId="2" fontId="8" fillId="0" borderId="2" xfId="0" applyNumberFormat="1" applyFont="1" applyBorder="1"/>
    <xf numFmtId="2" fontId="8" fillId="0" borderId="3" xfId="0" applyNumberFormat="1" applyFont="1" applyBorder="1"/>
    <xf numFmtId="0" fontId="10" fillId="0" borderId="0" xfId="0" applyFont="1" applyBorder="1"/>
    <xf numFmtId="2" fontId="8" fillId="0" borderId="0" xfId="0" applyNumberFormat="1" applyFont="1" applyBorder="1"/>
    <xf numFmtId="2" fontId="8" fillId="0" borderId="5" xfId="0" applyNumberFormat="1" applyFont="1" applyBorder="1"/>
    <xf numFmtId="0" fontId="2" fillId="5" borderId="7" xfId="0" applyFont="1" applyFill="1" applyBorder="1"/>
    <xf numFmtId="2" fontId="9" fillId="5" borderId="7" xfId="0" applyNumberFormat="1" applyFont="1" applyFill="1" applyBorder="1"/>
    <xf numFmtId="0" fontId="6" fillId="4" borderId="7" xfId="0" applyFont="1" applyFill="1" applyBorder="1"/>
    <xf numFmtId="2" fontId="11" fillId="4" borderId="7" xfId="0" applyNumberFormat="1" applyFont="1" applyFill="1" applyBorder="1"/>
    <xf numFmtId="2" fontId="11" fillId="4" borderId="8" xfId="0" applyNumberFormat="1" applyFont="1" applyFill="1" applyBorder="1"/>
    <xf numFmtId="0" fontId="0" fillId="8" borderId="7" xfId="0" applyFill="1" applyBorder="1"/>
    <xf numFmtId="2" fontId="13" fillId="8" borderId="7" xfId="0" applyNumberFormat="1" applyFont="1" applyFill="1" applyBorder="1"/>
    <xf numFmtId="2" fontId="13" fillId="8" borderId="8" xfId="0" applyNumberFormat="1" applyFont="1" applyFill="1" applyBorder="1"/>
    <xf numFmtId="2" fontId="9" fillId="5" borderId="8" xfId="0" applyNumberFormat="1" applyFont="1" applyFill="1" applyBorder="1"/>
    <xf numFmtId="0" fontId="0" fillId="0" borderId="24" xfId="0" applyBorder="1"/>
    <xf numFmtId="0" fontId="0" fillId="0" borderId="4" xfId="0" applyBorder="1" applyAlignment="1">
      <alignment horizontal="center" vertical="center"/>
    </xf>
    <xf numFmtId="0" fontId="0" fillId="0" borderId="5" xfId="0" applyBorder="1" applyAlignment="1">
      <alignment horizontal="center" vertical="center"/>
    </xf>
    <xf numFmtId="2" fontId="5" fillId="0" borderId="24" xfId="0" applyNumberFormat="1" applyFont="1" applyBorder="1"/>
    <xf numFmtId="2" fontId="5" fillId="0" borderId="4" xfId="0" applyNumberFormat="1" applyFont="1" applyBorder="1"/>
    <xf numFmtId="2" fontId="11" fillId="4" borderId="6" xfId="0" applyNumberFormat="1" applyFont="1" applyFill="1" applyBorder="1"/>
    <xf numFmtId="2" fontId="7" fillId="0" borderId="4" xfId="0" applyNumberFormat="1" applyFont="1" applyBorder="1"/>
    <xf numFmtId="2" fontId="7" fillId="0" borderId="24" xfId="0" applyNumberFormat="1" applyFont="1" applyBorder="1"/>
    <xf numFmtId="0" fontId="7" fillId="0" borderId="4" xfId="0" applyFont="1" applyBorder="1"/>
    <xf numFmtId="2" fontId="9" fillId="5" borderId="6" xfId="0" applyNumberFormat="1" applyFont="1" applyFill="1" applyBorder="1"/>
    <xf numFmtId="2" fontId="8" fillId="0" borderId="24" xfId="0" applyNumberFormat="1" applyFont="1" applyBorder="1"/>
    <xf numFmtId="2" fontId="8" fillId="0" borderId="4" xfId="0" applyNumberFormat="1" applyFont="1" applyBorder="1"/>
    <xf numFmtId="0" fontId="0" fillId="0" borderId="4" xfId="0" applyBorder="1"/>
    <xf numFmtId="2" fontId="2" fillId="0" borderId="4" xfId="0" applyNumberFormat="1" applyFont="1" applyBorder="1"/>
    <xf numFmtId="2" fontId="2" fillId="0" borderId="5" xfId="0" applyNumberFormat="1" applyFont="1" applyBorder="1"/>
    <xf numFmtId="2" fontId="0" fillId="0" borderId="6" xfId="0" applyNumberFormat="1" applyBorder="1"/>
    <xf numFmtId="2" fontId="0" fillId="0" borderId="8" xfId="0" applyNumberFormat="1" applyBorder="1"/>
    <xf numFmtId="2" fontId="0" fillId="6" borderId="6" xfId="0" applyNumberFormat="1" applyFill="1" applyBorder="1"/>
    <xf numFmtId="0" fontId="5" fillId="0" borderId="4" xfId="0" applyFont="1" applyBorder="1"/>
    <xf numFmtId="0" fontId="2" fillId="0" borderId="5" xfId="0" applyFont="1" applyBorder="1"/>
    <xf numFmtId="0" fontId="0" fillId="0" borderId="6" xfId="0" applyBorder="1"/>
    <xf numFmtId="0" fontId="2" fillId="0" borderId="8" xfId="0" applyFont="1" applyBorder="1"/>
    <xf numFmtId="0" fontId="0" fillId="0" borderId="2" xfId="0" applyBorder="1"/>
    <xf numFmtId="0" fontId="2" fillId="0" borderId="0" xfId="0" applyFont="1" applyBorder="1"/>
    <xf numFmtId="2" fontId="2" fillId="0" borderId="0" xfId="0" applyNumberFormat="1" applyFont="1" applyBorder="1"/>
    <xf numFmtId="0" fontId="0" fillId="0" borderId="0" xfId="0" applyBorder="1"/>
    <xf numFmtId="2" fontId="0" fillId="0" borderId="7" xfId="0" applyNumberFormat="1" applyBorder="1"/>
    <xf numFmtId="2" fontId="5" fillId="6" borderId="4" xfId="0" applyNumberFormat="1" applyFont="1" applyFill="1" applyBorder="1"/>
    <xf numFmtId="2" fontId="5" fillId="6" borderId="5" xfId="0" applyNumberFormat="1" applyFont="1" applyFill="1" applyBorder="1"/>
    <xf numFmtId="2" fontId="5" fillId="6" borderId="24" xfId="0" applyNumberFormat="1" applyFont="1" applyFill="1" applyBorder="1"/>
    <xf numFmtId="0" fontId="5" fillId="6" borderId="4" xfId="0" applyFont="1" applyFill="1" applyBorder="1"/>
    <xf numFmtId="0" fontId="7" fillId="6" borderId="4" xfId="0" applyFont="1" applyFill="1" applyBorder="1"/>
    <xf numFmtId="2" fontId="9" fillId="0" borderId="6" xfId="0" applyNumberFormat="1" applyFont="1" applyBorder="1"/>
    <xf numFmtId="0" fontId="0" fillId="17" borderId="7" xfId="0" applyFill="1" applyBorder="1"/>
    <xf numFmtId="2" fontId="13" fillId="17" borderId="6" xfId="1" applyNumberFormat="1" applyFont="1" applyFill="1" applyBorder="1"/>
    <xf numFmtId="2" fontId="13" fillId="17" borderId="8" xfId="0" applyNumberFormat="1" applyFont="1" applyFill="1" applyBorder="1"/>
    <xf numFmtId="2" fontId="13" fillId="17" borderId="6" xfId="0" applyNumberFormat="1" applyFont="1" applyFill="1" applyBorder="1"/>
    <xf numFmtId="2" fontId="13" fillId="8" borderId="6" xfId="1" applyNumberFormat="1" applyFont="1" applyFill="1" applyBorder="1"/>
    <xf numFmtId="2" fontId="13" fillId="8" borderId="6" xfId="0" applyNumberFormat="1" applyFont="1" applyFill="1" applyBorder="1"/>
    <xf numFmtId="0" fontId="0" fillId="0" borderId="0" xfId="0" applyAlignment="1">
      <alignment wrapText="1"/>
    </xf>
    <xf numFmtId="0" fontId="20" fillId="0" borderId="0" xfId="0" applyFont="1" applyAlignment="1">
      <alignment wrapText="1"/>
    </xf>
    <xf numFmtId="165" fontId="20" fillId="6" borderId="0" xfId="1" applyFont="1" applyFill="1" applyAlignment="1">
      <alignment wrapText="1"/>
    </xf>
    <xf numFmtId="165" fontId="0" fillId="0" borderId="0" xfId="1" applyFont="1" applyAlignment="1">
      <alignment wrapText="1"/>
    </xf>
    <xf numFmtId="165" fontId="20" fillId="0" borderId="0" xfId="1" applyFont="1" applyAlignment="1">
      <alignment wrapText="1"/>
    </xf>
    <xf numFmtId="0" fontId="15" fillId="0" borderId="0" xfId="0" applyFont="1"/>
    <xf numFmtId="0" fontId="15" fillId="0" borderId="0" xfId="0" applyFont="1" applyAlignment="1">
      <alignment wrapText="1"/>
    </xf>
    <xf numFmtId="165" fontId="0" fillId="6" borderId="0" xfId="1" applyFont="1" applyFill="1" applyAlignment="1">
      <alignment wrapText="1"/>
    </xf>
    <xf numFmtId="165" fontId="0" fillId="0" borderId="27" xfId="1" applyFont="1" applyBorder="1"/>
    <xf numFmtId="0" fontId="2" fillId="0" borderId="0" xfId="0" applyFont="1" applyAlignment="1">
      <alignment horizontal="right"/>
    </xf>
    <xf numFmtId="165" fontId="21" fillId="0" borderId="0" xfId="1" applyFont="1" applyBorder="1" applyAlignment="1">
      <alignment wrapText="1"/>
    </xf>
    <xf numFmtId="165" fontId="0" fillId="0" borderId="28" xfId="1" applyFont="1" applyBorder="1" applyAlignment="1">
      <alignment wrapText="1"/>
    </xf>
    <xf numFmtId="165" fontId="0" fillId="6" borderId="28" xfId="1" applyFont="1" applyFill="1" applyBorder="1" applyAlignment="1">
      <alignment wrapText="1"/>
    </xf>
    <xf numFmtId="1" fontId="0" fillId="0" borderId="0" xfId="0" applyNumberFormat="1" applyAlignment="1">
      <alignment wrapText="1"/>
    </xf>
    <xf numFmtId="0" fontId="21" fillId="0" borderId="0" xfId="0" applyFont="1" applyAlignment="1">
      <alignment horizontal="right" wrapText="1"/>
    </xf>
    <xf numFmtId="165" fontId="0" fillId="18" borderId="0" xfId="1" applyFont="1" applyFill="1" applyAlignment="1">
      <alignment wrapText="1"/>
    </xf>
    <xf numFmtId="0" fontId="22" fillId="0" borderId="0" xfId="0" applyFont="1" applyFill="1" applyAlignment="1">
      <alignment wrapText="1"/>
    </xf>
    <xf numFmtId="9" fontId="0" fillId="0" borderId="0" xfId="2" applyFont="1"/>
    <xf numFmtId="0" fontId="15" fillId="0" borderId="0" xfId="0" applyFont="1" applyAlignment="1">
      <alignment horizontal="left"/>
    </xf>
    <xf numFmtId="165" fontId="0" fillId="6" borderId="0" xfId="1" applyFont="1" applyFill="1"/>
    <xf numFmtId="165" fontId="0" fillId="0" borderId="28" xfId="1" applyFont="1" applyBorder="1"/>
    <xf numFmtId="165" fontId="0" fillId="6" borderId="28" xfId="1" applyFont="1" applyFill="1" applyBorder="1"/>
    <xf numFmtId="0" fontId="21" fillId="0" borderId="0" xfId="0" applyFont="1" applyAlignment="1">
      <alignment horizontal="right"/>
    </xf>
    <xf numFmtId="165" fontId="0" fillId="18" borderId="0" xfId="1" applyFont="1" applyFill="1"/>
    <xf numFmtId="0" fontId="21" fillId="0" borderId="0" xfId="0" applyFont="1" applyAlignment="1">
      <alignment wrapText="1"/>
    </xf>
    <xf numFmtId="165" fontId="2" fillId="7" borderId="0" xfId="1" applyFont="1" applyFill="1"/>
    <xf numFmtId="0" fontId="0" fillId="18" borderId="1" xfId="0" applyFill="1" applyBorder="1" applyAlignment="1">
      <alignment wrapText="1"/>
    </xf>
    <xf numFmtId="0" fontId="0" fillId="6" borderId="1" xfId="0" applyFill="1" applyBorder="1" applyAlignment="1">
      <alignment wrapText="1"/>
    </xf>
    <xf numFmtId="165" fontId="0" fillId="18" borderId="29" xfId="1" applyFont="1" applyFill="1" applyBorder="1"/>
    <xf numFmtId="165" fontId="2" fillId="7" borderId="1" xfId="1" applyFont="1" applyFill="1" applyBorder="1"/>
    <xf numFmtId="0" fontId="0" fillId="0" borderId="0" xfId="0" applyAlignment="1">
      <alignment horizontal="right"/>
    </xf>
    <xf numFmtId="165" fontId="0" fillId="0" borderId="0" xfId="1" applyFont="1" applyBorder="1"/>
    <xf numFmtId="165" fontId="0" fillId="18" borderId="0" xfId="1" applyFont="1" applyFill="1" applyBorder="1"/>
    <xf numFmtId="0" fontId="21" fillId="0" borderId="0" xfId="0" quotePrefix="1" applyFont="1" applyAlignment="1">
      <alignment horizontal="right" wrapText="1"/>
    </xf>
    <xf numFmtId="0" fontId="15" fillId="0" borderId="0" xfId="0" quotePrefix="1" applyFont="1" applyAlignment="1">
      <alignment horizontal="right" wrapText="1"/>
    </xf>
    <xf numFmtId="165" fontId="0" fillId="0" borderId="27" xfId="1" applyFont="1" applyBorder="1" applyAlignment="1">
      <alignment wrapText="1"/>
    </xf>
    <xf numFmtId="0" fontId="0" fillId="0" borderId="0" xfId="0" quotePrefix="1" applyAlignment="1">
      <alignment wrapText="1"/>
    </xf>
    <xf numFmtId="44" fontId="0" fillId="0" borderId="0" xfId="0" applyNumberFormat="1" applyAlignment="1">
      <alignment wrapText="1"/>
    </xf>
    <xf numFmtId="165" fontId="0" fillId="18" borderId="28" xfId="1" applyFont="1" applyFill="1" applyBorder="1" applyAlignment="1">
      <alignment wrapText="1"/>
    </xf>
    <xf numFmtId="0" fontId="20" fillId="0" borderId="0" xfId="0" applyFont="1" applyAlignment="1">
      <alignment horizontal="right" wrapText="1"/>
    </xf>
    <xf numFmtId="165" fontId="0" fillId="18" borderId="27" xfId="1" applyFont="1" applyFill="1" applyBorder="1" applyAlignment="1">
      <alignment wrapText="1"/>
    </xf>
    <xf numFmtId="0" fontId="23" fillId="0" borderId="0" xfId="0" applyFont="1" applyAlignment="1">
      <alignment horizontal="right" wrapText="1"/>
    </xf>
    <xf numFmtId="165" fontId="20" fillId="6" borderId="0" xfId="1" applyFont="1" applyFill="1"/>
    <xf numFmtId="165" fontId="20" fillId="0" borderId="0" xfId="1" applyFont="1"/>
    <xf numFmtId="165" fontId="20" fillId="0" borderId="28" xfId="1" applyFont="1" applyBorder="1"/>
    <xf numFmtId="165" fontId="20" fillId="6" borderId="28" xfId="1" applyFont="1" applyFill="1" applyBorder="1"/>
    <xf numFmtId="0" fontId="0" fillId="0" borderId="0" xfId="0" quotePrefix="1" applyAlignment="1">
      <alignment horizontal="right" wrapText="1"/>
    </xf>
    <xf numFmtId="165" fontId="2" fillId="7" borderId="28" xfId="1" applyFont="1" applyFill="1" applyBorder="1"/>
    <xf numFmtId="165" fontId="0" fillId="18" borderId="28" xfId="1" applyFont="1" applyFill="1" applyBorder="1"/>
    <xf numFmtId="165" fontId="0" fillId="0" borderId="29" xfId="1" applyFont="1" applyBorder="1" applyAlignment="1">
      <alignment wrapText="1"/>
    </xf>
    <xf numFmtId="165" fontId="2" fillId="7" borderId="29" xfId="1" applyFont="1" applyFill="1" applyBorder="1"/>
    <xf numFmtId="165" fontId="20" fillId="18" borderId="0" xfId="1" applyFont="1" applyFill="1" applyAlignment="1">
      <alignment wrapText="1"/>
    </xf>
    <xf numFmtId="9" fontId="15" fillId="0" borderId="0" xfId="0" applyNumberFormat="1" applyFont="1"/>
    <xf numFmtId="165" fontId="0" fillId="18" borderId="27" xfId="1" applyFont="1" applyFill="1" applyBorder="1"/>
    <xf numFmtId="0" fontId="2" fillId="0" borderId="9" xfId="0" applyFont="1" applyBorder="1" applyAlignment="1">
      <alignment horizontal="center" vertical="center"/>
    </xf>
    <xf numFmtId="0" fontId="14" fillId="14" borderId="30" xfId="0" applyFont="1" applyFill="1" applyBorder="1"/>
    <xf numFmtId="44" fontId="14" fillId="14" borderId="30" xfId="1" applyNumberFormat="1" applyFont="1" applyFill="1" applyBorder="1"/>
    <xf numFmtId="0" fontId="0" fillId="0" borderId="30" xfId="0" applyBorder="1" applyAlignment="1">
      <alignment wrapText="1"/>
    </xf>
    <xf numFmtId="0" fontId="0" fillId="19" borderId="31" xfId="0" applyFont="1" applyFill="1" applyBorder="1"/>
    <xf numFmtId="167" fontId="0" fillId="19" borderId="31" xfId="2" applyNumberFormat="1" applyFont="1" applyFill="1" applyBorder="1"/>
    <xf numFmtId="0" fontId="0" fillId="0" borderId="31" xfId="0" applyFont="1" applyBorder="1"/>
    <xf numFmtId="167" fontId="0" fillId="0" borderId="31" xfId="2" applyNumberFormat="1" applyFont="1" applyBorder="1"/>
    <xf numFmtId="0" fontId="0" fillId="0" borderId="32" xfId="0" applyFont="1" applyBorder="1"/>
    <xf numFmtId="167" fontId="0" fillId="0" borderId="32" xfId="2" applyNumberFormat="1" applyFont="1" applyBorder="1"/>
    <xf numFmtId="164" fontId="0" fillId="0" borderId="0" xfId="0" applyNumberFormat="1"/>
    <xf numFmtId="10" fontId="0" fillId="0" borderId="0" xfId="2" applyNumberFormat="1" applyFont="1"/>
    <xf numFmtId="164" fontId="25" fillId="10" borderId="0" xfId="0" applyNumberFormat="1" applyFont="1" applyFill="1"/>
    <xf numFmtId="168" fontId="26" fillId="20" borderId="0" xfId="0" applyNumberFormat="1" applyFont="1" applyFill="1"/>
    <xf numFmtId="168" fontId="18" fillId="0" borderId="0" xfId="0" applyNumberFormat="1" applyFont="1"/>
    <xf numFmtId="164" fontId="18" fillId="0" borderId="0" xfId="0" applyNumberFormat="1" applyFont="1"/>
    <xf numFmtId="164" fontId="27" fillId="0" borderId="0" xfId="0" applyNumberFormat="1" applyFont="1"/>
    <xf numFmtId="164" fontId="28" fillId="0" borderId="0" xfId="0" applyNumberFormat="1" applyFont="1"/>
    <xf numFmtId="10" fontId="28" fillId="0" borderId="0" xfId="2" applyNumberFormat="1" applyFont="1"/>
    <xf numFmtId="0" fontId="0" fillId="0" borderId="0" xfId="0" applyFill="1"/>
    <xf numFmtId="164" fontId="29" fillId="5" borderId="0" xfId="0" applyNumberFormat="1" applyFont="1" applyFill="1"/>
    <xf numFmtId="164" fontId="30" fillId="12" borderId="0" xfId="0" applyNumberFormat="1" applyFont="1" applyFill="1"/>
    <xf numFmtId="10" fontId="29" fillId="5" borderId="0" xfId="2" applyNumberFormat="1" applyFont="1" applyFill="1"/>
    <xf numFmtId="0" fontId="0" fillId="0" borderId="0" xfId="0" quotePrefix="1"/>
    <xf numFmtId="0" fontId="14" fillId="21" borderId="24" xfId="0" applyFont="1" applyFill="1" applyBorder="1"/>
    <xf numFmtId="0" fontId="14" fillId="21" borderId="2" xfId="0" applyFont="1" applyFill="1" applyBorder="1"/>
    <xf numFmtId="0" fontId="14" fillId="21" borderId="3" xfId="0" applyFont="1" applyFill="1" applyBorder="1"/>
    <xf numFmtId="0" fontId="14" fillId="21" borderId="4" xfId="0" applyFont="1" applyFill="1" applyBorder="1"/>
    <xf numFmtId="165" fontId="14" fillId="21" borderId="0" xfId="0" applyNumberFormat="1" applyFont="1" applyFill="1" applyBorder="1"/>
    <xf numFmtId="0" fontId="14" fillId="21" borderId="5" xfId="0" applyFont="1" applyFill="1" applyBorder="1"/>
    <xf numFmtId="165" fontId="14" fillId="21" borderId="0" xfId="1" applyFont="1" applyFill="1" applyBorder="1"/>
    <xf numFmtId="0" fontId="14" fillId="21" borderId="6" xfId="0" applyFont="1" applyFill="1" applyBorder="1"/>
    <xf numFmtId="165" fontId="14" fillId="21" borderId="7" xfId="0" applyNumberFormat="1" applyFont="1" applyFill="1" applyBorder="1"/>
    <xf numFmtId="0" fontId="14" fillId="21" borderId="8" xfId="0" applyFont="1" applyFill="1" applyBorder="1"/>
    <xf numFmtId="0" fontId="16" fillId="0" borderId="24" xfId="0" applyFont="1" applyBorder="1" applyAlignment="1">
      <alignment horizontal="center"/>
    </xf>
    <xf numFmtId="0" fontId="16" fillId="0" borderId="3" xfId="0" applyFont="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24" fillId="10" borderId="4" xfId="0" applyFont="1" applyFill="1" applyBorder="1" applyAlignment="1">
      <alignment horizontal="center"/>
    </xf>
    <xf numFmtId="0" fontId="24" fillId="10" borderId="0" xfId="0" applyFont="1" applyFill="1" applyBorder="1" applyAlignment="1">
      <alignment horizontal="center"/>
    </xf>
    <xf numFmtId="0" fontId="0" fillId="7" borderId="18" xfId="0" applyFill="1" applyBorder="1" applyAlignment="1">
      <alignment horizontal="right"/>
    </xf>
    <xf numFmtId="0" fontId="0" fillId="7" borderId="19" xfId="0" applyFill="1" applyBorder="1" applyAlignment="1">
      <alignment horizontal="right"/>
    </xf>
    <xf numFmtId="0" fontId="0" fillId="7" borderId="21" xfId="0" applyFill="1" applyBorder="1" applyAlignment="1">
      <alignment horizontal="right"/>
    </xf>
    <xf numFmtId="0" fontId="0" fillId="7" borderId="22" xfId="0" applyFill="1" applyBorder="1" applyAlignment="1">
      <alignment horizontal="right"/>
    </xf>
    <xf numFmtId="0" fontId="17" fillId="2" borderId="9" xfId="0" applyFont="1" applyFill="1" applyBorder="1" applyAlignment="1">
      <alignment horizontal="center"/>
    </xf>
    <xf numFmtId="0" fontId="17" fillId="2" borderId="10" xfId="0" applyFont="1" applyFill="1" applyBorder="1" applyAlignment="1">
      <alignment horizontal="center"/>
    </xf>
    <xf numFmtId="0" fontId="17" fillId="2" borderId="11" xfId="0" applyFont="1" applyFill="1" applyBorder="1" applyAlignment="1">
      <alignment horizontal="center"/>
    </xf>
    <xf numFmtId="0" fontId="15" fillId="4" borderId="15" xfId="0" applyFont="1" applyFill="1" applyBorder="1" applyAlignment="1">
      <alignment horizontal="right"/>
    </xf>
    <xf numFmtId="0" fontId="0" fillId="4" borderId="16" xfId="0" applyFill="1" applyBorder="1" applyAlignment="1">
      <alignment horizontal="right"/>
    </xf>
    <xf numFmtId="0" fontId="0" fillId="0" borderId="18" xfId="0" applyBorder="1" applyAlignment="1">
      <alignment horizontal="right"/>
    </xf>
    <xf numFmtId="0" fontId="0" fillId="0" borderId="19" xfId="0" applyBorder="1" applyAlignment="1">
      <alignment horizontal="right"/>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6" fillId="4" borderId="24" xfId="0" applyFont="1" applyFill="1" applyBorder="1" applyAlignment="1">
      <alignment horizontal="center" vertical="center" textRotation="45"/>
    </xf>
    <xf numFmtId="0" fontId="6" fillId="4" borderId="4" xfId="0" applyFont="1" applyFill="1" applyBorder="1" applyAlignment="1">
      <alignment horizontal="center" vertical="center" textRotation="45"/>
    </xf>
    <xf numFmtId="0" fontId="6" fillId="4" borderId="6" xfId="0" applyFont="1" applyFill="1" applyBorder="1" applyAlignment="1">
      <alignment horizontal="center" vertical="center" textRotation="45"/>
    </xf>
    <xf numFmtId="0" fontId="9" fillId="5" borderId="24" xfId="0" applyFont="1" applyFill="1" applyBorder="1" applyAlignment="1">
      <alignment horizontal="center" vertical="center" textRotation="45"/>
    </xf>
    <xf numFmtId="0" fontId="9" fillId="5" borderId="4" xfId="0" applyFont="1" applyFill="1" applyBorder="1" applyAlignment="1">
      <alignment horizontal="center" vertical="center" textRotation="45"/>
    </xf>
    <xf numFmtId="0" fontId="9" fillId="5" borderId="6" xfId="0" applyFont="1" applyFill="1" applyBorder="1" applyAlignment="1">
      <alignment horizontal="center" vertical="center" textRotation="45"/>
    </xf>
    <xf numFmtId="0" fontId="10" fillId="8" borderId="24" xfId="0" applyFont="1" applyFill="1" applyBorder="1" applyAlignment="1">
      <alignment horizontal="center" vertical="center" textRotation="45"/>
    </xf>
    <xf numFmtId="0" fontId="10" fillId="8" borderId="4" xfId="0" applyFont="1" applyFill="1" applyBorder="1" applyAlignment="1">
      <alignment horizontal="center" vertical="center" textRotation="45"/>
    </xf>
    <xf numFmtId="0" fontId="10" fillId="8" borderId="6" xfId="0" applyFont="1" applyFill="1" applyBorder="1" applyAlignment="1">
      <alignment horizontal="center" vertical="center" textRotation="45"/>
    </xf>
    <xf numFmtId="0" fontId="10" fillId="17" borderId="24" xfId="0" applyFont="1" applyFill="1" applyBorder="1" applyAlignment="1">
      <alignment horizontal="center" vertical="center" textRotation="45"/>
    </xf>
    <xf numFmtId="0" fontId="10" fillId="17" borderId="4" xfId="0" applyFont="1" applyFill="1" applyBorder="1" applyAlignment="1">
      <alignment horizontal="center" vertical="center" textRotation="45"/>
    </xf>
    <xf numFmtId="0" fontId="10" fillId="17" borderId="6" xfId="0" applyFont="1" applyFill="1" applyBorder="1" applyAlignment="1">
      <alignment horizontal="center" vertical="center" textRotation="45"/>
    </xf>
    <xf numFmtId="0" fontId="19" fillId="0" borderId="0" xfId="0" applyFont="1" applyAlignment="1">
      <alignment horizontal="center" vertical="center"/>
    </xf>
    <xf numFmtId="0" fontId="2" fillId="10" borderId="0" xfId="0" applyFont="1" applyFill="1" applyAlignment="1">
      <alignment horizontal="center"/>
    </xf>
    <xf numFmtId="0" fontId="2" fillId="2" borderId="0" xfId="0" applyFont="1" applyFill="1" applyAlignment="1">
      <alignment horizontal="center"/>
    </xf>
    <xf numFmtId="0" fontId="21" fillId="15" borderId="0" xfId="0" applyFont="1" applyFill="1" applyAlignment="1">
      <alignment horizontal="center" wrapText="1"/>
    </xf>
    <xf numFmtId="0" fontId="2" fillId="16" borderId="0" xfId="0" applyFont="1" applyFill="1" applyAlignment="1">
      <alignment horizontal="center"/>
    </xf>
    <xf numFmtId="0" fontId="0" fillId="0" borderId="4" xfId="0" applyBorder="1" applyAlignment="1">
      <alignment horizontal="left" wrapText="1"/>
    </xf>
    <xf numFmtId="0" fontId="0" fillId="0" borderId="0" xfId="0" applyAlignment="1">
      <alignment horizontal="left" wrapText="1"/>
    </xf>
    <xf numFmtId="0" fontId="2" fillId="5" borderId="0" xfId="0" applyFont="1" applyFill="1" applyAlignment="1">
      <alignment horizontal="center"/>
    </xf>
    <xf numFmtId="0" fontId="15" fillId="0" borderId="0" xfId="0" applyFont="1" applyAlignment="1">
      <alignment horizontal="left" wrapText="1"/>
    </xf>
    <xf numFmtId="0" fontId="15" fillId="0" borderId="4" xfId="0" applyFont="1" applyBorder="1" applyAlignment="1">
      <alignment horizontal="left" wrapText="1"/>
    </xf>
    <xf numFmtId="0" fontId="0" fillId="0" borderId="0" xfId="0" applyAlignment="1">
      <alignment horizontal="center" vertical="center"/>
    </xf>
    <xf numFmtId="0" fontId="19" fillId="8" borderId="9" xfId="0" applyFont="1" applyFill="1" applyBorder="1" applyAlignment="1">
      <alignment horizontal="center"/>
    </xf>
    <xf numFmtId="0" fontId="19" fillId="8" borderId="10" xfId="0" applyFont="1" applyFill="1" applyBorder="1" applyAlignment="1">
      <alignment horizontal="center"/>
    </xf>
    <xf numFmtId="0" fontId="19" fillId="8" borderId="11" xfId="0" applyFont="1" applyFill="1" applyBorder="1" applyAlignment="1">
      <alignment horizontal="center"/>
    </xf>
    <xf numFmtId="0" fontId="18" fillId="22" borderId="9" xfId="0" applyFont="1" applyFill="1" applyBorder="1" applyAlignment="1">
      <alignment horizontal="center"/>
    </xf>
    <xf numFmtId="0" fontId="18" fillId="22" borderId="10" xfId="0" applyFont="1" applyFill="1" applyBorder="1" applyAlignment="1">
      <alignment horizontal="center"/>
    </xf>
    <xf numFmtId="0" fontId="18" fillId="22" borderId="11" xfId="0" applyFont="1" applyFill="1" applyBorder="1" applyAlignment="1">
      <alignment horizontal="center"/>
    </xf>
  </cellXfs>
  <cellStyles count="3">
    <cellStyle name="Currency" xfId="1" builtinId="4"/>
    <cellStyle name="Normal" xfId="0" builtinId="0"/>
    <cellStyle name="Percent" xfId="2" builtinId="5"/>
  </cellStyles>
  <dxfs count="18">
    <dxf>
      <numFmt numFmtId="13" formatCode="0%"/>
    </dxf>
    <dxf>
      <font>
        <color theme="0"/>
      </font>
      <fill>
        <patternFill>
          <bgColor rgb="FFFF0000"/>
        </patternFill>
      </fill>
    </dxf>
    <dxf>
      <font>
        <color theme="0"/>
      </font>
      <fill>
        <patternFill>
          <bgColor theme="9" tint="-0.499984740745262"/>
        </patternFill>
      </fill>
    </dxf>
    <dxf>
      <font>
        <color theme="0"/>
      </font>
      <fill>
        <patternFill>
          <bgColor rgb="FFFF0000"/>
        </patternFill>
      </fill>
    </dxf>
    <dxf>
      <font>
        <color theme="0"/>
      </font>
      <fill>
        <patternFill>
          <bgColor theme="9"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4" tint="0.39994506668294322"/>
        </patternFill>
      </fill>
      <border>
        <left/>
        <right/>
        <top/>
        <bottom/>
        <vertical/>
        <horizontal/>
      </border>
    </dxf>
    <dxf>
      <numFmt numFmtId="167" formatCode="0.0%"/>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dxf>
    <dxf>
      <border outline="0">
        <top style="medium">
          <color indexed="64"/>
        </top>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12</xdr:col>
      <xdr:colOff>57150</xdr:colOff>
      <xdr:row>0</xdr:row>
      <xdr:rowOff>142875</xdr:rowOff>
    </xdr:from>
    <xdr:to>
      <xdr:col>15</xdr:col>
      <xdr:colOff>295275</xdr:colOff>
      <xdr:row>16</xdr:row>
      <xdr:rowOff>0</xdr:rowOff>
    </xdr:to>
    <xdr:sp macro="" textlink="">
      <xdr:nvSpPr>
        <xdr:cNvPr id="2" name="TextBox 1">
          <a:extLst>
            <a:ext uri="{FF2B5EF4-FFF2-40B4-BE49-F238E27FC236}">
              <a16:creationId xmlns:a16="http://schemas.microsoft.com/office/drawing/2014/main" xmlns="" id="{CC2F4899-B9B0-45CF-8888-2C467DCC09E8}"/>
            </a:ext>
          </a:extLst>
        </xdr:cNvPr>
        <xdr:cNvSpPr txBox="1"/>
      </xdr:nvSpPr>
      <xdr:spPr>
        <a:xfrm>
          <a:off x="11692890" y="142875"/>
          <a:ext cx="2066925" cy="26460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Changes Made/To Make</a:t>
          </a:r>
        </a:p>
        <a:p>
          <a:endParaRPr lang="en-US" sz="1100"/>
        </a:p>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removed the fitness tax credit (phased out in 2017)</a:t>
          </a:r>
          <a:endParaRPr lang="en-US">
            <a:effectLst/>
          </a:endParaRP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removed the art tax credit (phased out in 2017)</a:t>
          </a:r>
          <a:endParaRPr lang="en-US" sz="1100" baseline="0"/>
        </a:p>
        <a:p>
          <a:endParaRPr lang="en-US" sz="1100" baseline="0"/>
        </a:p>
        <a:p>
          <a:r>
            <a:rPr lang="en-US" sz="1100"/>
            <a:t>-</a:t>
          </a:r>
          <a:r>
            <a:rPr lang="en-US" sz="1100" baseline="0"/>
            <a:t> removed the UCCB (phased out in 2017)</a:t>
          </a:r>
        </a:p>
        <a:p>
          <a:endParaRPr lang="en-US" sz="1100" baseline="0"/>
        </a:p>
        <a:p>
          <a:endParaRPr lang="en-US" sz="1100"/>
        </a:p>
      </xdr:txBody>
    </xdr:sp>
    <xdr:clientData/>
  </xdr:twoCellAnchor>
  <xdr:twoCellAnchor>
    <xdr:from>
      <xdr:col>7</xdr:col>
      <xdr:colOff>828675</xdr:colOff>
      <xdr:row>0</xdr:row>
      <xdr:rowOff>104771</xdr:rowOff>
    </xdr:from>
    <xdr:to>
      <xdr:col>11</xdr:col>
      <xdr:colOff>533400</xdr:colOff>
      <xdr:row>64</xdr:row>
      <xdr:rowOff>57149</xdr:rowOff>
    </xdr:to>
    <xdr:sp macro="" textlink="">
      <xdr:nvSpPr>
        <xdr:cNvPr id="3" name="TextBox 2">
          <a:extLst>
            <a:ext uri="{FF2B5EF4-FFF2-40B4-BE49-F238E27FC236}">
              <a16:creationId xmlns:a16="http://schemas.microsoft.com/office/drawing/2014/main" xmlns="" id="{9B9C8431-7ACC-4CF7-9F9D-C44EB640E000}"/>
            </a:ext>
          </a:extLst>
        </xdr:cNvPr>
        <xdr:cNvSpPr txBox="1"/>
      </xdr:nvSpPr>
      <xdr:spPr>
        <a:xfrm>
          <a:off x="9027795" y="104771"/>
          <a:ext cx="2531745" cy="111537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endParaRPr lang="en-US" sz="1100" baseline="0"/>
        </a:p>
        <a:p>
          <a:r>
            <a:rPr lang="en-US" sz="1100" baseline="0"/>
            <a:t>- When there's a choice where to claim deductions (transit, med expenses, donations), I use the choices SimpleTax made in the previous year</a:t>
          </a:r>
        </a:p>
        <a:p>
          <a:endParaRPr lang="en-US" sz="1100" baseline="0"/>
        </a:p>
        <a:p>
          <a:r>
            <a:rPr lang="en-US" sz="1100" baseline="0"/>
            <a:t>- Put the sections (credits, etc) in about the same order as they come in the forms in SimpleTax:</a:t>
          </a:r>
        </a:p>
        <a:p>
          <a:endParaRPr lang="en-US" sz="1100" baseline="0"/>
        </a:p>
        <a:p>
          <a:r>
            <a:rPr lang="en-US" sz="1100" baseline="0"/>
            <a:t>== T1 General ==</a:t>
          </a:r>
        </a:p>
        <a:p>
          <a:endParaRPr lang="en-US" sz="1100" baseline="0"/>
        </a:p>
        <a:p>
          <a:r>
            <a:rPr lang="en-US" sz="1100" baseline="0"/>
            <a:t>1) Step 2: Total Income</a:t>
          </a:r>
        </a:p>
        <a:p>
          <a:r>
            <a:rPr lang="en-US" sz="1100" baseline="0"/>
            <a:t>  a) employment income</a:t>
          </a:r>
        </a:p>
        <a:p>
          <a:r>
            <a:rPr lang="en-US" sz="1100" baseline="0"/>
            <a:t>  b) biz income</a:t>
          </a:r>
        </a:p>
        <a:p>
          <a:r>
            <a:rPr lang="en-US" sz="1100" baseline="0"/>
            <a:t>  ==&gt; total income</a:t>
          </a:r>
        </a:p>
        <a:p>
          <a:endParaRPr lang="en-US" sz="1100" baseline="0"/>
        </a:p>
        <a:p>
          <a:r>
            <a:rPr lang="en-US" sz="1100" baseline="0"/>
            <a:t>2) Step 3,4: Net/Taxable Income</a:t>
          </a:r>
        </a:p>
        <a:p>
          <a:r>
            <a:rPr lang="en-US" sz="1100" baseline="0"/>
            <a:t>  a) RPP</a:t>
          </a:r>
        </a:p>
        <a:p>
          <a:r>
            <a:rPr lang="en-US" sz="1100" baseline="0"/>
            <a:t>  b) union</a:t>
          </a:r>
        </a:p>
        <a:p>
          <a:r>
            <a:rPr lang="en-US" sz="1100" baseline="0"/>
            <a:t>  c) child care</a:t>
          </a:r>
        </a:p>
        <a:p>
          <a:r>
            <a:rPr lang="en-US" sz="1100" baseline="0"/>
            <a:t>  d) 1/2 cpp for 4Life</a:t>
          </a:r>
        </a:p>
        <a:p>
          <a:r>
            <a:rPr lang="en-US" sz="1100" baseline="0"/>
            <a:t>  ==&gt; net/taxable income</a:t>
          </a:r>
        </a:p>
        <a:p>
          <a:endParaRPr lang="en-US" sz="1100"/>
        </a:p>
        <a:p>
          <a:r>
            <a:rPr lang="en-US" sz="1100"/>
            <a:t>3) Step 6: Refund/Balance Owing</a:t>
          </a:r>
        </a:p>
        <a:p>
          <a:r>
            <a:rPr lang="en-US" sz="1100"/>
            <a:t>  a) net</a:t>
          </a:r>
          <a:r>
            <a:rPr lang="en-US" sz="1100" baseline="0"/>
            <a:t> fed tax (sched 1)</a:t>
          </a:r>
        </a:p>
        <a:p>
          <a:r>
            <a:rPr lang="en-US" sz="1100" baseline="0"/>
            <a:t>  b) net prov tax (form AB428)</a:t>
          </a:r>
        </a:p>
        <a:p>
          <a:r>
            <a:rPr lang="en-US" sz="1100" baseline="0"/>
            <a:t>  c) CPP owing on 4Life</a:t>
          </a:r>
        </a:p>
        <a:p>
          <a:r>
            <a:rPr lang="en-US" sz="1100"/>
            <a:t>  d) subtract credits</a:t>
          </a:r>
        </a:p>
        <a:p>
          <a:r>
            <a:rPr lang="en-US" sz="1100"/>
            <a:t>     i) tax already paid</a:t>
          </a:r>
        </a:p>
        <a:p>
          <a:r>
            <a:rPr lang="en-US" sz="1100"/>
            <a:t>    </a:t>
          </a:r>
          <a:r>
            <a:rPr lang="en-US" sz="1100" baseline="0"/>
            <a:t> ii) EI overpayment</a:t>
          </a:r>
        </a:p>
        <a:p>
          <a:r>
            <a:rPr lang="en-US" sz="1100" baseline="0"/>
            <a:t>     ii) tax paid by installment</a:t>
          </a:r>
        </a:p>
        <a:p>
          <a:r>
            <a:rPr lang="en-US" sz="1100" baseline="0"/>
            <a:t>  ==&gt; refund/balance</a:t>
          </a:r>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Schedule 8 ==</a:t>
          </a:r>
          <a:endParaRPr lang="en-US">
            <a:effectLst/>
          </a:endParaRPr>
        </a:p>
        <a:p>
          <a:endParaRPr lang="en-US" sz="1100"/>
        </a:p>
        <a:p>
          <a:r>
            <a:rPr lang="en-US" sz="1100"/>
            <a:t>1) Step</a:t>
          </a:r>
          <a:r>
            <a:rPr lang="en-US" sz="1100" baseline="0"/>
            <a:t> 1: Fed Tax Credits</a:t>
          </a:r>
        </a:p>
        <a:p>
          <a:r>
            <a:rPr lang="en-US" sz="1100" baseline="0"/>
            <a:t>  a) base amount</a:t>
          </a:r>
        </a:p>
        <a:p>
          <a:r>
            <a:rPr lang="en-US" sz="1100" baseline="0"/>
            <a:t>  b) CPP employment contributions</a:t>
          </a:r>
        </a:p>
        <a:p>
          <a:r>
            <a:rPr lang="en-US" sz="1100" baseline="0"/>
            <a:t>  c) 1/2 CPP 4Life contributions</a:t>
          </a:r>
        </a:p>
        <a:p>
          <a:r>
            <a:rPr lang="en-US" sz="1100" baseline="0"/>
            <a:t>  d) EI contributions</a:t>
          </a:r>
        </a:p>
        <a:p>
          <a:r>
            <a:rPr lang="en-US" sz="1100" baseline="0"/>
            <a:t>  e) employment amount</a:t>
          </a:r>
        </a:p>
        <a:p>
          <a:r>
            <a:rPr lang="en-US" sz="1100" baseline="0"/>
            <a:t>  f) public transit amount</a:t>
          </a:r>
        </a:p>
        <a:p>
          <a:r>
            <a:rPr lang="en-US" sz="1100" baseline="0"/>
            <a:t>  g) medical expenses</a:t>
          </a:r>
        </a:p>
        <a:p>
          <a:r>
            <a:rPr lang="en-US" sz="1100" baseline="0"/>
            <a:t>  h) donations</a:t>
          </a:r>
        </a:p>
        <a:p>
          <a:r>
            <a:rPr lang="en-US" sz="1100" baseline="0"/>
            <a:t>  ==&gt; tax credits</a:t>
          </a:r>
        </a:p>
        <a:p>
          <a:endParaRPr lang="en-US" sz="1100" baseline="0"/>
        </a:p>
        <a:p>
          <a:r>
            <a:rPr lang="en-US" sz="1100" baseline="0"/>
            <a:t>2) Step 2: Tax on Taxable Income</a:t>
          </a:r>
        </a:p>
        <a:p>
          <a:r>
            <a:rPr lang="en-US" sz="1100" baseline="0"/>
            <a:t>  a) tax bracket calculation</a:t>
          </a:r>
        </a:p>
        <a:p>
          <a:endParaRPr lang="en-US" sz="1100" baseline="0"/>
        </a:p>
        <a:p>
          <a:r>
            <a:rPr lang="en-US" sz="1100" baseline="0"/>
            <a:t>3) Step 3: Net Federal Tax</a:t>
          </a:r>
        </a:p>
        <a:p>
          <a:r>
            <a:rPr lang="en-US" sz="1100" baseline="0"/>
            <a:t>  a) step 2 result - step 1 result</a:t>
          </a:r>
        </a:p>
        <a:p>
          <a:r>
            <a:rPr lang="en-US" sz="1100" baseline="0"/>
            <a:t>  ==&gt; net federal tax</a:t>
          </a:r>
        </a:p>
        <a:p>
          <a:endParaRPr lang="en-US" sz="1100" baseline="0"/>
        </a:p>
        <a:p>
          <a:endParaRPr lang="en-US" sz="1100" baseline="0"/>
        </a:p>
        <a:p>
          <a:r>
            <a:rPr lang="en-US" sz="1100" baseline="0"/>
            <a:t>== AB428 ==</a:t>
          </a:r>
        </a:p>
        <a:p>
          <a:endParaRPr lang="en-US" sz="1100" baseline="0"/>
        </a:p>
        <a:p>
          <a:r>
            <a:rPr lang="en-US" sz="1100" baseline="0"/>
            <a:t>same as Schedule 8! (with minor diff)</a:t>
          </a:r>
        </a:p>
        <a:p>
          <a:endParaRPr lang="en-US" sz="1100"/>
        </a:p>
      </xdr:txBody>
    </xdr:sp>
    <xdr:clientData/>
  </xdr:twoCellAnchor>
  <xdr:twoCellAnchor>
    <xdr:from>
      <xdr:col>12</xdr:col>
      <xdr:colOff>66675</xdr:colOff>
      <xdr:row>16</xdr:row>
      <xdr:rowOff>152399</xdr:rowOff>
    </xdr:from>
    <xdr:to>
      <xdr:col>15</xdr:col>
      <xdr:colOff>304800</xdr:colOff>
      <xdr:row>37</xdr:row>
      <xdr:rowOff>161924</xdr:rowOff>
    </xdr:to>
    <xdr:sp macro="" textlink="">
      <xdr:nvSpPr>
        <xdr:cNvPr id="4" name="TextBox 3">
          <a:extLst>
            <a:ext uri="{FF2B5EF4-FFF2-40B4-BE49-F238E27FC236}">
              <a16:creationId xmlns:a16="http://schemas.microsoft.com/office/drawing/2014/main" xmlns="" id="{9709D701-FC40-48F9-9A32-FB11ACDADDF1}"/>
            </a:ext>
          </a:extLst>
        </xdr:cNvPr>
        <xdr:cNvSpPr txBox="1"/>
      </xdr:nvSpPr>
      <xdr:spPr>
        <a:xfrm>
          <a:off x="11702415" y="2941319"/>
          <a:ext cx="2066925" cy="36595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 That</a:t>
          </a:r>
          <a:r>
            <a:rPr lang="en-US" sz="1100" baseline="0"/>
            <a:t> Might Change</a:t>
          </a:r>
          <a:endParaRPr lang="en-US" sz="1100"/>
        </a:p>
        <a:p>
          <a:endParaRPr lang="en-US" sz="1100"/>
        </a:p>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magic numbers (use Magic Numbers tab as much as possible)</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donation percentages - they're different between feds and prov</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EI percentage (9.9%)</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medical expenses magic numbers (diff between fed and prov)</a:t>
          </a: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95250</xdr:colOff>
      <xdr:row>7</xdr:row>
      <xdr:rowOff>76201</xdr:rowOff>
    </xdr:from>
    <xdr:to>
      <xdr:col>15</xdr:col>
      <xdr:colOff>561975</xdr:colOff>
      <xdr:row>10</xdr:row>
      <xdr:rowOff>95251</xdr:rowOff>
    </xdr:to>
    <xdr:sp macro="" textlink="">
      <xdr:nvSpPr>
        <xdr:cNvPr id="3" name="TextBox 2"/>
        <xdr:cNvSpPr txBox="1"/>
      </xdr:nvSpPr>
      <xdr:spPr>
        <a:xfrm>
          <a:off x="6772275" y="1476376"/>
          <a:ext cx="412432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a:t>
          </a:r>
          <a:r>
            <a:rPr lang="en-US" sz="1100" baseline="0"/>
            <a:t> "T4127 Payroll Deductions Formulas for Computer Programs"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22</xdr:row>
      <xdr:rowOff>0</xdr:rowOff>
    </xdr:from>
    <xdr:to>
      <xdr:col>8</xdr:col>
      <xdr:colOff>130969</xdr:colOff>
      <xdr:row>27</xdr:row>
      <xdr:rowOff>59531</xdr:rowOff>
    </xdr:to>
    <xdr:sp macro="" textlink="">
      <xdr:nvSpPr>
        <xdr:cNvPr id="2" name="TextBox 1"/>
        <xdr:cNvSpPr txBox="1"/>
      </xdr:nvSpPr>
      <xdr:spPr>
        <a:xfrm>
          <a:off x="3036094" y="4191000"/>
          <a:ext cx="3286125" cy="10120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can be gotten from the MRSA </a:t>
          </a:r>
          <a:r>
            <a:rPr lang="en-US" sz="1100" baseline="0"/>
            <a:t>Collective Agreement and from the HR section at mtroyal.ca - look for links to full-time staff benefits.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488156</xdr:colOff>
      <xdr:row>14</xdr:row>
      <xdr:rowOff>107156</xdr:rowOff>
    </xdr:from>
    <xdr:to>
      <xdr:col>12</xdr:col>
      <xdr:colOff>130968</xdr:colOff>
      <xdr:row>19</xdr:row>
      <xdr:rowOff>166687</xdr:rowOff>
    </xdr:to>
    <xdr:sp macro="" textlink="">
      <xdr:nvSpPr>
        <xdr:cNvPr id="2" name="TextBox 1"/>
        <xdr:cNvSpPr txBox="1"/>
      </xdr:nvSpPr>
      <xdr:spPr>
        <a:xfrm>
          <a:off x="5072062" y="2774156"/>
          <a:ext cx="3286125" cy="10120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can be gotten from the MRFA</a:t>
          </a:r>
          <a:r>
            <a:rPr lang="en-US" sz="1100" baseline="0"/>
            <a:t> Collective Agreement.</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238125</xdr:colOff>
      <xdr:row>2</xdr:row>
      <xdr:rowOff>142875</xdr:rowOff>
    </xdr:from>
    <xdr:to>
      <xdr:col>10</xdr:col>
      <xdr:colOff>209550</xdr:colOff>
      <xdr:row>13</xdr:row>
      <xdr:rowOff>133350</xdr:rowOff>
    </xdr:to>
    <xdr:sp macro="" textlink="">
      <xdr:nvSpPr>
        <xdr:cNvPr id="2" name="TextBox 1"/>
        <xdr:cNvSpPr txBox="1"/>
      </xdr:nvSpPr>
      <xdr:spPr>
        <a:xfrm>
          <a:off x="847725" y="523875"/>
          <a:ext cx="54578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 According to chapter 8 of the T4127 publication, EI    </a:t>
          </a:r>
        </a:p>
        <a:p>
          <a:r>
            <a:rPr lang="en-US" sz="1100"/>
            <a:t>// is calculated as:    </a:t>
          </a:r>
        </a:p>
        <a:p>
          <a:r>
            <a:rPr lang="en-US" sz="1100"/>
            <a:t>//      The lesser of    </a:t>
          </a:r>
        </a:p>
        <a:p>
          <a:r>
            <a:rPr lang="en-US" sz="1100"/>
            <a:t>//      (i) $836.19 – D1; and  (what about negatives?!?)    </a:t>
          </a:r>
        </a:p>
        <a:p>
          <a:r>
            <a:rPr lang="en-US" sz="1100"/>
            <a:t>//      (ii) 0.0163 × IE.    </a:t>
          </a:r>
        </a:p>
        <a:p>
          <a:r>
            <a:rPr lang="en-US" sz="1100"/>
            <a:t>//   </a:t>
          </a:r>
        </a:p>
        <a:p>
          <a:r>
            <a:rPr lang="en-US" sz="1100"/>
            <a:t>//      D1 = the year-to-date EI contributions    </a:t>
          </a:r>
        </a:p>
        <a:p>
          <a:r>
            <a:rPr lang="en-US" sz="1100"/>
            <a:t>//      IE = insurable earnings for this pay period including insurable taxable benefits</a:t>
          </a:r>
        </a:p>
      </xdr:txBody>
    </xdr:sp>
    <xdr:clientData/>
  </xdr:twoCellAnchor>
  <xdr:twoCellAnchor>
    <xdr:from>
      <xdr:col>1</xdr:col>
      <xdr:colOff>266700</xdr:colOff>
      <xdr:row>14</xdr:row>
      <xdr:rowOff>123826</xdr:rowOff>
    </xdr:from>
    <xdr:to>
      <xdr:col>10</xdr:col>
      <xdr:colOff>581025</xdr:colOff>
      <xdr:row>37</xdr:row>
      <xdr:rowOff>47626</xdr:rowOff>
    </xdr:to>
    <xdr:sp macro="" textlink="">
      <xdr:nvSpPr>
        <xdr:cNvPr id="3" name="TextBox 2"/>
        <xdr:cNvSpPr txBox="1"/>
      </xdr:nvSpPr>
      <xdr:spPr>
        <a:xfrm>
          <a:off x="876300" y="2790826"/>
          <a:ext cx="5800725" cy="430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 Will be using the Option 1 method of calculation    </a:t>
          </a:r>
        </a:p>
        <a:p>
          <a:r>
            <a:rPr lang="en-US" sz="1100"/>
            <a:t>// outlined in Chatper 5 of the guide to find T1    </a:t>
          </a:r>
        </a:p>
        <a:p>
          <a:r>
            <a:rPr lang="en-US" sz="1100"/>
            <a:t>// (the Annual Federal Tax Payable:    </a:t>
          </a:r>
        </a:p>
        <a:p>
          <a:r>
            <a:rPr lang="en-US" sz="1100"/>
            <a:t>//      T1 = T3 - LCF (if negative, = 0)    </a:t>
          </a:r>
        </a:p>
        <a:p>
          <a:r>
            <a:rPr lang="en-US" sz="1100"/>
            <a:t>//    </a:t>
          </a:r>
        </a:p>
        <a:p>
          <a:r>
            <a:rPr lang="en-US" sz="1100"/>
            <a:t>//      T3 = basic federal tax...this is a bit complicated (see below)    </a:t>
          </a:r>
        </a:p>
        <a:p>
          <a:r>
            <a:rPr lang="en-US" sz="1100"/>
            <a:t>//      LCF = 0 in our case...if we had "approved shares of the    </a:t>
          </a:r>
        </a:p>
        <a:p>
          <a:r>
            <a:rPr lang="en-US" sz="1100"/>
            <a:t>//            capital stock of blahblahblah", there *might*    </a:t>
          </a:r>
        </a:p>
        <a:p>
          <a:r>
            <a:rPr lang="en-US" sz="1100"/>
            <a:t>//            be something here, but....    </a:t>
          </a:r>
        </a:p>
        <a:p>
          <a:r>
            <a:rPr lang="en-US" sz="1100"/>
            <a:t>//    //  OK, let's talk T3:    </a:t>
          </a:r>
        </a:p>
        <a:p>
          <a:r>
            <a:rPr lang="en-US" sz="1100"/>
            <a:t>//      T3 = (R × A) – K – K1 – K2 – K3 – K4    </a:t>
          </a:r>
        </a:p>
        <a:p>
          <a:r>
            <a:rPr lang="en-US" sz="1100"/>
            <a:t>//    </a:t>
          </a:r>
        </a:p>
        <a:p>
          <a:r>
            <a:rPr lang="en-US" sz="1100"/>
            <a:t>//      R = federal tax rates; given in the guide as a table ("Federal tax rates and income thresholds")    </a:t>
          </a:r>
        </a:p>
        <a:p>
          <a:r>
            <a:rPr lang="en-US" sz="1100"/>
            <a:t>//      A = annual taxable income, given below    </a:t>
          </a:r>
        </a:p>
        <a:p>
          <a:r>
            <a:rPr lang="en-US" sz="1100"/>
            <a:t>//      K = constant given in the table mentioned in R    </a:t>
          </a:r>
        </a:p>
        <a:p>
          <a:r>
            <a:rPr lang="en-US" sz="1100"/>
            <a:t>//      K1 = 0.15 x TC (Total Claim Amount reported on form TD1)    </a:t>
          </a:r>
        </a:p>
        <a:p>
          <a:r>
            <a:rPr lang="en-US" sz="1100"/>
            <a:t>//      K2 = [(0.15 × (P x C, maximum $2,564.10)) + (0.15 x (P × EI, maximum $836.19))]*    </a:t>
          </a:r>
        </a:p>
        <a:p>
          <a:r>
            <a:rPr lang="en-US" sz="1100"/>
            <a:t>//          P = pay periods in year   </a:t>
          </a:r>
        </a:p>
        <a:p>
          <a:r>
            <a:rPr lang="en-US" sz="1100"/>
            <a:t>//          C = CPP contributions for the pay period    </a:t>
          </a:r>
        </a:p>
        <a:p>
          <a:r>
            <a:rPr lang="en-US" sz="1100"/>
            <a:t>//          EI = EI contributions for the pay period    </a:t>
          </a:r>
        </a:p>
        <a:p>
          <a:r>
            <a:rPr lang="en-US" sz="1100"/>
            <a:t>//      K3 = credits for medical expenses and donations...currently, want to do this *afterward*    </a:t>
          </a:r>
        </a:p>
        <a:p>
          <a:r>
            <a:rPr lang="en-US" sz="1100"/>
            <a:t>//      K4 = Canada Employment Credit - the min of:    </a:t>
          </a:r>
        </a:p>
        <a:p>
          <a:r>
            <a:rPr lang="en-US" sz="1100"/>
            <a:t>//          i)  0.15 x A, and    //          ii) 0.15 x $1,178pay period including insurable taxable benefits</a:t>
          </a:r>
        </a:p>
      </xdr:txBody>
    </xdr:sp>
    <xdr:clientData/>
  </xdr:twoCellAnchor>
  <xdr:twoCellAnchor>
    <xdr:from>
      <xdr:col>11</xdr:col>
      <xdr:colOff>161925</xdr:colOff>
      <xdr:row>2</xdr:row>
      <xdr:rowOff>57151</xdr:rowOff>
    </xdr:from>
    <xdr:to>
      <xdr:col>20</xdr:col>
      <xdr:colOff>476250</xdr:colOff>
      <xdr:row>13</xdr:row>
      <xdr:rowOff>95250</xdr:rowOff>
    </xdr:to>
    <xdr:sp macro="" textlink="">
      <xdr:nvSpPr>
        <xdr:cNvPr id="4" name="TextBox 3"/>
        <xdr:cNvSpPr txBox="1"/>
      </xdr:nvSpPr>
      <xdr:spPr>
        <a:xfrm>
          <a:off x="6867525" y="438151"/>
          <a:ext cx="5800725" cy="2133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According to chapter 7 of the T4127 publication, CPP    </a:t>
          </a:r>
        </a:p>
        <a:p>
          <a:r>
            <a:rPr lang="en-US" sz="1100"/>
            <a:t>// is calculated as:    </a:t>
          </a:r>
        </a:p>
        <a:p>
          <a:r>
            <a:rPr lang="en-US" sz="1100"/>
            <a:t>//      The lesser of:    </a:t>
          </a:r>
        </a:p>
        <a:p>
          <a:r>
            <a:rPr lang="en-US" sz="1100"/>
            <a:t>//          (i) $2,564.10 – D; and    </a:t>
          </a:r>
        </a:p>
        <a:p>
          <a:r>
            <a:rPr lang="en-US" sz="1100"/>
            <a:t>//          (ii) 0.0495 × [PI – ($3,500/P)]    </a:t>
          </a:r>
        </a:p>
        <a:p>
          <a:r>
            <a:rPr lang="en-US" sz="1100"/>
            <a:t>//          If the result is negative, C = $0.    </a:t>
          </a:r>
        </a:p>
        <a:p>
          <a:r>
            <a:rPr lang="en-US" sz="1100"/>
            <a:t>//    </a:t>
          </a:r>
        </a:p>
        <a:p>
          <a:r>
            <a:rPr lang="en-US" sz="1100"/>
            <a:t>//      D = the year-to-date CPP contributions (not incl the current one)    </a:t>
          </a:r>
        </a:p>
        <a:p>
          <a:r>
            <a:rPr lang="en-US" sz="1100"/>
            <a:t>//      PI = pensionable income (i.e. gross + taxable benefits)    </a:t>
          </a:r>
        </a:p>
        <a:p>
          <a:r>
            <a:rPr lang="en-US" sz="1100"/>
            <a:t>//      P = number of pay periods in a year</a:t>
          </a:r>
        </a:p>
      </xdr:txBody>
    </xdr:sp>
    <xdr:clientData/>
  </xdr:twoCellAnchor>
  <xdr:twoCellAnchor>
    <xdr:from>
      <xdr:col>11</xdr:col>
      <xdr:colOff>85725</xdr:colOff>
      <xdr:row>14</xdr:row>
      <xdr:rowOff>104776</xdr:rowOff>
    </xdr:from>
    <xdr:to>
      <xdr:col>20</xdr:col>
      <xdr:colOff>400050</xdr:colOff>
      <xdr:row>27</xdr:row>
      <xdr:rowOff>85725</xdr:rowOff>
    </xdr:to>
    <xdr:sp macro="" textlink="">
      <xdr:nvSpPr>
        <xdr:cNvPr id="5" name="TextBox 4"/>
        <xdr:cNvSpPr txBox="1"/>
      </xdr:nvSpPr>
      <xdr:spPr>
        <a:xfrm>
          <a:off x="6791325" y="2771776"/>
          <a:ext cx="5800725" cy="2457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Let's talk A (Annual Taxable Income):</a:t>
          </a:r>
        </a:p>
        <a:p>
          <a:r>
            <a:rPr lang="en-US" sz="1100"/>
            <a:t>//      A = [P × (I – F – F2 – U1 )] – HD – F1, if negative: L</a:t>
          </a:r>
        </a:p>
        <a:p>
          <a:r>
            <a:rPr lang="en-US" sz="1100"/>
            <a:t>//</a:t>
          </a:r>
        </a:p>
        <a:p>
          <a:r>
            <a:rPr lang="en-US" sz="1100"/>
            <a:t>//          P = pay periods per year</a:t>
          </a:r>
        </a:p>
        <a:p>
          <a:r>
            <a:rPr lang="en-US" sz="1100"/>
            <a:t>//          I = income + taxable benefits</a:t>
          </a:r>
        </a:p>
        <a:p>
          <a:r>
            <a:rPr lang="en-US" sz="1100"/>
            <a:t>//          F = payments to an RPP, RRSP etc.</a:t>
          </a:r>
        </a:p>
        <a:p>
          <a:r>
            <a:rPr lang="en-US" sz="1100"/>
            <a:t>//          F2 = alimony or legal payments =&gt; assume 0</a:t>
          </a:r>
        </a:p>
        <a:p>
          <a:r>
            <a:rPr lang="en-US" sz="1100"/>
            <a:t>//          U1 = union dues</a:t>
          </a:r>
        </a:p>
        <a:p>
          <a:r>
            <a:rPr lang="en-US" sz="1100"/>
            <a:t>//          HD = deduction for living in a "prescribed zone" ==&gt; assume 0</a:t>
          </a:r>
        </a:p>
        <a:p>
          <a:r>
            <a:rPr lang="en-US" sz="1100"/>
            <a:t>//          F1 = annual deductions like child care expenses ==&gt; assume 0</a:t>
          </a:r>
        </a:p>
        <a:p>
          <a:r>
            <a:rPr lang="en-US" sz="1100"/>
            <a:t>//          L = additional tax deductions show on TD1 ==&gt; assume 0</a:t>
          </a:r>
        </a:p>
        <a:p>
          <a:r>
            <a:rPr lang="en-US" sz="1100"/>
            <a:t>//          ii) 0.15 x $1,178pay period including insurable taxable benefits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ary-Income-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JP"/>
      <sheetName val="Tax Calcs-JP"/>
      <sheetName val="NP-MRU"/>
      <sheetName val="Tax Calcs-NP"/>
      <sheetName val="UofC"/>
      <sheetName val="Tax Calcs-NP-UofC"/>
      <sheetName val="Hoshuko"/>
      <sheetName val="Tax Calcs-NP-Hoshuko"/>
      <sheetName val="Magic Numbers"/>
      <sheetName val="Overall Tax Calcs"/>
    </sheetNames>
    <sheetDataSet>
      <sheetData sheetId="0">
        <row r="10">
          <cell r="D10">
            <v>1312.0800000000002</v>
          </cell>
        </row>
      </sheetData>
      <sheetData sheetId="1"/>
      <sheetData sheetId="2"/>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id="1" name="Table1" displayName="Table1" ref="K3:M8" totalsRowShown="0" headerRowDxfId="17">
  <autoFilter ref="K3:M8"/>
  <tableColumns count="3">
    <tableColumn id="1" name="Source"/>
    <tableColumn id="2" name="Net" dataDxfId="16" dataCellStyle="Currency"/>
    <tableColumn id="3" name="Gross" dataDxfId="15" dataCellStyle="Currency"/>
  </tableColumns>
  <tableStyleInfo name="TableStyleMedium19" showFirstColumn="0" showLastColumn="0" showRowStripes="1" showColumnStripes="0"/>
</table>
</file>

<file path=xl/tables/table2.xml><?xml version="1.0" encoding="utf-8"?>
<table xmlns="http://schemas.openxmlformats.org/spreadsheetml/2006/main" id="2" name="Table2" displayName="Table2" ref="K12:L18" totalsRowShown="0" tableBorderDxfId="14">
  <autoFilter ref="K12:L18"/>
  <tableColumns count="2">
    <tableColumn id="1" name="Source"/>
    <tableColumn id="2" name="Amt" dataDxfId="13" dataCellStyle="Currency"/>
  </tableColumns>
  <tableStyleInfo name="TableStyleMedium19" showFirstColumn="0" showLastColumn="0" showRowStripes="1" showColumnStripes="0"/>
</table>
</file>

<file path=xl/tables/table3.xml><?xml version="1.0" encoding="utf-8"?>
<table xmlns="http://schemas.openxmlformats.org/spreadsheetml/2006/main" id="5" name="Table13" displayName="Table13" ref="B20:E24" totalsRowShown="0" headerRowBorderDxfId="12" tableBorderDxfId="11" totalsRowBorderDxfId="10">
  <autoFilter ref="B20:E24"/>
  <tableColumns count="4">
    <tableColumn id="1" name="Cutoffs"/>
    <tableColumn id="2" name="R" dataDxfId="9" dataCellStyle="Percent"/>
    <tableColumn id="3" name="K"/>
    <tableColumn id="4" name="Column1"/>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B3:C11" headerRowCount="0" totalsRowShown="0">
  <tableColumns count="2">
    <tableColumn id="1" name="Column1"/>
    <tableColumn id="2" name="Column2"/>
  </tableColumns>
  <tableStyleInfo name="TableStyleLight17" showFirstColumn="0" showLastColumn="0" showRowStripes="1" showColumnStripes="0"/>
</table>
</file>

<file path=xl/tables/table5.xml><?xml version="1.0" encoding="utf-8"?>
<table xmlns="http://schemas.openxmlformats.org/spreadsheetml/2006/main" id="4" name="Table4" displayName="Table4" ref="F3:J5" totalsRowShown="0">
  <autoFilter ref="F3:J5"/>
  <tableColumns count="5">
    <tableColumn id="1" name="Code"/>
    <tableColumn id="2" name="TC"/>
    <tableColumn id="3" name="K1"/>
    <tableColumn id="4" name="TCP"/>
    <tableColumn id="5" name="K1P"/>
  </tableColumns>
  <tableStyleInfo name="TableStyleLight10" showFirstColumn="0" showLastColumn="0" showRowStripes="1" showColumnStripes="0"/>
</table>
</file>

<file path=xl/tables/table6.xml><?xml version="1.0" encoding="utf-8"?>
<table xmlns="http://schemas.openxmlformats.org/spreadsheetml/2006/main" id="6" name="Table6" displayName="Table6" ref="G20:I23" totalsRowShown="0">
  <autoFilter ref="G20:I23"/>
  <tableColumns count="3">
    <tableColumn id="1" name="Upper A"/>
    <tableColumn id="2" name="R" dataDxfId="0"/>
    <tableColumn id="3" name="K"/>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B1:M27"/>
  <sheetViews>
    <sheetView tabSelected="1" workbookViewId="0">
      <selection activeCell="K20" sqref="K20"/>
    </sheetView>
  </sheetViews>
  <sheetFormatPr defaultRowHeight="15" x14ac:dyDescent="0.25"/>
  <cols>
    <col min="2" max="2" width="13" customWidth="1"/>
    <col min="3" max="9" width="12.85546875" customWidth="1"/>
    <col min="10" max="10" width="14.28515625" customWidth="1"/>
    <col min="11" max="11" width="11.28515625" bestFit="1" customWidth="1"/>
    <col min="12" max="13" width="12.28515625" bestFit="1" customWidth="1"/>
    <col min="14" max="15" width="11.85546875" customWidth="1"/>
  </cols>
  <sheetData>
    <row r="1" spans="2:13" ht="15.75" thickBot="1" x14ac:dyDescent="0.3"/>
    <row r="2" spans="2:13" ht="19.5" thickBot="1" x14ac:dyDescent="0.35">
      <c r="B2" s="236" t="s">
        <v>113</v>
      </c>
      <c r="C2" s="237"/>
      <c r="D2" s="237"/>
      <c r="E2" s="237"/>
      <c r="F2" s="237"/>
      <c r="G2" s="237"/>
      <c r="H2" s="238"/>
      <c r="I2" s="69"/>
      <c r="K2" s="239" t="s">
        <v>162</v>
      </c>
      <c r="L2" s="240"/>
      <c r="M2" s="241"/>
    </row>
    <row r="3" spans="2:13" ht="15.75" thickBot="1" x14ac:dyDescent="0.3">
      <c r="B3" s="60"/>
      <c r="C3" s="11" t="s">
        <v>52</v>
      </c>
      <c r="D3" s="12" t="s">
        <v>53</v>
      </c>
      <c r="E3" s="13" t="s">
        <v>54</v>
      </c>
      <c r="F3" s="14" t="s">
        <v>55</v>
      </c>
      <c r="G3" s="15" t="s">
        <v>56</v>
      </c>
      <c r="H3" s="16" t="s">
        <v>57</v>
      </c>
      <c r="K3" s="43" t="s">
        <v>153</v>
      </c>
      <c r="L3" s="43" t="s">
        <v>145</v>
      </c>
      <c r="M3" s="43" t="s">
        <v>146</v>
      </c>
    </row>
    <row r="4" spans="2:13" x14ac:dyDescent="0.25">
      <c r="B4" s="9" t="s">
        <v>49</v>
      </c>
      <c r="C4" s="17">
        <v>0</v>
      </c>
      <c r="D4" s="18">
        <v>8</v>
      </c>
      <c r="E4" s="19">
        <v>0</v>
      </c>
      <c r="F4" s="20">
        <v>0</v>
      </c>
      <c r="G4" s="21">
        <v>3</v>
      </c>
      <c r="H4" s="22">
        <v>7</v>
      </c>
      <c r="K4" t="s">
        <v>147</v>
      </c>
      <c r="L4" s="42">
        <f>MRU_J_EST_TAKEHOME</f>
        <v>67598.89</v>
      </c>
      <c r="M4" s="42">
        <f>MRU_JP_EARNINGS</f>
        <v>110140.40999999996</v>
      </c>
    </row>
    <row r="5" spans="2:13" x14ac:dyDescent="0.25">
      <c r="B5" s="9" t="s">
        <v>50</v>
      </c>
      <c r="C5" s="17">
        <v>2</v>
      </c>
      <c r="D5" s="18">
        <v>0</v>
      </c>
      <c r="E5" s="19">
        <v>0</v>
      </c>
      <c r="F5" s="20">
        <v>0</v>
      </c>
      <c r="G5" s="21">
        <v>2</v>
      </c>
      <c r="H5" s="22">
        <v>0</v>
      </c>
      <c r="K5" t="s">
        <v>148</v>
      </c>
      <c r="L5" s="42">
        <f>MRU_N_EST_TAKEHOME</f>
        <v>22841.360000000001</v>
      </c>
      <c r="M5" s="42">
        <f>MRU_NP_EARNINGS</f>
        <v>29181.919999999991</v>
      </c>
    </row>
    <row r="6" spans="2:13" ht="15.75" thickBot="1" x14ac:dyDescent="0.3">
      <c r="B6" s="10" t="s">
        <v>51</v>
      </c>
      <c r="C6" s="23">
        <v>0</v>
      </c>
      <c r="D6" s="24">
        <v>0</v>
      </c>
      <c r="E6" s="25">
        <v>0</v>
      </c>
      <c r="F6" s="26">
        <v>0</v>
      </c>
      <c r="G6" s="27">
        <v>1</v>
      </c>
      <c r="H6" s="28">
        <v>0</v>
      </c>
      <c r="K6" t="s">
        <v>149</v>
      </c>
      <c r="L6" s="42">
        <f>UOFC_EST_TAKEHOME</f>
        <v>0</v>
      </c>
      <c r="M6" s="42">
        <f>UOFC_EARNINGS</f>
        <v>0</v>
      </c>
    </row>
    <row r="7" spans="2:13" x14ac:dyDescent="0.25">
      <c r="K7" t="s">
        <v>150</v>
      </c>
      <c r="L7" s="42">
        <f>HOSHU_EST_TAKEHOME</f>
        <v>5403.58</v>
      </c>
      <c r="M7" s="42">
        <f>HOSHU_EARNINGS</f>
        <v>7456.9600000000009</v>
      </c>
    </row>
    <row r="8" spans="2:13" ht="15.75" thickBot="1" x14ac:dyDescent="0.3">
      <c r="K8" t="s">
        <v>151</v>
      </c>
      <c r="L8" s="48">
        <f>SUM(L4:L7)</f>
        <v>95843.83</v>
      </c>
      <c r="M8" s="48">
        <f>SUM(M4:M7)</f>
        <v>146779.28999999995</v>
      </c>
    </row>
    <row r="9" spans="2:13" ht="19.5" thickBot="1" x14ac:dyDescent="0.35">
      <c r="B9" s="236" t="s">
        <v>140</v>
      </c>
      <c r="C9" s="237"/>
      <c r="D9" s="237"/>
      <c r="E9" s="237"/>
      <c r="F9" s="238"/>
    </row>
    <row r="10" spans="2:13" ht="15.75" thickBot="1" x14ac:dyDescent="0.3">
      <c r="B10" s="60"/>
      <c r="C10" s="54" t="s">
        <v>115</v>
      </c>
      <c r="D10" s="58" t="s">
        <v>116</v>
      </c>
      <c r="E10" s="56" t="s">
        <v>117</v>
      </c>
      <c r="F10" s="16" t="s">
        <v>118</v>
      </c>
    </row>
    <row r="11" spans="2:13" ht="19.5" thickBot="1" x14ac:dyDescent="0.35">
      <c r="B11" s="45" t="s">
        <v>114</v>
      </c>
      <c r="C11" s="55">
        <v>0</v>
      </c>
      <c r="D11" s="59">
        <v>0</v>
      </c>
      <c r="E11" s="57">
        <v>0</v>
      </c>
      <c r="F11" s="28">
        <v>0</v>
      </c>
      <c r="K11" s="234" t="s">
        <v>163</v>
      </c>
      <c r="L11" s="235"/>
    </row>
    <row r="12" spans="2:13" ht="15.75" thickBot="1" x14ac:dyDescent="0.3">
      <c r="K12" t="s">
        <v>153</v>
      </c>
      <c r="L12" t="s">
        <v>154</v>
      </c>
    </row>
    <row r="13" spans="2:13" ht="15.75" thickBot="1" x14ac:dyDescent="0.3">
      <c r="G13" s="224"/>
      <c r="H13" s="225" t="s">
        <v>160</v>
      </c>
      <c r="I13" s="226" t="s">
        <v>161</v>
      </c>
      <c r="K13" t="s">
        <v>155</v>
      </c>
      <c r="L13" s="42">
        <f>CASB_ANNUAL_PAY</f>
        <v>5070</v>
      </c>
    </row>
    <row r="14" spans="2:13" ht="19.5" thickBot="1" x14ac:dyDescent="0.35">
      <c r="B14" s="236" t="s">
        <v>141</v>
      </c>
      <c r="C14" s="238"/>
      <c r="G14" s="227" t="s">
        <v>158</v>
      </c>
      <c r="H14" s="228">
        <f>L8+L18</f>
        <v>104857.77928475002</v>
      </c>
      <c r="I14" s="229"/>
      <c r="K14" t="s">
        <v>156</v>
      </c>
      <c r="L14" s="42">
        <f>FOURLIFE_ANNUAL_PAY</f>
        <v>717</v>
      </c>
    </row>
    <row r="15" spans="2:13" x14ac:dyDescent="0.25">
      <c r="B15" s="63" t="s">
        <v>123</v>
      </c>
      <c r="C15" s="64" t="s">
        <v>142</v>
      </c>
      <c r="G15" s="227" t="s">
        <v>159</v>
      </c>
      <c r="H15" s="230">
        <f>EST_ANNUAL_EXP</f>
        <v>96273.01999999999</v>
      </c>
      <c r="I15" s="229"/>
      <c r="K15" t="s">
        <v>279</v>
      </c>
      <c r="L15" s="42">
        <f>EST_CHILD_CARE_BEN</f>
        <v>1767.7417335000027</v>
      </c>
    </row>
    <row r="16" spans="2:13" ht="15.75" thickBot="1" x14ac:dyDescent="0.3">
      <c r="B16" s="61" t="s">
        <v>21</v>
      </c>
      <c r="C16" s="62">
        <v>3</v>
      </c>
      <c r="G16" s="231" t="s">
        <v>104</v>
      </c>
      <c r="H16" s="232">
        <f>H14-H15</f>
        <v>8584.7592847500346</v>
      </c>
      <c r="I16" s="233"/>
      <c r="K16" t="s">
        <v>157</v>
      </c>
      <c r="L16" s="42">
        <v>1183</v>
      </c>
    </row>
    <row r="17" spans="2:12" x14ac:dyDescent="0.25">
      <c r="B17" s="65" t="s">
        <v>22</v>
      </c>
      <c r="C17" s="66">
        <v>4</v>
      </c>
      <c r="K17" t="s">
        <v>278</v>
      </c>
      <c r="L17" s="42">
        <f>EST_TAX_OWING</f>
        <v>276.20755125001324</v>
      </c>
    </row>
    <row r="18" spans="2:12" x14ac:dyDescent="0.25">
      <c r="B18" s="61" t="s">
        <v>23</v>
      </c>
      <c r="C18" s="62">
        <v>4</v>
      </c>
      <c r="K18" t="s">
        <v>151</v>
      </c>
      <c r="L18" s="42">
        <f>SUM(L13:L17)</f>
        <v>9013.9492847500151</v>
      </c>
    </row>
    <row r="19" spans="2:12" x14ac:dyDescent="0.25">
      <c r="B19" s="65" t="s">
        <v>24</v>
      </c>
      <c r="C19" s="66">
        <v>3</v>
      </c>
    </row>
    <row r="20" spans="2:12" x14ac:dyDescent="0.25">
      <c r="B20" s="61" t="s">
        <v>25</v>
      </c>
      <c r="C20" s="62">
        <v>5</v>
      </c>
    </row>
    <row r="21" spans="2:12" x14ac:dyDescent="0.25">
      <c r="B21" s="65" t="s">
        <v>26</v>
      </c>
      <c r="C21" s="66">
        <v>5</v>
      </c>
    </row>
    <row r="22" spans="2:12" x14ac:dyDescent="0.25">
      <c r="B22" s="61" t="s">
        <v>27</v>
      </c>
      <c r="C22" s="62">
        <v>4</v>
      </c>
      <c r="F22" t="s">
        <v>280</v>
      </c>
    </row>
    <row r="23" spans="2:12" x14ac:dyDescent="0.25">
      <c r="B23" s="65" t="s">
        <v>28</v>
      </c>
      <c r="C23" s="66">
        <v>0</v>
      </c>
      <c r="F23" t="s">
        <v>281</v>
      </c>
    </row>
    <row r="24" spans="2:12" x14ac:dyDescent="0.25">
      <c r="B24" s="61" t="s">
        <v>29</v>
      </c>
      <c r="C24" s="62">
        <v>0</v>
      </c>
      <c r="F24" t="s">
        <v>282</v>
      </c>
      <c r="J24" s="48"/>
    </row>
    <row r="25" spans="2:12" x14ac:dyDescent="0.25">
      <c r="B25" s="65" t="s">
        <v>30</v>
      </c>
      <c r="C25" s="66">
        <v>0</v>
      </c>
      <c r="J25" s="48"/>
    </row>
    <row r="26" spans="2:12" x14ac:dyDescent="0.25">
      <c r="B26" s="61" t="s">
        <v>31</v>
      </c>
      <c r="C26" s="62">
        <v>0</v>
      </c>
    </row>
    <row r="27" spans="2:12" ht="15.75" thickBot="1" x14ac:dyDescent="0.3">
      <c r="B27" s="67" t="s">
        <v>32</v>
      </c>
      <c r="C27" s="68">
        <v>0</v>
      </c>
    </row>
  </sheetData>
  <mergeCells count="5">
    <mergeCell ref="K11:L11"/>
    <mergeCell ref="B2:H2"/>
    <mergeCell ref="B9:F9"/>
    <mergeCell ref="B14:C14"/>
    <mergeCell ref="K2:M2"/>
  </mergeCells>
  <pageMargins left="0.7" right="0.7" top="0.75" bottom="0.75" header="0.3" footer="0.3"/>
  <pageSetup orientation="portrait" horizontalDpi="4294967293" r:id="rId1"/>
  <legacy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5"/>
  <sheetViews>
    <sheetView zoomScale="80" zoomScaleNormal="80" workbookViewId="0">
      <selection activeCell="C20" sqref="C20"/>
    </sheetView>
  </sheetViews>
  <sheetFormatPr defaultRowHeight="15" x14ac:dyDescent="0.25"/>
  <cols>
    <col min="1" max="1" width="26.5703125" bestFit="1" customWidth="1"/>
    <col min="2" max="25" width="9.42578125" customWidth="1"/>
  </cols>
  <sheetData>
    <row r="1" spans="1:25" x14ac:dyDescent="0.25">
      <c r="B1" s="279" t="s">
        <v>21</v>
      </c>
      <c r="C1" s="279"/>
      <c r="D1" s="279" t="s">
        <v>22</v>
      </c>
      <c r="E1" s="279"/>
      <c r="F1" s="279" t="s">
        <v>23</v>
      </c>
      <c r="G1" s="279"/>
      <c r="H1" s="279" t="s">
        <v>24</v>
      </c>
      <c r="I1" s="279"/>
      <c r="J1" s="279" t="s">
        <v>25</v>
      </c>
      <c r="K1" s="279"/>
      <c r="L1" s="279" t="s">
        <v>26</v>
      </c>
      <c r="M1" s="279"/>
      <c r="N1" s="279" t="s">
        <v>27</v>
      </c>
      <c r="O1" s="279"/>
      <c r="P1" s="279" t="s">
        <v>28</v>
      </c>
      <c r="Q1" s="279"/>
      <c r="R1" s="279" t="s">
        <v>29</v>
      </c>
      <c r="S1" s="279"/>
      <c r="T1" s="279" t="s">
        <v>30</v>
      </c>
      <c r="U1" s="279"/>
      <c r="V1" s="279" t="s">
        <v>31</v>
      </c>
      <c r="W1" s="279"/>
      <c r="X1" s="279" t="s">
        <v>32</v>
      </c>
      <c r="Y1" s="279"/>
    </row>
    <row r="2" spans="1:25" x14ac:dyDescent="0.25">
      <c r="B2" s="1">
        <v>1</v>
      </c>
      <c r="C2" s="1">
        <v>2</v>
      </c>
      <c r="D2" s="1">
        <v>3</v>
      </c>
      <c r="E2" s="1">
        <v>4</v>
      </c>
      <c r="F2" s="1">
        <v>5</v>
      </c>
      <c r="G2" s="1">
        <v>6</v>
      </c>
      <c r="H2" s="1">
        <v>7</v>
      </c>
      <c r="I2" s="1">
        <v>8</v>
      </c>
      <c r="J2" s="1">
        <v>9</v>
      </c>
      <c r="K2" s="1">
        <v>10</v>
      </c>
      <c r="L2" s="1">
        <v>11</v>
      </c>
      <c r="M2" s="1">
        <v>12</v>
      </c>
      <c r="N2" s="1">
        <v>13</v>
      </c>
      <c r="O2" s="1">
        <v>14</v>
      </c>
      <c r="P2" s="1">
        <v>15</v>
      </c>
      <c r="Q2" s="1">
        <v>16</v>
      </c>
      <c r="R2" s="1">
        <v>17</v>
      </c>
      <c r="S2" s="1">
        <v>18</v>
      </c>
      <c r="T2" s="1">
        <v>19</v>
      </c>
      <c r="U2" s="1">
        <v>20</v>
      </c>
      <c r="V2" s="1">
        <v>21</v>
      </c>
      <c r="W2" s="1">
        <v>22</v>
      </c>
      <c r="X2" s="1">
        <v>23</v>
      </c>
      <c r="Y2" s="1">
        <v>24</v>
      </c>
    </row>
    <row r="3" spans="1:25" s="3" customFormat="1" x14ac:dyDescent="0.25">
      <c r="A3" s="3" t="s">
        <v>33</v>
      </c>
      <c r="B3" s="3">
        <v>3780.71</v>
      </c>
      <c r="C3" s="3">
        <v>3780.71</v>
      </c>
      <c r="D3" s="3">
        <v>3780.71</v>
      </c>
      <c r="E3" s="3">
        <v>3780.71</v>
      </c>
      <c r="F3" s="7">
        <v>3970.5</v>
      </c>
      <c r="G3" s="3">
        <v>3970.5</v>
      </c>
      <c r="H3" s="3">
        <v>3970.5</v>
      </c>
      <c r="I3" s="3">
        <v>3970.5</v>
      </c>
      <c r="J3" s="3">
        <v>3970.5</v>
      </c>
      <c r="K3" s="3">
        <v>3970.5</v>
      </c>
      <c r="L3" s="3">
        <v>3970.5</v>
      </c>
      <c r="M3" s="3">
        <v>3970.5</v>
      </c>
      <c r="N3" s="3">
        <v>3970.5</v>
      </c>
      <c r="O3" s="3">
        <v>3970.5</v>
      </c>
      <c r="P3" s="3">
        <v>3970.5</v>
      </c>
      <c r="Q3" s="3">
        <v>3970.5</v>
      </c>
      <c r="R3" s="3">
        <v>3970.5</v>
      </c>
      <c r="S3" s="3">
        <v>3970.5</v>
      </c>
      <c r="T3" s="3">
        <v>3970.5</v>
      </c>
      <c r="U3" s="3">
        <v>3970.5</v>
      </c>
      <c r="V3" s="3">
        <v>3970.5</v>
      </c>
      <c r="W3" s="3">
        <v>3970.5</v>
      </c>
      <c r="X3" s="3">
        <v>3970.5</v>
      </c>
      <c r="Y3" s="3">
        <v>3970.5</v>
      </c>
    </row>
    <row r="4" spans="1:25" x14ac:dyDescent="0.25">
      <c r="A4" t="s">
        <v>34</v>
      </c>
      <c r="B4" s="3">
        <v>55300</v>
      </c>
      <c r="C4" s="3">
        <v>55300</v>
      </c>
      <c r="D4" s="3">
        <v>55300</v>
      </c>
      <c r="E4" s="3">
        <v>55300</v>
      </c>
      <c r="F4" s="3">
        <v>55300</v>
      </c>
      <c r="G4" s="3">
        <v>55300</v>
      </c>
      <c r="H4" s="3">
        <v>55300</v>
      </c>
      <c r="I4" s="3">
        <v>55300</v>
      </c>
      <c r="J4" s="3">
        <v>55300</v>
      </c>
      <c r="K4" s="3">
        <v>55300</v>
      </c>
      <c r="L4" s="3">
        <v>55300</v>
      </c>
      <c r="M4" s="3">
        <v>55300</v>
      </c>
      <c r="N4" s="3">
        <v>55300</v>
      </c>
      <c r="O4" s="3">
        <v>55300</v>
      </c>
      <c r="P4" s="3">
        <v>55300</v>
      </c>
      <c r="Q4" s="3">
        <v>55300</v>
      </c>
      <c r="R4" s="3">
        <v>55300</v>
      </c>
      <c r="S4" s="3">
        <v>55300</v>
      </c>
      <c r="T4" s="3">
        <v>55300</v>
      </c>
      <c r="U4" s="3">
        <v>55300</v>
      </c>
      <c r="V4" s="3">
        <v>55300</v>
      </c>
      <c r="W4" s="3">
        <v>55300</v>
      </c>
      <c r="X4" s="3">
        <v>55300</v>
      </c>
      <c r="Y4" s="3">
        <v>55300</v>
      </c>
    </row>
    <row r="5" spans="1:25" x14ac:dyDescent="0.25">
      <c r="A5" t="s">
        <v>35</v>
      </c>
      <c r="B5" s="4">
        <v>0.10390000000000001</v>
      </c>
      <c r="C5" s="4">
        <v>0.10390000000000001</v>
      </c>
      <c r="D5" s="4">
        <v>0.10390000000000001</v>
      </c>
      <c r="E5" s="4">
        <v>0.10390000000000001</v>
      </c>
      <c r="F5" s="4">
        <v>0.10390000000000001</v>
      </c>
      <c r="G5" s="4">
        <v>0.10390000000000001</v>
      </c>
      <c r="H5" s="4">
        <v>0.10390000000000001</v>
      </c>
      <c r="I5" s="4">
        <v>0.10390000000000001</v>
      </c>
      <c r="J5" s="4">
        <v>0.10390000000000001</v>
      </c>
      <c r="K5" s="4">
        <v>0.10390000000000001</v>
      </c>
      <c r="L5" s="4">
        <v>0.10390000000000001</v>
      </c>
      <c r="M5" s="4">
        <v>0.10390000000000001</v>
      </c>
      <c r="N5" s="4">
        <v>0.10390000000000001</v>
      </c>
      <c r="O5" s="4">
        <v>0.10390000000000001</v>
      </c>
      <c r="P5" s="4">
        <v>0.10390000000000001</v>
      </c>
      <c r="Q5" s="4">
        <v>0.10390000000000001</v>
      </c>
      <c r="R5" s="4">
        <v>0.10390000000000001</v>
      </c>
      <c r="S5" s="4">
        <v>0.10390000000000001</v>
      </c>
      <c r="T5" s="4">
        <v>0.10390000000000001</v>
      </c>
      <c r="U5" s="4">
        <v>0.10390000000000001</v>
      </c>
      <c r="V5" s="4">
        <v>0.10390000000000001</v>
      </c>
      <c r="W5" s="4">
        <v>0.10390000000000001</v>
      </c>
      <c r="X5" s="4">
        <v>0.10390000000000001</v>
      </c>
      <c r="Y5" s="4">
        <v>0.10390000000000001</v>
      </c>
    </row>
    <row r="6" spans="1:25" x14ac:dyDescent="0.25">
      <c r="A6" t="s">
        <v>36</v>
      </c>
      <c r="B6" s="4">
        <v>0.1484</v>
      </c>
      <c r="C6" s="4">
        <v>0.1484</v>
      </c>
      <c r="D6" s="4">
        <v>0.1484</v>
      </c>
      <c r="E6" s="4">
        <v>0.1484</v>
      </c>
      <c r="F6" s="4">
        <v>0.1484</v>
      </c>
      <c r="G6" s="4">
        <v>0.1484</v>
      </c>
      <c r="H6" s="4">
        <v>0.1484</v>
      </c>
      <c r="I6" s="4">
        <v>0.1484</v>
      </c>
      <c r="J6" s="4">
        <v>0.1484</v>
      </c>
      <c r="K6" s="4">
        <v>0.1484</v>
      </c>
      <c r="L6" s="4">
        <v>0.1484</v>
      </c>
      <c r="M6" s="4">
        <v>0.1484</v>
      </c>
      <c r="N6" s="4">
        <v>0.1484</v>
      </c>
      <c r="O6" s="4">
        <v>0.1484</v>
      </c>
      <c r="P6" s="4">
        <v>0.1484</v>
      </c>
      <c r="Q6" s="4">
        <v>0.1484</v>
      </c>
      <c r="R6" s="4">
        <v>0.1484</v>
      </c>
      <c r="S6" s="4">
        <v>0.1484</v>
      </c>
      <c r="T6" s="4">
        <v>0.1484</v>
      </c>
      <c r="U6" s="4">
        <v>0.1484</v>
      </c>
      <c r="V6" s="4">
        <v>0.1484</v>
      </c>
      <c r="W6" s="4">
        <v>0.1484</v>
      </c>
      <c r="X6" s="4">
        <v>0.1484</v>
      </c>
      <c r="Y6" s="4">
        <v>0.1484</v>
      </c>
    </row>
    <row r="7" spans="1:25" x14ac:dyDescent="0.25">
      <c r="A7" t="s">
        <v>4</v>
      </c>
      <c r="B7">
        <v>17</v>
      </c>
      <c r="C7">
        <v>17</v>
      </c>
      <c r="D7">
        <v>17</v>
      </c>
      <c r="E7">
        <v>17</v>
      </c>
      <c r="F7">
        <v>17</v>
      </c>
      <c r="G7">
        <v>17</v>
      </c>
      <c r="H7">
        <v>17</v>
      </c>
      <c r="I7">
        <v>17</v>
      </c>
      <c r="J7">
        <v>17</v>
      </c>
      <c r="K7">
        <v>17</v>
      </c>
      <c r="L7">
        <v>17</v>
      </c>
      <c r="M7">
        <v>17</v>
      </c>
      <c r="N7">
        <v>17</v>
      </c>
      <c r="O7">
        <v>17</v>
      </c>
      <c r="P7">
        <v>17</v>
      </c>
      <c r="Q7">
        <v>17</v>
      </c>
      <c r="R7">
        <v>17</v>
      </c>
      <c r="S7">
        <v>17</v>
      </c>
      <c r="T7">
        <v>17</v>
      </c>
      <c r="U7">
        <v>17</v>
      </c>
      <c r="V7">
        <v>17</v>
      </c>
      <c r="W7">
        <v>17</v>
      </c>
      <c r="X7">
        <v>17</v>
      </c>
      <c r="Y7">
        <v>17</v>
      </c>
    </row>
    <row r="8" spans="1:25" x14ac:dyDescent="0.25">
      <c r="A8" t="s">
        <v>37</v>
      </c>
      <c r="B8" s="3">
        <v>14.1</v>
      </c>
      <c r="C8" s="3">
        <v>14.1</v>
      </c>
      <c r="D8" s="3">
        <v>14.1</v>
      </c>
      <c r="E8" s="3">
        <v>14.1</v>
      </c>
      <c r="F8" s="3">
        <v>14.1</v>
      </c>
      <c r="G8" s="3">
        <v>14.1</v>
      </c>
      <c r="H8" s="3">
        <v>14.1</v>
      </c>
      <c r="I8" s="3">
        <v>14.1</v>
      </c>
      <c r="J8" s="3">
        <v>14.1</v>
      </c>
      <c r="K8" s="3">
        <v>14.1</v>
      </c>
      <c r="L8" s="3">
        <v>14.1</v>
      </c>
      <c r="M8" s="3">
        <v>14.1</v>
      </c>
      <c r="N8" s="3">
        <v>14.1</v>
      </c>
      <c r="O8" s="3">
        <v>14.1</v>
      </c>
      <c r="P8" s="3">
        <v>14.1</v>
      </c>
      <c r="Q8" s="3">
        <v>14.1</v>
      </c>
      <c r="R8" s="3">
        <v>14.1</v>
      </c>
      <c r="S8" s="3">
        <v>14.1</v>
      </c>
      <c r="T8" s="3">
        <v>14.1</v>
      </c>
      <c r="U8" s="3">
        <v>14.1</v>
      </c>
      <c r="V8" s="3">
        <v>14.1</v>
      </c>
      <c r="W8" s="3">
        <v>14.1</v>
      </c>
      <c r="X8" s="3">
        <v>14.1</v>
      </c>
      <c r="Y8" s="3">
        <v>14.1</v>
      </c>
    </row>
    <row r="9" spans="1:25" x14ac:dyDescent="0.25">
      <c r="A9" t="s">
        <v>38</v>
      </c>
      <c r="B9" s="3">
        <v>12.1</v>
      </c>
      <c r="C9" s="3">
        <v>12.1</v>
      </c>
      <c r="D9" s="3">
        <v>12.1</v>
      </c>
      <c r="E9" s="3">
        <v>12.1</v>
      </c>
      <c r="F9" s="3">
        <v>12.1</v>
      </c>
      <c r="G9" s="3">
        <v>12.1</v>
      </c>
      <c r="H9" s="3">
        <v>12.1</v>
      </c>
      <c r="I9" s="3">
        <v>12.1</v>
      </c>
      <c r="J9" s="3">
        <v>12.1</v>
      </c>
      <c r="K9" s="3">
        <v>12.1</v>
      </c>
      <c r="L9" s="3">
        <v>12.1</v>
      </c>
      <c r="M9" s="3">
        <v>12.1</v>
      </c>
      <c r="N9" s="3">
        <v>12.1</v>
      </c>
      <c r="O9" s="3">
        <v>12.1</v>
      </c>
      <c r="P9" s="3">
        <v>12.1</v>
      </c>
      <c r="Q9" s="3">
        <v>12.1</v>
      </c>
      <c r="R9" s="3">
        <v>12.1</v>
      </c>
      <c r="S9" s="3">
        <v>12.1</v>
      </c>
      <c r="T9" s="3">
        <v>12.1</v>
      </c>
      <c r="U9" s="3">
        <v>12.1</v>
      </c>
      <c r="V9" s="3">
        <v>12.1</v>
      </c>
      <c r="W9" s="3">
        <v>12.1</v>
      </c>
      <c r="X9" s="3">
        <v>12.1</v>
      </c>
      <c r="Y9" s="3">
        <v>12.1</v>
      </c>
    </row>
    <row r="10" spans="1:25" x14ac:dyDescent="0.25">
      <c r="A10" t="s">
        <v>13</v>
      </c>
      <c r="B10">
        <v>67.08</v>
      </c>
      <c r="C10">
        <v>67.08</v>
      </c>
      <c r="D10">
        <v>67.08</v>
      </c>
      <c r="E10">
        <v>67.08</v>
      </c>
      <c r="F10">
        <v>67.08</v>
      </c>
      <c r="G10">
        <v>67.08</v>
      </c>
      <c r="H10">
        <v>67.08</v>
      </c>
      <c r="I10">
        <v>67.08</v>
      </c>
      <c r="J10">
        <v>67.08</v>
      </c>
      <c r="K10">
        <v>67.08</v>
      </c>
      <c r="L10">
        <v>67.08</v>
      </c>
      <c r="M10">
        <v>67.08</v>
      </c>
      <c r="N10">
        <v>67.08</v>
      </c>
      <c r="O10">
        <v>67.08</v>
      </c>
      <c r="P10">
        <v>67.08</v>
      </c>
      <c r="Q10">
        <v>67.08</v>
      </c>
      <c r="R10">
        <v>67.08</v>
      </c>
      <c r="S10">
        <v>67.08</v>
      </c>
      <c r="T10">
        <v>67.08</v>
      </c>
      <c r="U10">
        <v>67.08</v>
      </c>
      <c r="V10">
        <v>67.08</v>
      </c>
      <c r="W10">
        <v>67.08</v>
      </c>
      <c r="X10">
        <v>67.08</v>
      </c>
      <c r="Y10">
        <v>67.08</v>
      </c>
    </row>
    <row r="11" spans="1:25" x14ac:dyDescent="0.25">
      <c r="A11" t="s">
        <v>14</v>
      </c>
      <c r="B11">
        <v>42.26</v>
      </c>
      <c r="C11">
        <v>42.26</v>
      </c>
      <c r="D11">
        <v>42.26</v>
      </c>
      <c r="E11">
        <v>42.26</v>
      </c>
      <c r="F11">
        <v>42.26</v>
      </c>
      <c r="G11">
        <v>42.26</v>
      </c>
      <c r="H11">
        <v>42.26</v>
      </c>
      <c r="I11">
        <v>42.26</v>
      </c>
      <c r="J11">
        <v>42.26</v>
      </c>
      <c r="K11">
        <v>42.26</v>
      </c>
      <c r="L11">
        <v>42.26</v>
      </c>
      <c r="M11">
        <v>42.26</v>
      </c>
      <c r="N11">
        <v>42.26</v>
      </c>
      <c r="O11">
        <v>42.26</v>
      </c>
      <c r="P11">
        <v>42.26</v>
      </c>
      <c r="Q11">
        <v>42.26</v>
      </c>
      <c r="R11">
        <v>42.26</v>
      </c>
      <c r="S11">
        <v>42.26</v>
      </c>
      <c r="T11">
        <v>42.26</v>
      </c>
      <c r="U11">
        <v>42.26</v>
      </c>
      <c r="V11">
        <v>42.26</v>
      </c>
      <c r="W11">
        <v>42.26</v>
      </c>
      <c r="X11">
        <v>42.26</v>
      </c>
      <c r="Y11">
        <v>42.26</v>
      </c>
    </row>
    <row r="12" spans="1:25" x14ac:dyDescent="0.25">
      <c r="A12" t="s">
        <v>39</v>
      </c>
      <c r="B12" s="32">
        <v>2.0820000000000002E-2</v>
      </c>
      <c r="C12" s="32">
        <v>2.0820000000000002E-2</v>
      </c>
      <c r="D12" s="32">
        <v>2.0820000000000002E-2</v>
      </c>
      <c r="E12" s="32">
        <v>2.0820000000000002E-2</v>
      </c>
      <c r="F12" s="32">
        <v>2.0820000000000002E-2</v>
      </c>
      <c r="G12" s="32">
        <v>2.0820000000000002E-2</v>
      </c>
      <c r="H12" s="32">
        <v>2.0820000000000002E-2</v>
      </c>
      <c r="I12" s="32">
        <v>2.0820000000000002E-2</v>
      </c>
      <c r="J12" s="32">
        <v>2.0820000000000002E-2</v>
      </c>
      <c r="K12" s="32">
        <v>2.0820000000000002E-2</v>
      </c>
      <c r="L12" s="32">
        <v>2.0820000000000002E-2</v>
      </c>
      <c r="M12" s="32">
        <v>2.0820000000000002E-2</v>
      </c>
      <c r="N12" s="32">
        <v>2.0820000000000002E-2</v>
      </c>
      <c r="O12" s="32">
        <v>2.0820000000000002E-2</v>
      </c>
      <c r="P12" s="32">
        <v>2.0820000000000002E-2</v>
      </c>
      <c r="Q12" s="32">
        <v>2.0820000000000002E-2</v>
      </c>
      <c r="R12" s="32">
        <v>2.0820000000000002E-2</v>
      </c>
      <c r="S12" s="32">
        <v>2.0820000000000002E-2</v>
      </c>
      <c r="T12" s="32">
        <v>2.0820000000000002E-2</v>
      </c>
      <c r="U12" s="32">
        <v>2.0820000000000002E-2</v>
      </c>
      <c r="V12" s="32">
        <v>2.0820000000000002E-2</v>
      </c>
      <c r="W12" s="32">
        <v>2.0820000000000002E-2</v>
      </c>
      <c r="X12" s="32">
        <v>2.0820000000000002E-2</v>
      </c>
      <c r="Y12" s="32">
        <v>2.0820000000000002E-2</v>
      </c>
    </row>
    <row r="13" spans="1:25" x14ac:dyDescent="0.25">
      <c r="A13" t="s">
        <v>16</v>
      </c>
      <c r="B13">
        <v>97</v>
      </c>
      <c r="C13">
        <v>97</v>
      </c>
      <c r="D13">
        <v>97</v>
      </c>
      <c r="E13">
        <v>97</v>
      </c>
      <c r="F13">
        <v>97</v>
      </c>
      <c r="G13">
        <v>97</v>
      </c>
      <c r="H13">
        <v>97</v>
      </c>
      <c r="I13">
        <v>97</v>
      </c>
      <c r="J13">
        <v>97</v>
      </c>
      <c r="K13">
        <v>97</v>
      </c>
      <c r="L13">
        <v>97</v>
      </c>
      <c r="M13">
        <v>97</v>
      </c>
      <c r="N13" s="5">
        <v>100</v>
      </c>
      <c r="O13">
        <v>100</v>
      </c>
      <c r="P13">
        <v>100</v>
      </c>
      <c r="Q13">
        <v>100</v>
      </c>
      <c r="R13">
        <v>100</v>
      </c>
      <c r="S13">
        <v>100</v>
      </c>
      <c r="T13">
        <v>100</v>
      </c>
      <c r="U13">
        <v>100</v>
      </c>
      <c r="V13">
        <v>100</v>
      </c>
      <c r="W13">
        <v>100</v>
      </c>
      <c r="X13">
        <v>100</v>
      </c>
      <c r="Y13">
        <v>100</v>
      </c>
    </row>
    <row r="14" spans="1:25" x14ac:dyDescent="0.25">
      <c r="A14" t="s">
        <v>40</v>
      </c>
      <c r="B14">
        <v>1.4999999999999999E-2</v>
      </c>
      <c r="C14">
        <v>1.4999999999999999E-2</v>
      </c>
      <c r="D14">
        <v>1.4999999999999999E-2</v>
      </c>
      <c r="E14">
        <v>1.4999999999999999E-2</v>
      </c>
      <c r="F14">
        <v>1.4999999999999999E-2</v>
      </c>
      <c r="G14">
        <v>1.4999999999999999E-2</v>
      </c>
      <c r="H14">
        <v>1.4999999999999999E-2</v>
      </c>
      <c r="I14">
        <v>1.4999999999999999E-2</v>
      </c>
      <c r="J14">
        <v>1.4999999999999999E-2</v>
      </c>
      <c r="K14">
        <v>1.4999999999999999E-2</v>
      </c>
      <c r="L14">
        <v>1.4999999999999999E-2</v>
      </c>
      <c r="M14">
        <v>1.4999999999999999E-2</v>
      </c>
      <c r="N14">
        <v>1.4999999999999999E-2</v>
      </c>
      <c r="O14">
        <v>1.4999999999999999E-2</v>
      </c>
      <c r="P14">
        <v>1.4999999999999999E-2</v>
      </c>
      <c r="Q14">
        <v>1.4999999999999999E-2</v>
      </c>
      <c r="R14">
        <v>1.4999999999999999E-2</v>
      </c>
      <c r="S14">
        <v>1.4999999999999999E-2</v>
      </c>
      <c r="T14">
        <v>1.4999999999999999E-2</v>
      </c>
      <c r="U14">
        <v>1.4999999999999999E-2</v>
      </c>
      <c r="V14">
        <v>1.4999999999999999E-2</v>
      </c>
      <c r="W14">
        <v>1.4999999999999999E-2</v>
      </c>
      <c r="X14">
        <v>1.4999999999999999E-2</v>
      </c>
      <c r="Y14">
        <v>1.4999999999999999E-2</v>
      </c>
    </row>
    <row r="15" spans="1:25" x14ac:dyDescent="0.25">
      <c r="A15" t="s">
        <v>41</v>
      </c>
      <c r="B15">
        <v>0.151</v>
      </c>
      <c r="C15">
        <v>0.151</v>
      </c>
      <c r="D15">
        <v>0.151</v>
      </c>
      <c r="E15">
        <v>0.151</v>
      </c>
      <c r="F15">
        <v>0.151</v>
      </c>
      <c r="G15">
        <v>0.151</v>
      </c>
      <c r="H15">
        <v>0.151</v>
      </c>
      <c r="I15">
        <v>0.151</v>
      </c>
      <c r="J15">
        <v>0.151</v>
      </c>
      <c r="K15">
        <v>0.151</v>
      </c>
      <c r="L15">
        <v>0.151</v>
      </c>
      <c r="M15">
        <v>0.151</v>
      </c>
      <c r="N15">
        <v>0.151</v>
      </c>
      <c r="O15">
        <v>0.151</v>
      </c>
      <c r="P15">
        <v>0.151</v>
      </c>
      <c r="Q15">
        <v>0.151</v>
      </c>
      <c r="R15">
        <v>0.151</v>
      </c>
      <c r="S15">
        <v>0.151</v>
      </c>
      <c r="T15">
        <v>0.151</v>
      </c>
      <c r="U15">
        <v>0.151</v>
      </c>
      <c r="V15">
        <v>0.151</v>
      </c>
      <c r="W15">
        <v>0.151</v>
      </c>
      <c r="X15">
        <v>0.151</v>
      </c>
      <c r="Y15">
        <v>0.151</v>
      </c>
    </row>
  </sheetData>
  <mergeCells count="12">
    <mergeCell ref="X1:Y1"/>
    <mergeCell ref="B1:C1"/>
    <mergeCell ref="D1:E1"/>
    <mergeCell ref="F1:G1"/>
    <mergeCell ref="H1:I1"/>
    <mergeCell ref="J1:K1"/>
    <mergeCell ref="L1:M1"/>
    <mergeCell ref="N1:O1"/>
    <mergeCell ref="P1:Q1"/>
    <mergeCell ref="R1:S1"/>
    <mergeCell ref="T1:U1"/>
    <mergeCell ref="V1:W1"/>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
  <sheetViews>
    <sheetView zoomScale="80" zoomScaleNormal="80" workbookViewId="0">
      <selection activeCell="B14" sqref="B14:E21"/>
    </sheetView>
  </sheetViews>
  <sheetFormatPr defaultRowHeight="15" x14ac:dyDescent="0.25"/>
  <cols>
    <col min="1" max="1" width="23.28515625" customWidth="1"/>
  </cols>
  <sheetData>
    <row r="1" spans="1:25" x14ac:dyDescent="0.25">
      <c r="B1" s="279" t="s">
        <v>21</v>
      </c>
      <c r="C1" s="279"/>
      <c r="D1" s="279" t="s">
        <v>22</v>
      </c>
      <c r="E1" s="279"/>
      <c r="F1" s="279" t="s">
        <v>23</v>
      </c>
      <c r="G1" s="279"/>
      <c r="H1" s="279" t="s">
        <v>24</v>
      </c>
      <c r="I1" s="279"/>
      <c r="J1" s="279" t="s">
        <v>25</v>
      </c>
      <c r="K1" s="279"/>
      <c r="L1" s="279" t="s">
        <v>26</v>
      </c>
      <c r="M1" s="279"/>
      <c r="N1" s="279" t="s">
        <v>27</v>
      </c>
      <c r="O1" s="279"/>
      <c r="P1" s="279" t="s">
        <v>28</v>
      </c>
      <c r="Q1" s="279"/>
      <c r="R1" s="279" t="s">
        <v>29</v>
      </c>
      <c r="S1" s="279"/>
      <c r="T1" s="279" t="s">
        <v>30</v>
      </c>
      <c r="U1" s="279"/>
      <c r="V1" s="279" t="s">
        <v>31</v>
      </c>
      <c r="W1" s="279"/>
      <c r="X1" s="279" t="s">
        <v>32</v>
      </c>
      <c r="Y1" s="279"/>
    </row>
    <row r="2" spans="1:25" x14ac:dyDescent="0.25">
      <c r="B2" s="1">
        <v>1</v>
      </c>
      <c r="C2" s="1">
        <v>2</v>
      </c>
      <c r="D2" s="1">
        <v>3</v>
      </c>
      <c r="E2" s="1">
        <v>4</v>
      </c>
      <c r="F2" s="1">
        <v>5</v>
      </c>
      <c r="G2" s="1">
        <v>6</v>
      </c>
      <c r="H2" s="1">
        <v>7</v>
      </c>
      <c r="I2" s="1">
        <v>8</v>
      </c>
      <c r="J2" s="1">
        <v>9</v>
      </c>
      <c r="K2" s="1">
        <v>10</v>
      </c>
      <c r="L2" s="1">
        <v>11</v>
      </c>
      <c r="M2" s="1">
        <v>12</v>
      </c>
      <c r="N2" s="1">
        <v>13</v>
      </c>
      <c r="O2" s="1">
        <v>14</v>
      </c>
      <c r="P2" s="1">
        <v>15</v>
      </c>
      <c r="Q2" s="1">
        <v>16</v>
      </c>
      <c r="R2" s="1">
        <v>17</v>
      </c>
      <c r="S2" s="1">
        <v>18</v>
      </c>
      <c r="T2" s="1">
        <v>19</v>
      </c>
      <c r="U2" s="1">
        <v>20</v>
      </c>
      <c r="V2" s="1">
        <v>21</v>
      </c>
      <c r="W2" s="1">
        <v>22</v>
      </c>
      <c r="X2" s="1">
        <v>23</v>
      </c>
      <c r="Y2" s="1">
        <v>24</v>
      </c>
    </row>
    <row r="3" spans="1:25" s="3" customFormat="1" x14ac:dyDescent="0.25">
      <c r="A3" s="3" t="s">
        <v>42</v>
      </c>
      <c r="B3" s="3">
        <v>115.88</v>
      </c>
      <c r="C3" s="3">
        <v>115.88</v>
      </c>
      <c r="D3" s="3">
        <v>115.88</v>
      </c>
      <c r="E3" s="3">
        <v>115.88</v>
      </c>
      <c r="F3" s="3">
        <v>115.88</v>
      </c>
      <c r="G3" s="3">
        <v>115.88</v>
      </c>
      <c r="H3" s="3">
        <v>115.88</v>
      </c>
      <c r="I3" s="3">
        <v>115.88</v>
      </c>
      <c r="J3" s="3">
        <v>115.88</v>
      </c>
      <c r="K3" s="3">
        <v>115.88</v>
      </c>
      <c r="L3" s="3">
        <v>115.88</v>
      </c>
      <c r="M3" s="3">
        <v>115.88</v>
      </c>
      <c r="N3" s="7">
        <v>118.54</v>
      </c>
      <c r="O3" s="3">
        <v>118.54</v>
      </c>
      <c r="P3" s="3">
        <v>118.54</v>
      </c>
      <c r="Q3" s="3">
        <v>118.54</v>
      </c>
      <c r="R3" s="3">
        <v>118.54</v>
      </c>
      <c r="S3" s="3">
        <v>118.54</v>
      </c>
      <c r="T3" s="3">
        <v>118.54</v>
      </c>
      <c r="U3" s="3">
        <v>118.54</v>
      </c>
      <c r="V3" s="3">
        <v>118.54</v>
      </c>
      <c r="W3" s="3">
        <v>118.54</v>
      </c>
      <c r="X3" s="3">
        <v>118.54</v>
      </c>
      <c r="Y3" s="3">
        <v>118.54</v>
      </c>
    </row>
    <row r="4" spans="1:25" x14ac:dyDescent="0.25">
      <c r="A4" t="s">
        <v>43</v>
      </c>
      <c r="B4" s="3">
        <v>51.77</v>
      </c>
      <c r="C4" s="3">
        <v>51.77</v>
      </c>
      <c r="D4" s="3">
        <v>51.77</v>
      </c>
      <c r="E4" s="3">
        <v>51.77</v>
      </c>
      <c r="F4" s="3">
        <v>51.77</v>
      </c>
      <c r="G4" s="3">
        <v>51.77</v>
      </c>
      <c r="H4" s="3">
        <v>51.77</v>
      </c>
      <c r="I4" s="3">
        <v>51.77</v>
      </c>
      <c r="J4" s="3">
        <v>51.77</v>
      </c>
      <c r="K4" s="3">
        <v>51.77</v>
      </c>
      <c r="L4" s="3">
        <v>51.77</v>
      </c>
      <c r="M4" s="3">
        <v>51.77</v>
      </c>
      <c r="N4" s="7">
        <v>52.96</v>
      </c>
      <c r="O4" s="3">
        <v>52.96</v>
      </c>
      <c r="P4" s="3">
        <v>52.96</v>
      </c>
      <c r="Q4" s="3">
        <v>52.96</v>
      </c>
      <c r="R4" s="3">
        <v>52.96</v>
      </c>
      <c r="S4" s="3">
        <v>52.96</v>
      </c>
      <c r="T4" s="3">
        <v>52.96</v>
      </c>
      <c r="U4" s="3">
        <v>52.96</v>
      </c>
      <c r="V4" s="3">
        <v>52.96</v>
      </c>
      <c r="W4" s="3">
        <v>52.96</v>
      </c>
      <c r="X4" s="3">
        <v>52.96</v>
      </c>
      <c r="Y4" s="3">
        <v>52.96</v>
      </c>
    </row>
    <row r="5" spans="1:25" s="3" customFormat="1" x14ac:dyDescent="0.25">
      <c r="A5" s="3" t="s">
        <v>44</v>
      </c>
      <c r="B5" s="3">
        <v>111.39</v>
      </c>
      <c r="C5" s="3">
        <v>111.39</v>
      </c>
      <c r="D5" s="3">
        <v>111.39</v>
      </c>
      <c r="E5" s="3">
        <v>111.39</v>
      </c>
      <c r="F5" s="3">
        <v>111.39</v>
      </c>
      <c r="G5" s="3">
        <v>111.39</v>
      </c>
      <c r="H5" s="3">
        <v>111.39</v>
      </c>
      <c r="I5" s="3">
        <v>111.39</v>
      </c>
      <c r="J5" s="3">
        <v>111.39</v>
      </c>
      <c r="K5" s="3">
        <v>111.39</v>
      </c>
      <c r="L5" s="3">
        <v>111.39</v>
      </c>
      <c r="M5" s="3">
        <v>111.39</v>
      </c>
      <c r="N5" s="7">
        <v>113.95</v>
      </c>
      <c r="O5" s="3">
        <v>113.95</v>
      </c>
      <c r="P5" s="3">
        <v>113.95</v>
      </c>
      <c r="Q5" s="3">
        <v>113.95</v>
      </c>
      <c r="R5" s="3">
        <v>113.95</v>
      </c>
      <c r="S5" s="3">
        <v>113.95</v>
      </c>
      <c r="T5" s="3">
        <v>113.95</v>
      </c>
      <c r="U5" s="3">
        <v>113.95</v>
      </c>
      <c r="V5" s="3">
        <v>113.95</v>
      </c>
      <c r="W5" s="3">
        <v>113.95</v>
      </c>
      <c r="X5" s="3">
        <v>113.95</v>
      </c>
      <c r="Y5" s="3">
        <v>113.95</v>
      </c>
    </row>
    <row r="6" spans="1:25" x14ac:dyDescent="0.25">
      <c r="A6" t="s">
        <v>45</v>
      </c>
      <c r="B6" s="4">
        <v>0.01</v>
      </c>
      <c r="C6" s="4">
        <v>0.01</v>
      </c>
      <c r="D6" s="4">
        <v>0.01</v>
      </c>
      <c r="E6" s="4">
        <v>0.01</v>
      </c>
      <c r="F6" s="4">
        <v>0.01</v>
      </c>
      <c r="G6" s="4">
        <v>0.01</v>
      </c>
      <c r="H6" s="4">
        <v>0.01</v>
      </c>
      <c r="I6" s="4">
        <v>0.01</v>
      </c>
      <c r="J6" s="4">
        <v>0.01</v>
      </c>
      <c r="K6" s="4">
        <v>0.01</v>
      </c>
      <c r="L6" s="4">
        <v>0.01</v>
      </c>
      <c r="M6" s="4">
        <v>0.01</v>
      </c>
      <c r="N6" s="4">
        <v>0.01</v>
      </c>
      <c r="O6" s="4">
        <v>0.01</v>
      </c>
      <c r="P6" s="4">
        <v>0.01</v>
      </c>
      <c r="Q6" s="4">
        <v>0.01</v>
      </c>
      <c r="R6" s="4">
        <v>0.01</v>
      </c>
      <c r="S6" s="4">
        <v>0.01</v>
      </c>
      <c r="T6" s="4">
        <v>0.01</v>
      </c>
      <c r="U6" s="4">
        <v>0.01</v>
      </c>
      <c r="V6" s="4">
        <v>0.01</v>
      </c>
      <c r="W6" s="4">
        <v>0.01</v>
      </c>
      <c r="X6" s="4">
        <v>0.01</v>
      </c>
      <c r="Y6" s="4">
        <v>0.01</v>
      </c>
    </row>
    <row r="7" spans="1:25" x14ac:dyDescent="0.25">
      <c r="A7" t="s">
        <v>46</v>
      </c>
      <c r="B7" s="4">
        <v>0.08</v>
      </c>
      <c r="C7" s="4">
        <v>0.08</v>
      </c>
      <c r="D7" s="4">
        <v>0.08</v>
      </c>
      <c r="E7" s="4">
        <v>0.08</v>
      </c>
      <c r="F7" s="4">
        <v>0.08</v>
      </c>
      <c r="G7" s="4">
        <v>0.08</v>
      </c>
      <c r="H7" s="4">
        <v>0.08</v>
      </c>
      <c r="I7" s="4">
        <v>0.08</v>
      </c>
      <c r="J7" s="4">
        <v>0.08</v>
      </c>
      <c r="K7" s="4">
        <v>0.08</v>
      </c>
      <c r="L7" s="4">
        <v>0.08</v>
      </c>
      <c r="M7" s="4">
        <v>0.08</v>
      </c>
      <c r="N7" s="4">
        <v>0.08</v>
      </c>
      <c r="O7" s="4">
        <v>0.08</v>
      </c>
      <c r="P7" s="4">
        <v>0.08</v>
      </c>
      <c r="Q7" s="4">
        <v>0.08</v>
      </c>
      <c r="R7" s="4">
        <v>0.08</v>
      </c>
      <c r="S7" s="4">
        <v>0.08</v>
      </c>
      <c r="T7" s="4">
        <v>0.08</v>
      </c>
      <c r="U7" s="4">
        <v>0.08</v>
      </c>
      <c r="V7" s="4">
        <v>0.08</v>
      </c>
      <c r="W7" s="4">
        <v>0.08</v>
      </c>
      <c r="X7" s="4">
        <v>0.08</v>
      </c>
      <c r="Y7" s="4">
        <v>0.08</v>
      </c>
    </row>
    <row r="8" spans="1:25" x14ac:dyDescent="0.25">
      <c r="A8" t="s">
        <v>47</v>
      </c>
      <c r="B8" s="3">
        <v>2</v>
      </c>
      <c r="C8" s="3">
        <v>2</v>
      </c>
      <c r="D8" s="3">
        <v>2</v>
      </c>
      <c r="E8" s="3">
        <v>2</v>
      </c>
      <c r="F8" s="3">
        <v>2</v>
      </c>
      <c r="G8" s="3">
        <v>2</v>
      </c>
      <c r="H8" s="3">
        <v>2</v>
      </c>
      <c r="I8" s="3">
        <v>2</v>
      </c>
      <c r="J8" s="3">
        <v>2</v>
      </c>
      <c r="K8" s="3">
        <v>2</v>
      </c>
      <c r="L8" s="3">
        <v>2</v>
      </c>
      <c r="M8" s="3">
        <v>2</v>
      </c>
      <c r="N8" s="3">
        <v>2</v>
      </c>
      <c r="O8" s="3">
        <v>2</v>
      </c>
      <c r="P8" s="3">
        <v>2</v>
      </c>
      <c r="Q8" s="3">
        <v>2</v>
      </c>
      <c r="R8" s="3">
        <v>2</v>
      </c>
      <c r="S8" s="3">
        <v>2</v>
      </c>
      <c r="T8" s="3">
        <v>2</v>
      </c>
      <c r="U8" s="3">
        <v>2</v>
      </c>
      <c r="V8" s="3">
        <v>2</v>
      </c>
      <c r="W8" s="3">
        <v>2</v>
      </c>
      <c r="X8" s="3">
        <v>2</v>
      </c>
      <c r="Y8" s="3">
        <v>2</v>
      </c>
    </row>
    <row r="9" spans="1:25" x14ac:dyDescent="0.25">
      <c r="A9" t="s">
        <v>48</v>
      </c>
      <c r="B9" s="3">
        <v>1.88</v>
      </c>
      <c r="C9" s="3">
        <v>1.88</v>
      </c>
      <c r="D9" s="3">
        <v>1.88</v>
      </c>
      <c r="E9" s="3">
        <v>1.88</v>
      </c>
      <c r="F9" s="3">
        <v>1.88</v>
      </c>
      <c r="G9" s="3">
        <v>1.88</v>
      </c>
      <c r="H9" s="3">
        <v>1.88</v>
      </c>
      <c r="I9" s="3">
        <v>1.88</v>
      </c>
      <c r="J9" s="3">
        <v>1.88</v>
      </c>
      <c r="K9" s="3">
        <v>1.88</v>
      </c>
      <c r="L9" s="3">
        <v>1.88</v>
      </c>
      <c r="M9" s="3">
        <v>1.88</v>
      </c>
      <c r="N9" s="3">
        <v>1.88</v>
      </c>
      <c r="O9" s="3">
        <v>1.88</v>
      </c>
      <c r="P9" s="3">
        <v>1.88</v>
      </c>
      <c r="Q9" s="3">
        <v>1.88</v>
      </c>
      <c r="R9" s="3">
        <v>1.88</v>
      </c>
      <c r="S9" s="3">
        <v>1.88</v>
      </c>
      <c r="T9" s="3">
        <v>1.88</v>
      </c>
      <c r="U9" s="3">
        <v>1.88</v>
      </c>
      <c r="V9" s="3">
        <v>1.88</v>
      </c>
      <c r="W9" s="3">
        <v>1.88</v>
      </c>
      <c r="X9" s="3">
        <v>1.88</v>
      </c>
      <c r="Y9" s="3">
        <v>1.88</v>
      </c>
    </row>
  </sheetData>
  <mergeCells count="12">
    <mergeCell ref="X1:Y1"/>
    <mergeCell ref="B1:C1"/>
    <mergeCell ref="D1:E1"/>
    <mergeCell ref="F1:G1"/>
    <mergeCell ref="H1:I1"/>
    <mergeCell ref="J1:K1"/>
    <mergeCell ref="L1:M1"/>
    <mergeCell ref="N1:O1"/>
    <mergeCell ref="P1:Q1"/>
    <mergeCell ref="R1:S1"/>
    <mergeCell ref="T1:U1"/>
    <mergeCell ref="V1:W1"/>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
  <sheetViews>
    <sheetView zoomScale="80" zoomScaleNormal="80" workbookViewId="0">
      <selection activeCell="B3" sqref="B3:Y3"/>
    </sheetView>
  </sheetViews>
  <sheetFormatPr defaultRowHeight="15" x14ac:dyDescent="0.25"/>
  <cols>
    <col min="1" max="1" width="28" bestFit="1" customWidth="1"/>
  </cols>
  <sheetData>
    <row r="1" spans="1:25" x14ac:dyDescent="0.25">
      <c r="B1" s="279" t="s">
        <v>21</v>
      </c>
      <c r="C1" s="279"/>
      <c r="D1" s="279" t="s">
        <v>22</v>
      </c>
      <c r="E1" s="279"/>
      <c r="F1" s="279" t="s">
        <v>23</v>
      </c>
      <c r="G1" s="279"/>
      <c r="H1" s="279" t="s">
        <v>24</v>
      </c>
      <c r="I1" s="279"/>
      <c r="J1" s="279" t="s">
        <v>25</v>
      </c>
      <c r="K1" s="279"/>
      <c r="L1" s="279" t="s">
        <v>26</v>
      </c>
      <c r="M1" s="279"/>
      <c r="N1" s="279" t="s">
        <v>27</v>
      </c>
      <c r="O1" s="279"/>
      <c r="P1" s="279" t="s">
        <v>28</v>
      </c>
      <c r="Q1" s="279"/>
      <c r="R1" s="279" t="s">
        <v>29</v>
      </c>
      <c r="S1" s="279"/>
      <c r="T1" s="279" t="s">
        <v>30</v>
      </c>
      <c r="U1" s="279"/>
      <c r="V1" s="279" t="s">
        <v>31</v>
      </c>
      <c r="W1" s="279"/>
      <c r="X1" s="279" t="s">
        <v>32</v>
      </c>
      <c r="Y1" s="279"/>
    </row>
    <row r="2" spans="1:25" x14ac:dyDescent="0.25">
      <c r="B2" s="1">
        <v>1</v>
      </c>
      <c r="C2" s="1">
        <v>2</v>
      </c>
      <c r="D2" s="1">
        <v>3</v>
      </c>
      <c r="E2" s="1">
        <v>4</v>
      </c>
      <c r="F2" s="1">
        <v>5</v>
      </c>
      <c r="G2" s="1">
        <v>6</v>
      </c>
      <c r="H2" s="1">
        <v>7</v>
      </c>
      <c r="I2" s="1">
        <v>8</v>
      </c>
      <c r="J2" s="1">
        <v>9</v>
      </c>
      <c r="K2" s="1">
        <v>10</v>
      </c>
      <c r="L2" s="1">
        <v>11</v>
      </c>
      <c r="M2" s="1">
        <v>12</v>
      </c>
      <c r="N2" s="1">
        <v>13</v>
      </c>
      <c r="O2" s="1">
        <v>14</v>
      </c>
      <c r="P2" s="1">
        <v>15</v>
      </c>
      <c r="Q2" s="1">
        <v>16</v>
      </c>
      <c r="R2" s="1">
        <v>17</v>
      </c>
      <c r="S2" s="1">
        <v>18</v>
      </c>
      <c r="T2" s="1">
        <v>19</v>
      </c>
      <c r="U2" s="1">
        <v>20</v>
      </c>
      <c r="V2" s="1">
        <v>21</v>
      </c>
      <c r="W2" s="1">
        <v>22</v>
      </c>
      <c r="X2" s="1">
        <v>23</v>
      </c>
      <c r="Y2" s="1">
        <v>24</v>
      </c>
    </row>
    <row r="3" spans="1:25" s="3" customFormat="1" x14ac:dyDescent="0.25">
      <c r="A3" s="3" t="s">
        <v>109</v>
      </c>
      <c r="B3" s="3">
        <v>6232</v>
      </c>
      <c r="C3" s="3">
        <v>6232</v>
      </c>
      <c r="D3" s="3">
        <v>6232</v>
      </c>
      <c r="E3" s="3">
        <v>6232</v>
      </c>
      <c r="F3" s="3">
        <v>6232</v>
      </c>
      <c r="G3" s="3">
        <v>6232</v>
      </c>
      <c r="H3" s="3">
        <v>6232</v>
      </c>
      <c r="I3" s="3">
        <v>6232</v>
      </c>
      <c r="J3" s="3">
        <v>6232</v>
      </c>
      <c r="K3" s="3">
        <v>6232</v>
      </c>
      <c r="L3" s="3">
        <v>6232</v>
      </c>
      <c r="M3" s="3">
        <v>6232</v>
      </c>
      <c r="N3" s="3">
        <v>6232</v>
      </c>
      <c r="O3" s="3">
        <v>6232</v>
      </c>
      <c r="P3" s="3">
        <v>6232</v>
      </c>
      <c r="Q3" s="3">
        <v>6232</v>
      </c>
      <c r="R3" s="3">
        <v>6232</v>
      </c>
      <c r="S3" s="3">
        <v>6232</v>
      </c>
      <c r="T3" s="3">
        <v>6232</v>
      </c>
      <c r="U3" s="3">
        <v>6232</v>
      </c>
      <c r="V3" s="3">
        <v>6232</v>
      </c>
      <c r="W3" s="3">
        <v>6232</v>
      </c>
      <c r="X3" s="3">
        <v>6232</v>
      </c>
      <c r="Y3" s="3">
        <v>6232</v>
      </c>
    </row>
    <row r="4" spans="1:25" s="3" customFormat="1" x14ac:dyDescent="0.25">
      <c r="A4" s="3" t="s">
        <v>110</v>
      </c>
      <c r="B4" s="3">
        <f>ROUND(B3/8,2)</f>
        <v>779</v>
      </c>
      <c r="C4" s="3">
        <f t="shared" ref="C4:Y4" si="0">ROUND(C3/8,2)</f>
        <v>779</v>
      </c>
      <c r="D4" s="3">
        <f t="shared" si="0"/>
        <v>779</v>
      </c>
      <c r="E4" s="3">
        <f t="shared" si="0"/>
        <v>779</v>
      </c>
      <c r="F4" s="3">
        <f t="shared" si="0"/>
        <v>779</v>
      </c>
      <c r="G4" s="3">
        <f t="shared" si="0"/>
        <v>779</v>
      </c>
      <c r="H4" s="3">
        <f t="shared" si="0"/>
        <v>779</v>
      </c>
      <c r="I4" s="3">
        <f t="shared" si="0"/>
        <v>779</v>
      </c>
      <c r="J4" s="3">
        <f t="shared" si="0"/>
        <v>779</v>
      </c>
      <c r="K4" s="3">
        <f t="shared" si="0"/>
        <v>779</v>
      </c>
      <c r="L4" s="3">
        <f t="shared" si="0"/>
        <v>779</v>
      </c>
      <c r="M4" s="3">
        <f t="shared" si="0"/>
        <v>779</v>
      </c>
      <c r="N4" s="3">
        <f t="shared" si="0"/>
        <v>779</v>
      </c>
      <c r="O4" s="3">
        <f t="shared" si="0"/>
        <v>779</v>
      </c>
      <c r="P4" s="3">
        <f t="shared" si="0"/>
        <v>779</v>
      </c>
      <c r="Q4" s="3">
        <f t="shared" si="0"/>
        <v>779</v>
      </c>
      <c r="R4" s="3">
        <f t="shared" si="0"/>
        <v>779</v>
      </c>
      <c r="S4" s="3">
        <f t="shared" si="0"/>
        <v>779</v>
      </c>
      <c r="T4" s="3">
        <f t="shared" si="0"/>
        <v>779</v>
      </c>
      <c r="U4" s="3">
        <f t="shared" si="0"/>
        <v>779</v>
      </c>
      <c r="V4" s="3">
        <f t="shared" si="0"/>
        <v>779</v>
      </c>
      <c r="W4" s="3">
        <f t="shared" si="0"/>
        <v>779</v>
      </c>
      <c r="X4" s="3">
        <f t="shared" si="0"/>
        <v>779</v>
      </c>
      <c r="Y4" s="3">
        <f t="shared" si="0"/>
        <v>779</v>
      </c>
    </row>
    <row r="5" spans="1:25" s="44" customFormat="1" x14ac:dyDescent="0.25">
      <c r="A5" s="44" t="s">
        <v>107</v>
      </c>
      <c r="B5" s="44">
        <v>1.87</v>
      </c>
      <c r="C5" s="44">
        <v>1.87</v>
      </c>
      <c r="D5" s="44">
        <v>1.87</v>
      </c>
      <c r="E5" s="44">
        <v>1.87</v>
      </c>
      <c r="F5" s="44">
        <v>1.87</v>
      </c>
      <c r="G5" s="44">
        <v>1.87</v>
      </c>
      <c r="H5" s="44">
        <v>1.87</v>
      </c>
      <c r="I5" s="44">
        <v>1.87</v>
      </c>
      <c r="J5" s="44">
        <v>1.87</v>
      </c>
      <c r="K5" s="44">
        <v>1.87</v>
      </c>
      <c r="L5" s="44">
        <v>1.87</v>
      </c>
      <c r="M5" s="44">
        <v>1.87</v>
      </c>
      <c r="N5" s="44">
        <v>1.87</v>
      </c>
      <c r="O5" s="44">
        <v>1.87</v>
      </c>
      <c r="P5" s="44">
        <v>1.87</v>
      </c>
      <c r="Q5" s="44">
        <v>1.87</v>
      </c>
      <c r="R5" s="44">
        <v>1.87</v>
      </c>
      <c r="S5" s="44">
        <v>1.87</v>
      </c>
      <c r="T5" s="44">
        <v>1.87</v>
      </c>
      <c r="U5" s="44">
        <v>1.87</v>
      </c>
      <c r="V5" s="44">
        <v>1.87</v>
      </c>
      <c r="W5" s="44">
        <v>1.87</v>
      </c>
      <c r="X5" s="44">
        <v>1.87</v>
      </c>
      <c r="Y5" s="44">
        <v>1.87</v>
      </c>
    </row>
    <row r="6" spans="1:25" x14ac:dyDescent="0.25">
      <c r="A6" s="3" t="s">
        <v>108</v>
      </c>
      <c r="B6" s="4">
        <v>5.1999999999999998E-3</v>
      </c>
      <c r="C6" s="4">
        <v>5.1999999999999998E-3</v>
      </c>
      <c r="D6" s="4">
        <v>5.1999999999999998E-3</v>
      </c>
      <c r="E6" s="4">
        <v>5.1999999999999998E-3</v>
      </c>
      <c r="F6" s="4">
        <v>5.1999999999999998E-3</v>
      </c>
      <c r="G6" s="4">
        <v>5.1999999999999998E-3</v>
      </c>
      <c r="H6" s="4">
        <v>5.1999999999999998E-3</v>
      </c>
      <c r="I6" s="4">
        <v>5.1999999999999998E-3</v>
      </c>
      <c r="J6" s="4">
        <v>5.1999999999999998E-3</v>
      </c>
      <c r="K6" s="4">
        <v>5.1999999999999998E-3</v>
      </c>
      <c r="L6" s="4">
        <v>5.1999999999999998E-3</v>
      </c>
      <c r="M6" s="4">
        <v>5.1999999999999998E-3</v>
      </c>
      <c r="N6" s="4">
        <v>5.1999999999999998E-3</v>
      </c>
      <c r="O6" s="4">
        <v>5.1999999999999998E-3</v>
      </c>
      <c r="P6" s="4">
        <v>5.1999999999999998E-3</v>
      </c>
      <c r="Q6" s="4">
        <v>5.1999999999999998E-3</v>
      </c>
      <c r="R6" s="4">
        <v>5.1999999999999998E-3</v>
      </c>
      <c r="S6" s="4">
        <v>5.1999999999999998E-3</v>
      </c>
      <c r="T6" s="4">
        <v>5.1999999999999998E-3</v>
      </c>
      <c r="U6" s="4">
        <v>5.1999999999999998E-3</v>
      </c>
      <c r="V6" s="4">
        <v>5.1999999999999998E-3</v>
      </c>
      <c r="W6" s="4">
        <v>5.1999999999999998E-3</v>
      </c>
      <c r="X6" s="4">
        <v>5.1999999999999998E-3</v>
      </c>
      <c r="Y6" s="4">
        <v>5.1999999999999998E-3</v>
      </c>
    </row>
    <row r="7" spans="1:25" x14ac:dyDescent="0.25">
      <c r="A7" t="s">
        <v>46</v>
      </c>
      <c r="B7" s="4">
        <v>0.04</v>
      </c>
      <c r="C7" s="4">
        <v>0.04</v>
      </c>
      <c r="D7" s="4">
        <v>0.04</v>
      </c>
      <c r="E7" s="4">
        <v>0.04</v>
      </c>
      <c r="F7" s="4">
        <v>0.04</v>
      </c>
      <c r="G7" s="4">
        <v>0.04</v>
      </c>
      <c r="H7" s="4">
        <v>0.04</v>
      </c>
      <c r="I7" s="4">
        <v>0.04</v>
      </c>
      <c r="J7" s="4">
        <v>0.04</v>
      </c>
      <c r="K7" s="4">
        <v>0.04</v>
      </c>
      <c r="L7" s="4">
        <v>0.04</v>
      </c>
      <c r="M7" s="4">
        <v>0.04</v>
      </c>
      <c r="N7" s="4">
        <v>0.04</v>
      </c>
      <c r="O7" s="4">
        <v>0.04</v>
      </c>
      <c r="P7" s="4">
        <v>0.04</v>
      </c>
      <c r="Q7" s="4">
        <v>0.04</v>
      </c>
      <c r="R7" s="4">
        <v>0.04</v>
      </c>
      <c r="S7" s="4">
        <v>0.04</v>
      </c>
      <c r="T7" s="4">
        <v>0.04</v>
      </c>
      <c r="U7" s="4">
        <v>0.04</v>
      </c>
      <c r="V7" s="4">
        <v>0.04</v>
      </c>
      <c r="W7" s="4">
        <v>0.04</v>
      </c>
      <c r="X7" s="4">
        <v>0.04</v>
      </c>
      <c r="Y7" s="4">
        <v>0.04</v>
      </c>
    </row>
    <row r="8" spans="1:25" x14ac:dyDescent="0.25">
      <c r="A8" s="3" t="s">
        <v>111</v>
      </c>
      <c r="B8" s="4">
        <v>0.04</v>
      </c>
      <c r="C8" s="4">
        <v>0.04</v>
      </c>
      <c r="D8" s="4">
        <v>0.04</v>
      </c>
      <c r="E8" s="4">
        <v>0.04</v>
      </c>
      <c r="F8" s="4">
        <v>0.04</v>
      </c>
      <c r="G8" s="4">
        <v>0.04</v>
      </c>
      <c r="H8" s="4">
        <v>0.04</v>
      </c>
      <c r="I8" s="4">
        <v>0.04</v>
      </c>
      <c r="J8" s="4">
        <v>0.04</v>
      </c>
      <c r="K8" s="4">
        <v>0.04</v>
      </c>
      <c r="L8" s="4">
        <v>0.04</v>
      </c>
      <c r="M8" s="4">
        <v>0.04</v>
      </c>
      <c r="N8" s="4">
        <v>0.04</v>
      </c>
      <c r="O8" s="4">
        <v>0.04</v>
      </c>
      <c r="P8" s="4">
        <v>0.04</v>
      </c>
      <c r="Q8" s="4">
        <v>0.04</v>
      </c>
      <c r="R8" s="4">
        <v>0.04</v>
      </c>
      <c r="S8" s="4">
        <v>0.04</v>
      </c>
      <c r="T8" s="4">
        <v>0.04</v>
      </c>
      <c r="U8" s="4">
        <v>0.04</v>
      </c>
      <c r="V8" s="4">
        <v>0.04</v>
      </c>
      <c r="W8" s="4">
        <v>0.04</v>
      </c>
      <c r="X8" s="4">
        <v>0.04</v>
      </c>
      <c r="Y8" s="4">
        <v>0.04</v>
      </c>
    </row>
  </sheetData>
  <mergeCells count="12">
    <mergeCell ref="X1:Y1"/>
    <mergeCell ref="B1:C1"/>
    <mergeCell ref="D1:E1"/>
    <mergeCell ref="F1:G1"/>
    <mergeCell ref="H1:I1"/>
    <mergeCell ref="J1:K1"/>
    <mergeCell ref="L1:M1"/>
    <mergeCell ref="N1:O1"/>
    <mergeCell ref="P1:Q1"/>
    <mergeCell ref="R1:S1"/>
    <mergeCell ref="T1:U1"/>
    <mergeCell ref="V1:W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zoomScale="80" zoomScaleNormal="80" workbookViewId="0">
      <selection activeCell="N7" sqref="N7"/>
    </sheetView>
  </sheetViews>
  <sheetFormatPr defaultRowHeight="15" x14ac:dyDescent="0.25"/>
  <cols>
    <col min="1" max="1" width="28" bestFit="1" customWidth="1"/>
  </cols>
  <sheetData>
    <row r="1" spans="1:25" x14ac:dyDescent="0.25">
      <c r="B1" s="279" t="s">
        <v>21</v>
      </c>
      <c r="C1" s="279"/>
      <c r="D1" s="279" t="s">
        <v>22</v>
      </c>
      <c r="E1" s="279"/>
      <c r="F1" s="279" t="s">
        <v>23</v>
      </c>
      <c r="G1" s="279"/>
      <c r="H1" s="279" t="s">
        <v>24</v>
      </c>
      <c r="I1" s="279"/>
      <c r="J1" s="279" t="s">
        <v>25</v>
      </c>
      <c r="K1" s="279"/>
      <c r="L1" s="279" t="s">
        <v>26</v>
      </c>
      <c r="M1" s="279"/>
      <c r="N1" s="279" t="s">
        <v>27</v>
      </c>
      <c r="O1" s="279"/>
      <c r="P1" s="279" t="s">
        <v>28</v>
      </c>
      <c r="Q1" s="279"/>
      <c r="R1" s="279" t="s">
        <v>29</v>
      </c>
      <c r="S1" s="279"/>
      <c r="T1" s="279" t="s">
        <v>30</v>
      </c>
      <c r="U1" s="279"/>
      <c r="V1" s="279" t="s">
        <v>31</v>
      </c>
      <c r="W1" s="279"/>
      <c r="X1" s="279" t="s">
        <v>32</v>
      </c>
      <c r="Y1" s="279"/>
    </row>
    <row r="2" spans="1:25" x14ac:dyDescent="0.25">
      <c r="B2" s="2">
        <v>1</v>
      </c>
      <c r="C2" s="2">
        <v>2</v>
      </c>
      <c r="D2" s="2">
        <v>3</v>
      </c>
      <c r="E2" s="2">
        <v>4</v>
      </c>
      <c r="F2" s="2">
        <v>5</v>
      </c>
      <c r="G2" s="2">
        <v>6</v>
      </c>
      <c r="H2" s="2">
        <v>7</v>
      </c>
      <c r="I2" s="2">
        <v>8</v>
      </c>
      <c r="J2" s="2">
        <v>9</v>
      </c>
      <c r="K2" s="2">
        <v>10</v>
      </c>
      <c r="L2" s="2">
        <v>11</v>
      </c>
      <c r="M2" s="2">
        <v>12</v>
      </c>
      <c r="N2" s="2">
        <v>13</v>
      </c>
      <c r="O2" s="2">
        <v>14</v>
      </c>
      <c r="P2" s="2">
        <v>15</v>
      </c>
      <c r="Q2" s="2">
        <v>16</v>
      </c>
      <c r="R2" s="2">
        <v>17</v>
      </c>
      <c r="S2" s="2">
        <v>18</v>
      </c>
      <c r="T2" s="2">
        <v>19</v>
      </c>
      <c r="U2" s="2">
        <v>20</v>
      </c>
      <c r="V2" s="2">
        <v>21</v>
      </c>
      <c r="W2" s="2">
        <v>22</v>
      </c>
      <c r="X2" s="2">
        <v>23</v>
      </c>
      <c r="Y2" s="2">
        <v>24</v>
      </c>
    </row>
    <row r="3" spans="1:25" s="3" customFormat="1" x14ac:dyDescent="0.25">
      <c r="A3" s="3" t="s">
        <v>124</v>
      </c>
      <c r="B3" s="3">
        <v>262.04000000000002</v>
      </c>
      <c r="C3" s="3">
        <v>262.04000000000002</v>
      </c>
      <c r="D3" s="3">
        <v>262.04000000000002</v>
      </c>
      <c r="E3" s="3">
        <v>262.04000000000002</v>
      </c>
      <c r="F3" s="3">
        <v>262.04000000000002</v>
      </c>
      <c r="G3" s="3">
        <v>262.04000000000002</v>
      </c>
      <c r="H3" s="3">
        <v>262.04000000000002</v>
      </c>
      <c r="I3" s="3">
        <v>262.04000000000002</v>
      </c>
      <c r="J3" s="3">
        <v>270.60000000000002</v>
      </c>
      <c r="K3" s="3">
        <v>270.60000000000002</v>
      </c>
      <c r="L3" s="3">
        <v>270.60000000000002</v>
      </c>
      <c r="M3" s="3">
        <v>270.60000000000002</v>
      </c>
      <c r="N3" s="3">
        <v>270.60000000000002</v>
      </c>
      <c r="O3" s="3">
        <v>270.60000000000002</v>
      </c>
      <c r="P3" s="3">
        <v>270.60000000000002</v>
      </c>
      <c r="Q3" s="3">
        <v>270.60000000000002</v>
      </c>
      <c r="R3" s="3">
        <v>270.60000000000002</v>
      </c>
      <c r="S3" s="3">
        <v>270.60000000000002</v>
      </c>
      <c r="T3" s="3">
        <v>270.60000000000002</v>
      </c>
      <c r="U3" s="3">
        <v>270.60000000000002</v>
      </c>
      <c r="V3" s="3">
        <v>270.60000000000002</v>
      </c>
      <c r="W3" s="3">
        <v>270.60000000000002</v>
      </c>
      <c r="X3" s="3">
        <v>270.60000000000002</v>
      </c>
      <c r="Y3" s="3">
        <v>270.60000000000002</v>
      </c>
    </row>
  </sheetData>
  <mergeCells count="12">
    <mergeCell ref="X1:Y1"/>
    <mergeCell ref="B1:C1"/>
    <mergeCell ref="D1:E1"/>
    <mergeCell ref="F1:G1"/>
    <mergeCell ref="H1:I1"/>
    <mergeCell ref="J1:K1"/>
    <mergeCell ref="L1:M1"/>
    <mergeCell ref="N1:O1"/>
    <mergeCell ref="P1:Q1"/>
    <mergeCell ref="R1:S1"/>
    <mergeCell ref="T1:U1"/>
    <mergeCell ref="V1:W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O19" sqref="O19"/>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2:O138"/>
  <sheetViews>
    <sheetView zoomScale="80" zoomScaleNormal="80" workbookViewId="0">
      <selection activeCell="D19" sqref="D19"/>
    </sheetView>
  </sheetViews>
  <sheetFormatPr defaultRowHeight="15" x14ac:dyDescent="0.25"/>
  <cols>
    <col min="2" max="2" width="62.85546875" customWidth="1"/>
    <col min="3" max="3" width="15.42578125" customWidth="1"/>
    <col min="4" max="7" width="15.42578125" style="210" customWidth="1"/>
    <col min="8" max="8" width="13.7109375" style="210" customWidth="1"/>
    <col min="9" max="9" width="83.28515625" style="211" customWidth="1"/>
    <col min="10" max="10" width="6" customWidth="1"/>
    <col min="11" max="11" width="16.42578125" customWidth="1"/>
    <col min="12" max="13" width="18.140625" customWidth="1"/>
    <col min="14" max="14" width="14.85546875" customWidth="1"/>
    <col min="15" max="15" width="32.42578125" customWidth="1"/>
  </cols>
  <sheetData>
    <row r="2" spans="1:15" ht="28.5" x14ac:dyDescent="0.45">
      <c r="B2" s="242" t="s">
        <v>284</v>
      </c>
      <c r="C2" s="243"/>
      <c r="D2" s="243"/>
      <c r="E2" s="243"/>
      <c r="F2" s="243"/>
      <c r="G2" s="243"/>
      <c r="H2" s="243"/>
      <c r="I2" s="243"/>
      <c r="K2" t="s">
        <v>285</v>
      </c>
    </row>
    <row r="3" spans="1:15" x14ac:dyDescent="0.25">
      <c r="D3" s="210" t="s">
        <v>160</v>
      </c>
      <c r="G3" t="s">
        <v>286</v>
      </c>
      <c r="H3"/>
      <c r="L3" t="s">
        <v>287</v>
      </c>
      <c r="M3" s="6">
        <f>1+2%</f>
        <v>1.02</v>
      </c>
    </row>
    <row r="4" spans="1:15" ht="18.75" x14ac:dyDescent="0.3">
      <c r="B4" s="8" t="s">
        <v>288</v>
      </c>
      <c r="C4" s="8"/>
      <c r="D4" s="212">
        <f>SUM(annual_expenses)</f>
        <v>96273.01999999999</v>
      </c>
      <c r="E4" s="212"/>
      <c r="F4" s="212"/>
      <c r="G4" s="213">
        <f>SUM(H10:H201)</f>
        <v>0</v>
      </c>
      <c r="K4" s="48"/>
    </row>
    <row r="5" spans="1:15" ht="18.75" x14ac:dyDescent="0.3">
      <c r="B5" s="8" t="s">
        <v>289</v>
      </c>
      <c r="C5" s="8"/>
      <c r="D5" s="214">
        <f>Overview!H16</f>
        <v>8584.7592847500346</v>
      </c>
      <c r="E5" s="214"/>
      <c r="F5" s="215"/>
      <c r="G5" s="8"/>
      <c r="H5" s="8"/>
      <c r="I5" s="214" t="s">
        <v>290</v>
      </c>
      <c r="K5" s="48"/>
      <c r="L5" t="s">
        <v>291</v>
      </c>
      <c r="M5" t="e">
        <f>SUM(O10:O114)</f>
        <v>#REF!</v>
      </c>
    </row>
    <row r="6" spans="1:15" x14ac:dyDescent="0.25">
      <c r="B6" s="8" t="s">
        <v>292</v>
      </c>
      <c r="C6">
        <f>COUNTBLANK(annual_expenses)</f>
        <v>0</v>
      </c>
      <c r="G6"/>
      <c r="H6"/>
    </row>
    <row r="7" spans="1:15" x14ac:dyDescent="0.25">
      <c r="A7" t="s">
        <v>293</v>
      </c>
      <c r="B7" s="216" t="s">
        <v>294</v>
      </c>
      <c r="C7" s="217" t="s">
        <v>295</v>
      </c>
      <c r="D7" s="217" t="s">
        <v>296</v>
      </c>
      <c r="E7" s="217">
        <v>12</v>
      </c>
      <c r="F7" s="217">
        <v>7</v>
      </c>
      <c r="G7" s="217" t="s">
        <v>297</v>
      </c>
      <c r="H7" s="218" t="s">
        <v>298</v>
      </c>
      <c r="I7" s="217" t="s">
        <v>299</v>
      </c>
      <c r="K7" s="216" t="s">
        <v>300</v>
      </c>
      <c r="L7" s="216" t="s">
        <v>301</v>
      </c>
      <c r="M7" s="216" t="s">
        <v>298</v>
      </c>
      <c r="N7" s="216" t="s">
        <v>302</v>
      </c>
    </row>
    <row r="8" spans="1:15" ht="18.75" x14ac:dyDescent="0.3">
      <c r="A8">
        <v>26</v>
      </c>
      <c r="B8" s="219" t="s">
        <v>303</v>
      </c>
      <c r="C8">
        <f>1550*12</f>
        <v>18600</v>
      </c>
      <c r="D8" s="220">
        <f>1550*7+1800*5</f>
        <v>19850</v>
      </c>
      <c r="E8" s="220">
        <f t="shared" ref="E8:E71" si="0">D8/12</f>
        <v>1654.1666666666667</v>
      </c>
      <c r="F8" s="220">
        <f t="shared" ref="F8:F71" si="1">_xlfn.CEILING.MATH(D8/7)</f>
        <v>2836</v>
      </c>
      <c r="G8" s="221"/>
      <c r="H8" s="222">
        <f t="shared" ref="H8:H71" si="2">IF(G8=0,0,(D8-G8)/D8)</f>
        <v>0</v>
      </c>
      <c r="I8" t="s">
        <v>466</v>
      </c>
      <c r="K8" s="220">
        <f>D8/2</f>
        <v>9925</v>
      </c>
      <c r="L8" s="220"/>
      <c r="M8" s="222">
        <f>IF(L8=0,0,(K8-L8)/K8)</f>
        <v>0</v>
      </c>
    </row>
    <row r="9" spans="1:15" ht="18.75" x14ac:dyDescent="0.3">
      <c r="A9">
        <v>2</v>
      </c>
      <c r="B9" s="219" t="s">
        <v>304</v>
      </c>
      <c r="C9">
        <v>13162</v>
      </c>
      <c r="D9" s="220">
        <f>1120*12</f>
        <v>13440</v>
      </c>
      <c r="E9" s="220">
        <f t="shared" si="0"/>
        <v>1120</v>
      </c>
      <c r="F9" s="220">
        <f t="shared" si="1"/>
        <v>1920</v>
      </c>
      <c r="G9" s="221"/>
      <c r="H9" s="222">
        <f t="shared" si="2"/>
        <v>0</v>
      </c>
      <c r="I9"/>
      <c r="K9" s="220">
        <f>D9/2</f>
        <v>6720</v>
      </c>
      <c r="L9" s="220"/>
      <c r="M9" s="222">
        <f>IF(L9=0,0,(K9-L9)/K9)</f>
        <v>0</v>
      </c>
      <c r="O9">
        <f>IF(L9=0,0,K9-L9)</f>
        <v>0</v>
      </c>
    </row>
    <row r="10" spans="1:15" ht="18.75" x14ac:dyDescent="0.3">
      <c r="A10">
        <v>130</v>
      </c>
      <c r="B10" s="219" t="s">
        <v>305</v>
      </c>
      <c r="C10">
        <v>0</v>
      </c>
      <c r="D10" s="220">
        <v>3000</v>
      </c>
      <c r="E10" s="220">
        <f t="shared" si="0"/>
        <v>250</v>
      </c>
      <c r="F10" s="220">
        <f t="shared" si="1"/>
        <v>429</v>
      </c>
      <c r="G10" s="221"/>
      <c r="H10" s="222">
        <f t="shared" si="2"/>
        <v>0</v>
      </c>
      <c r="I10" t="s">
        <v>467</v>
      </c>
      <c r="K10" s="220"/>
      <c r="L10" s="220"/>
      <c r="M10" s="222"/>
      <c r="O10">
        <f>IF(L10=0,0,K10-L10)</f>
        <v>0</v>
      </c>
    </row>
    <row r="11" spans="1:15" ht="18.75" x14ac:dyDescent="0.3">
      <c r="A11">
        <v>1</v>
      </c>
      <c r="B11" s="219" t="s">
        <v>306</v>
      </c>
      <c r="D11" s="220">
        <f>12 * E11</f>
        <v>3480</v>
      </c>
      <c r="E11" s="220">
        <v>290</v>
      </c>
      <c r="F11" s="220">
        <f t="shared" si="1"/>
        <v>498</v>
      </c>
      <c r="G11" s="221"/>
      <c r="H11" s="222">
        <f t="shared" si="2"/>
        <v>0</v>
      </c>
      <c r="I11"/>
      <c r="K11" s="220">
        <f t="shared" ref="K11:K26" si="3">D11/2</f>
        <v>1740</v>
      </c>
      <c r="L11" s="220"/>
      <c r="M11" s="222">
        <f t="shared" ref="M11:M26" si="4">IF(L11=0,0,(K11-L11)/K11)</f>
        <v>0</v>
      </c>
      <c r="O11">
        <f t="shared" ref="O11:O12" si="5">IF(L11=0,0,K11-L11)</f>
        <v>0</v>
      </c>
    </row>
    <row r="12" spans="1:15" ht="18.75" x14ac:dyDescent="0.3">
      <c r="A12">
        <v>20</v>
      </c>
      <c r="B12" s="219" t="s">
        <v>307</v>
      </c>
      <c r="C12">
        <v>2763</v>
      </c>
      <c r="D12" s="220">
        <f>C12*inflation</f>
        <v>2818.26</v>
      </c>
      <c r="E12" s="220">
        <f t="shared" si="0"/>
        <v>234.85500000000002</v>
      </c>
      <c r="F12" s="220">
        <f t="shared" si="1"/>
        <v>403</v>
      </c>
      <c r="G12" s="221"/>
      <c r="H12" s="222">
        <f t="shared" si="2"/>
        <v>0</v>
      </c>
      <c r="I12" t="s">
        <v>308</v>
      </c>
      <c r="K12" s="220">
        <f t="shared" si="3"/>
        <v>1409.13</v>
      </c>
      <c r="L12" s="220"/>
      <c r="M12" s="222">
        <f t="shared" si="4"/>
        <v>0</v>
      </c>
      <c r="O12">
        <f t="shared" si="5"/>
        <v>0</v>
      </c>
    </row>
    <row r="13" spans="1:15" ht="18.75" x14ac:dyDescent="0.3">
      <c r="A13">
        <v>4</v>
      </c>
      <c r="B13" s="219" t="s">
        <v>309</v>
      </c>
      <c r="C13">
        <v>2802</v>
      </c>
      <c r="D13" s="220">
        <v>2700</v>
      </c>
      <c r="E13" s="220">
        <f t="shared" si="0"/>
        <v>225</v>
      </c>
      <c r="F13" s="220">
        <f t="shared" si="1"/>
        <v>386</v>
      </c>
      <c r="G13" s="221"/>
      <c r="H13" s="222">
        <f t="shared" si="2"/>
        <v>0</v>
      </c>
      <c r="K13" s="220">
        <f t="shared" si="3"/>
        <v>1350</v>
      </c>
      <c r="L13" s="220"/>
      <c r="M13" s="222">
        <f t="shared" si="4"/>
        <v>0</v>
      </c>
      <c r="O13">
        <f>IF(L13=0,0,K13-L13)</f>
        <v>0</v>
      </c>
    </row>
    <row r="14" spans="1:15" ht="18.75" x14ac:dyDescent="0.3">
      <c r="A14">
        <v>25</v>
      </c>
      <c r="B14" s="219" t="s">
        <v>310</v>
      </c>
      <c r="C14">
        <v>2360</v>
      </c>
      <c r="D14" s="220">
        <f>2360+300</f>
        <v>2660</v>
      </c>
      <c r="E14" s="220">
        <f t="shared" si="0"/>
        <v>221.66666666666666</v>
      </c>
      <c r="F14" s="220">
        <f t="shared" si="1"/>
        <v>380</v>
      </c>
      <c r="G14" s="221"/>
      <c r="H14" s="222">
        <f t="shared" si="2"/>
        <v>0</v>
      </c>
      <c r="I14" t="s">
        <v>311</v>
      </c>
      <c r="K14" s="220">
        <f t="shared" si="3"/>
        <v>1330</v>
      </c>
      <c r="L14" s="220"/>
      <c r="M14" s="222">
        <f t="shared" si="4"/>
        <v>0</v>
      </c>
      <c r="O14">
        <f>IF(L16=0,0,K16-L16)</f>
        <v>0</v>
      </c>
    </row>
    <row r="15" spans="1:15" ht="18.75" x14ac:dyDescent="0.3">
      <c r="A15">
        <v>13</v>
      </c>
      <c r="B15" s="219" t="s">
        <v>312</v>
      </c>
      <c r="C15">
        <v>1956</v>
      </c>
      <c r="D15" s="220">
        <v>2100</v>
      </c>
      <c r="E15" s="220">
        <f t="shared" si="0"/>
        <v>175</v>
      </c>
      <c r="F15" s="220">
        <f t="shared" si="1"/>
        <v>300</v>
      </c>
      <c r="G15" s="221"/>
      <c r="H15" s="222">
        <f t="shared" si="2"/>
        <v>0</v>
      </c>
      <c r="I15" t="s">
        <v>313</v>
      </c>
      <c r="K15" s="220">
        <f t="shared" si="3"/>
        <v>1050</v>
      </c>
      <c r="L15" s="220"/>
      <c r="M15" s="222">
        <f t="shared" si="4"/>
        <v>0</v>
      </c>
    </row>
    <row r="16" spans="1:15" ht="18.75" x14ac:dyDescent="0.3">
      <c r="A16">
        <v>30</v>
      </c>
      <c r="B16" s="219" t="s">
        <v>314</v>
      </c>
      <c r="C16">
        <v>2055</v>
      </c>
      <c r="D16" s="220">
        <f>C16*inflation</f>
        <v>2096.1</v>
      </c>
      <c r="E16" s="220">
        <f t="shared" si="0"/>
        <v>174.67499999999998</v>
      </c>
      <c r="F16" s="220">
        <f t="shared" si="1"/>
        <v>300</v>
      </c>
      <c r="G16" s="221"/>
      <c r="H16" s="222">
        <f t="shared" si="2"/>
        <v>0</v>
      </c>
      <c r="I16"/>
      <c r="K16" s="220">
        <f t="shared" si="3"/>
        <v>1048.05</v>
      </c>
      <c r="L16" s="220"/>
      <c r="M16" s="222">
        <f t="shared" si="4"/>
        <v>0</v>
      </c>
      <c r="O16">
        <f t="shared" ref="O16:O78" si="6">IF(L17=0,0,K17-L17)</f>
        <v>0</v>
      </c>
    </row>
    <row r="17" spans="1:15" ht="18.75" x14ac:dyDescent="0.3">
      <c r="A17">
        <v>28</v>
      </c>
      <c r="B17" s="219" t="s">
        <v>315</v>
      </c>
      <c r="C17">
        <v>1914</v>
      </c>
      <c r="D17" s="220">
        <v>1850</v>
      </c>
      <c r="E17" s="220">
        <f t="shared" si="0"/>
        <v>154.16666666666666</v>
      </c>
      <c r="F17" s="220">
        <f t="shared" si="1"/>
        <v>265</v>
      </c>
      <c r="G17" s="221"/>
      <c r="H17" s="222">
        <f t="shared" si="2"/>
        <v>0</v>
      </c>
      <c r="I17" t="s">
        <v>316</v>
      </c>
      <c r="K17" s="220">
        <f t="shared" si="3"/>
        <v>925</v>
      </c>
      <c r="L17" s="220"/>
      <c r="M17" s="222">
        <f t="shared" si="4"/>
        <v>0</v>
      </c>
      <c r="O17">
        <f t="shared" si="6"/>
        <v>0</v>
      </c>
    </row>
    <row r="18" spans="1:15" ht="18.75" x14ac:dyDescent="0.3">
      <c r="A18">
        <v>16</v>
      </c>
      <c r="B18" s="219" t="s">
        <v>317</v>
      </c>
      <c r="C18">
        <v>1668</v>
      </c>
      <c r="D18" s="220">
        <v>1800</v>
      </c>
      <c r="E18" s="220">
        <f t="shared" si="0"/>
        <v>150</v>
      </c>
      <c r="F18" s="220">
        <f t="shared" si="1"/>
        <v>258</v>
      </c>
      <c r="G18" s="221"/>
      <c r="H18" s="222">
        <f t="shared" si="2"/>
        <v>0</v>
      </c>
      <c r="I18"/>
      <c r="K18" s="220">
        <f t="shared" si="3"/>
        <v>900</v>
      </c>
      <c r="L18" s="220"/>
      <c r="M18" s="222">
        <f t="shared" si="4"/>
        <v>0</v>
      </c>
      <c r="O18">
        <f t="shared" si="6"/>
        <v>0</v>
      </c>
    </row>
    <row r="19" spans="1:15" ht="18.75" x14ac:dyDescent="0.3">
      <c r="A19">
        <v>17</v>
      </c>
      <c r="B19" s="219" t="s">
        <v>318</v>
      </c>
      <c r="C19">
        <v>1757</v>
      </c>
      <c r="D19" s="220">
        <f>C19*inflation</f>
        <v>1792.14</v>
      </c>
      <c r="E19" s="220">
        <f t="shared" si="0"/>
        <v>149.345</v>
      </c>
      <c r="F19" s="220">
        <f t="shared" si="1"/>
        <v>257</v>
      </c>
      <c r="G19" s="221"/>
      <c r="H19" s="222">
        <f t="shared" si="2"/>
        <v>0</v>
      </c>
      <c r="I19" s="223"/>
      <c r="K19" s="220">
        <f t="shared" si="3"/>
        <v>896.07</v>
      </c>
      <c r="L19" s="220"/>
      <c r="M19" s="222">
        <f t="shared" si="4"/>
        <v>0</v>
      </c>
      <c r="O19">
        <f t="shared" si="6"/>
        <v>0</v>
      </c>
    </row>
    <row r="20" spans="1:15" ht="18.75" x14ac:dyDescent="0.3">
      <c r="A20">
        <v>5</v>
      </c>
      <c r="B20" s="219" t="s">
        <v>319</v>
      </c>
      <c r="C20">
        <v>1966</v>
      </c>
      <c r="D20" s="220">
        <v>1680</v>
      </c>
      <c r="E20" s="220">
        <f t="shared" si="0"/>
        <v>140</v>
      </c>
      <c r="F20" s="220">
        <f t="shared" si="1"/>
        <v>240</v>
      </c>
      <c r="G20" s="221"/>
      <c r="H20" s="222">
        <f t="shared" si="2"/>
        <v>0</v>
      </c>
      <c r="I20"/>
      <c r="K20" s="220">
        <f t="shared" si="3"/>
        <v>840</v>
      </c>
      <c r="L20" s="220"/>
      <c r="M20" s="222">
        <f t="shared" si="4"/>
        <v>0</v>
      </c>
      <c r="O20">
        <f t="shared" si="6"/>
        <v>0</v>
      </c>
    </row>
    <row r="21" spans="1:15" ht="18.75" x14ac:dyDescent="0.3">
      <c r="A21">
        <v>39</v>
      </c>
      <c r="B21" s="219" t="s">
        <v>320</v>
      </c>
      <c r="C21">
        <v>1716</v>
      </c>
      <c r="D21" s="220">
        <v>1500</v>
      </c>
      <c r="E21" s="220">
        <f t="shared" si="0"/>
        <v>125</v>
      </c>
      <c r="F21" s="220">
        <f t="shared" si="1"/>
        <v>215</v>
      </c>
      <c r="G21" s="221"/>
      <c r="H21" s="222">
        <f t="shared" si="2"/>
        <v>0</v>
      </c>
      <c r="I21" t="s">
        <v>321</v>
      </c>
      <c r="K21" s="220">
        <f t="shared" si="3"/>
        <v>750</v>
      </c>
      <c r="L21" s="220"/>
      <c r="M21" s="222">
        <f t="shared" si="4"/>
        <v>0</v>
      </c>
      <c r="O21">
        <f t="shared" si="6"/>
        <v>0</v>
      </c>
    </row>
    <row r="22" spans="1:15" ht="18.75" x14ac:dyDescent="0.3">
      <c r="A22">
        <v>9</v>
      </c>
      <c r="B22" s="219" t="s">
        <v>322</v>
      </c>
      <c r="C22">
        <v>2779</v>
      </c>
      <c r="D22" s="220">
        <v>1440</v>
      </c>
      <c r="E22" s="220">
        <f t="shared" si="0"/>
        <v>120</v>
      </c>
      <c r="F22" s="220">
        <f t="shared" si="1"/>
        <v>206</v>
      </c>
      <c r="G22" s="221"/>
      <c r="H22" s="222">
        <f t="shared" si="2"/>
        <v>0</v>
      </c>
      <c r="I22"/>
      <c r="K22" s="220">
        <f t="shared" si="3"/>
        <v>720</v>
      </c>
      <c r="L22" s="220"/>
      <c r="M22" s="222">
        <f t="shared" si="4"/>
        <v>0</v>
      </c>
      <c r="O22">
        <f t="shared" si="6"/>
        <v>0</v>
      </c>
    </row>
    <row r="23" spans="1:15" ht="18.75" x14ac:dyDescent="0.3">
      <c r="A23">
        <v>10</v>
      </c>
      <c r="B23" s="219" t="s">
        <v>323</v>
      </c>
      <c r="C23">
        <v>1301</v>
      </c>
      <c r="D23" s="220">
        <v>1440</v>
      </c>
      <c r="E23" s="220">
        <f t="shared" si="0"/>
        <v>120</v>
      </c>
      <c r="F23" s="220">
        <f t="shared" si="1"/>
        <v>206</v>
      </c>
      <c r="G23" s="221"/>
      <c r="H23" s="222">
        <f t="shared" si="2"/>
        <v>0</v>
      </c>
      <c r="K23" s="220">
        <f t="shared" si="3"/>
        <v>720</v>
      </c>
      <c r="L23" s="220"/>
      <c r="M23" s="222">
        <f t="shared" si="4"/>
        <v>0</v>
      </c>
      <c r="O23" t="e">
        <f>IF(#REF!=0,0,#REF!-#REF!)</f>
        <v>#REF!</v>
      </c>
    </row>
    <row r="24" spans="1:15" ht="18.75" x14ac:dyDescent="0.3">
      <c r="A24">
        <v>89</v>
      </c>
      <c r="B24" s="219" t="s">
        <v>324</v>
      </c>
      <c r="C24">
        <v>1329</v>
      </c>
      <c r="D24" s="220">
        <f>C24*inflation</f>
        <v>1355.58</v>
      </c>
      <c r="E24" s="220">
        <f t="shared" si="0"/>
        <v>112.96499999999999</v>
      </c>
      <c r="F24" s="220">
        <f t="shared" si="1"/>
        <v>194</v>
      </c>
      <c r="G24" s="221"/>
      <c r="H24" s="222">
        <f t="shared" si="2"/>
        <v>0</v>
      </c>
      <c r="I24"/>
      <c r="K24" s="220">
        <f t="shared" si="3"/>
        <v>677.79</v>
      </c>
      <c r="L24" s="220"/>
      <c r="M24" s="222">
        <f t="shared" si="4"/>
        <v>0</v>
      </c>
      <c r="O24">
        <f t="shared" si="6"/>
        <v>0</v>
      </c>
    </row>
    <row r="25" spans="1:15" ht="18.75" x14ac:dyDescent="0.3">
      <c r="A25">
        <v>19</v>
      </c>
      <c r="B25" s="219" t="s">
        <v>325</v>
      </c>
      <c r="C25">
        <v>1327</v>
      </c>
      <c r="D25" s="220">
        <v>1327</v>
      </c>
      <c r="E25" s="220">
        <f t="shared" si="0"/>
        <v>110.58333333333333</v>
      </c>
      <c r="F25" s="220">
        <f t="shared" si="1"/>
        <v>190</v>
      </c>
      <c r="G25" s="221"/>
      <c r="H25" s="222">
        <f t="shared" si="2"/>
        <v>0</v>
      </c>
      <c r="I25"/>
      <c r="K25" s="220">
        <f t="shared" si="3"/>
        <v>663.5</v>
      </c>
      <c r="L25" s="220"/>
      <c r="M25" s="222">
        <f t="shared" si="4"/>
        <v>0</v>
      </c>
      <c r="O25">
        <f t="shared" si="6"/>
        <v>0</v>
      </c>
    </row>
    <row r="26" spans="1:15" ht="18.75" x14ac:dyDescent="0.3">
      <c r="A26">
        <v>34</v>
      </c>
      <c r="B26" s="219" t="s">
        <v>326</v>
      </c>
      <c r="C26">
        <v>1230</v>
      </c>
      <c r="D26" s="220">
        <f>C26*inflation</f>
        <v>1254.5999999999999</v>
      </c>
      <c r="E26" s="220">
        <f t="shared" si="0"/>
        <v>104.55</v>
      </c>
      <c r="F26" s="220">
        <f t="shared" si="1"/>
        <v>180</v>
      </c>
      <c r="G26" s="221"/>
      <c r="H26" s="222">
        <f t="shared" si="2"/>
        <v>0</v>
      </c>
      <c r="I26" t="s">
        <v>327</v>
      </c>
      <c r="K26" s="220">
        <f t="shared" si="3"/>
        <v>627.29999999999995</v>
      </c>
      <c r="L26" s="220"/>
      <c r="M26" s="222">
        <f t="shared" si="4"/>
        <v>0</v>
      </c>
      <c r="O26">
        <f t="shared" si="6"/>
        <v>0</v>
      </c>
    </row>
    <row r="27" spans="1:15" ht="18.75" x14ac:dyDescent="0.3">
      <c r="A27">
        <v>105</v>
      </c>
      <c r="B27" s="219" t="s">
        <v>328</v>
      </c>
      <c r="C27">
        <v>1284</v>
      </c>
      <c r="D27" s="220">
        <v>1200</v>
      </c>
      <c r="E27" s="220">
        <f t="shared" si="0"/>
        <v>100</v>
      </c>
      <c r="F27" s="220">
        <f t="shared" si="1"/>
        <v>172</v>
      </c>
      <c r="G27" s="221"/>
      <c r="H27" s="222">
        <f t="shared" si="2"/>
        <v>0</v>
      </c>
      <c r="I27"/>
      <c r="K27" s="220"/>
      <c r="L27" s="220"/>
      <c r="M27" s="222"/>
      <c r="O27">
        <f t="shared" si="6"/>
        <v>0</v>
      </c>
    </row>
    <row r="28" spans="1:15" ht="18.75" x14ac:dyDescent="0.3">
      <c r="A28">
        <v>3</v>
      </c>
      <c r="B28" s="219" t="s">
        <v>329</v>
      </c>
      <c r="C28">
        <v>1166</v>
      </c>
      <c r="D28" s="220">
        <f>C28*inflation</f>
        <v>1189.32</v>
      </c>
      <c r="E28" s="220">
        <f t="shared" si="0"/>
        <v>99.11</v>
      </c>
      <c r="F28" s="220">
        <f t="shared" si="1"/>
        <v>170</v>
      </c>
      <c r="G28" s="221"/>
      <c r="H28" s="222">
        <f t="shared" si="2"/>
        <v>0</v>
      </c>
      <c r="I28"/>
      <c r="K28" s="220">
        <f t="shared" ref="K28:K75" si="7">D28/2</f>
        <v>594.66</v>
      </c>
      <c r="L28" s="220"/>
      <c r="M28" s="222">
        <f t="shared" ref="M28:M75" si="8">IF(L28=0,0,(K28-L28)/K28)</f>
        <v>0</v>
      </c>
      <c r="O28">
        <f t="shared" si="6"/>
        <v>0</v>
      </c>
    </row>
    <row r="29" spans="1:15" ht="18.75" x14ac:dyDescent="0.3">
      <c r="A29">
        <v>24</v>
      </c>
      <c r="B29" s="219" t="s">
        <v>330</v>
      </c>
      <c r="C29">
        <v>1153</v>
      </c>
      <c r="D29" s="220">
        <f>48.5*2*12*inflation</f>
        <v>1187.28</v>
      </c>
      <c r="E29" s="220">
        <f t="shared" si="0"/>
        <v>98.94</v>
      </c>
      <c r="F29" s="220">
        <f t="shared" si="1"/>
        <v>170</v>
      </c>
      <c r="G29" s="221"/>
      <c r="H29" s="222">
        <f t="shared" si="2"/>
        <v>0</v>
      </c>
      <c r="I29" t="s">
        <v>331</v>
      </c>
      <c r="K29" s="220">
        <f t="shared" si="7"/>
        <v>593.64</v>
      </c>
      <c r="L29" s="220"/>
      <c r="M29" s="222">
        <f t="shared" si="8"/>
        <v>0</v>
      </c>
      <c r="O29">
        <f t="shared" si="6"/>
        <v>0</v>
      </c>
    </row>
    <row r="30" spans="1:15" ht="18.75" x14ac:dyDescent="0.3">
      <c r="A30">
        <v>71</v>
      </c>
      <c r="B30" s="219" t="s">
        <v>332</v>
      </c>
      <c r="C30">
        <v>996</v>
      </c>
      <c r="D30" s="220">
        <f>C30*inflation</f>
        <v>1015.9200000000001</v>
      </c>
      <c r="E30" s="220">
        <f t="shared" si="0"/>
        <v>84.660000000000011</v>
      </c>
      <c r="F30" s="220">
        <f t="shared" si="1"/>
        <v>146</v>
      </c>
      <c r="G30" s="221"/>
      <c r="H30" s="222">
        <f t="shared" si="2"/>
        <v>0</v>
      </c>
      <c r="I30"/>
      <c r="K30" s="220">
        <f t="shared" si="7"/>
        <v>507.96000000000004</v>
      </c>
      <c r="L30" s="220"/>
      <c r="M30" s="222">
        <f t="shared" si="8"/>
        <v>0</v>
      </c>
      <c r="O30">
        <f>IF(L32=0,0,K32-L32)</f>
        <v>0</v>
      </c>
    </row>
    <row r="31" spans="1:15" ht="18.75" x14ac:dyDescent="0.3">
      <c r="A31">
        <v>72</v>
      </c>
      <c r="B31" s="219" t="s">
        <v>333</v>
      </c>
      <c r="C31">
        <v>984</v>
      </c>
      <c r="D31" s="220">
        <f>C31*inflation</f>
        <v>1003.6800000000001</v>
      </c>
      <c r="E31" s="220">
        <f t="shared" si="0"/>
        <v>83.64</v>
      </c>
      <c r="F31" s="220">
        <f t="shared" si="1"/>
        <v>144</v>
      </c>
      <c r="G31" s="221"/>
      <c r="H31" s="222">
        <f t="shared" si="2"/>
        <v>0</v>
      </c>
      <c r="I31"/>
      <c r="K31" s="220">
        <f t="shared" si="7"/>
        <v>501.84000000000003</v>
      </c>
      <c r="L31" s="220"/>
      <c r="M31" s="222">
        <f t="shared" si="8"/>
        <v>0</v>
      </c>
      <c r="O31">
        <f>IF(L60=0,0,K60-L60)</f>
        <v>0</v>
      </c>
    </row>
    <row r="32" spans="1:15" ht="18.75" x14ac:dyDescent="0.3">
      <c r="A32">
        <v>6</v>
      </c>
      <c r="B32" s="219" t="s">
        <v>334</v>
      </c>
      <c r="C32">
        <f>80*12</f>
        <v>960</v>
      </c>
      <c r="D32" s="220">
        <v>960</v>
      </c>
      <c r="E32" s="220">
        <f t="shared" si="0"/>
        <v>80</v>
      </c>
      <c r="F32" s="220">
        <f t="shared" si="1"/>
        <v>138</v>
      </c>
      <c r="G32" s="221"/>
      <c r="H32" s="222">
        <f t="shared" si="2"/>
        <v>0</v>
      </c>
      <c r="K32" s="220">
        <f t="shared" si="7"/>
        <v>480</v>
      </c>
      <c r="L32" s="220"/>
      <c r="M32" s="222">
        <f t="shared" si="8"/>
        <v>0</v>
      </c>
      <c r="O32">
        <f t="shared" si="6"/>
        <v>0</v>
      </c>
    </row>
    <row r="33" spans="1:15" ht="18.75" x14ac:dyDescent="0.3">
      <c r="A33">
        <v>7</v>
      </c>
      <c r="B33" s="219" t="s">
        <v>335</v>
      </c>
      <c r="C33">
        <v>928</v>
      </c>
      <c r="D33" s="220">
        <f>C33*inflation</f>
        <v>946.56000000000006</v>
      </c>
      <c r="E33" s="220">
        <f t="shared" si="0"/>
        <v>78.88000000000001</v>
      </c>
      <c r="F33" s="220">
        <f t="shared" si="1"/>
        <v>136</v>
      </c>
      <c r="G33" s="221"/>
      <c r="H33" s="222">
        <f t="shared" si="2"/>
        <v>0</v>
      </c>
      <c r="I33"/>
      <c r="K33" s="220">
        <f t="shared" si="7"/>
        <v>473.28000000000003</v>
      </c>
      <c r="L33" s="220"/>
      <c r="M33" s="222">
        <f t="shared" si="8"/>
        <v>0</v>
      </c>
      <c r="O33">
        <f t="shared" si="6"/>
        <v>0</v>
      </c>
    </row>
    <row r="34" spans="1:15" ht="18.75" x14ac:dyDescent="0.3">
      <c r="A34">
        <v>15</v>
      </c>
      <c r="B34" s="219" t="s">
        <v>336</v>
      </c>
      <c r="C34">
        <v>897</v>
      </c>
      <c r="D34" s="220">
        <f>C34*inflation</f>
        <v>914.94</v>
      </c>
      <c r="E34" s="220">
        <f t="shared" si="0"/>
        <v>76.245000000000005</v>
      </c>
      <c r="F34" s="220">
        <f t="shared" si="1"/>
        <v>131</v>
      </c>
      <c r="G34" s="221"/>
      <c r="H34" s="222">
        <f t="shared" si="2"/>
        <v>0</v>
      </c>
      <c r="I34"/>
      <c r="K34" s="220">
        <f t="shared" si="7"/>
        <v>457.47</v>
      </c>
      <c r="L34" s="220"/>
      <c r="M34" s="222">
        <f t="shared" si="8"/>
        <v>0</v>
      </c>
      <c r="O34">
        <f t="shared" si="6"/>
        <v>0</v>
      </c>
    </row>
    <row r="35" spans="1:15" ht="18.75" x14ac:dyDescent="0.3">
      <c r="A35">
        <v>43</v>
      </c>
      <c r="B35" s="219" t="s">
        <v>337</v>
      </c>
      <c r="C35">
        <v>845</v>
      </c>
      <c r="D35" s="220">
        <f>C35*inflation</f>
        <v>861.9</v>
      </c>
      <c r="E35" s="220">
        <f t="shared" si="0"/>
        <v>71.825000000000003</v>
      </c>
      <c r="F35" s="220">
        <f t="shared" si="1"/>
        <v>124</v>
      </c>
      <c r="G35" s="221"/>
      <c r="H35" s="222">
        <f t="shared" si="2"/>
        <v>0</v>
      </c>
      <c r="I35"/>
      <c r="K35" s="220">
        <f t="shared" si="7"/>
        <v>430.95</v>
      </c>
      <c r="L35" s="220"/>
      <c r="M35" s="222">
        <f t="shared" si="8"/>
        <v>0</v>
      </c>
      <c r="O35">
        <f t="shared" si="6"/>
        <v>0</v>
      </c>
    </row>
    <row r="36" spans="1:15" ht="18.75" x14ac:dyDescent="0.3">
      <c r="A36">
        <v>49</v>
      </c>
      <c r="B36" s="219" t="s">
        <v>338</v>
      </c>
      <c r="C36">
        <v>348</v>
      </c>
      <c r="D36" s="220">
        <v>800</v>
      </c>
      <c r="E36" s="220">
        <f t="shared" si="0"/>
        <v>66.666666666666671</v>
      </c>
      <c r="F36" s="220">
        <f t="shared" si="1"/>
        <v>115</v>
      </c>
      <c r="G36" s="221"/>
      <c r="H36" s="222">
        <f t="shared" si="2"/>
        <v>0</v>
      </c>
      <c r="I36" t="s">
        <v>339</v>
      </c>
      <c r="K36" s="220">
        <f t="shared" si="7"/>
        <v>400</v>
      </c>
      <c r="L36" s="220"/>
      <c r="M36" s="222">
        <f t="shared" si="8"/>
        <v>0</v>
      </c>
      <c r="O36">
        <f t="shared" si="6"/>
        <v>0</v>
      </c>
    </row>
    <row r="37" spans="1:15" ht="18.75" x14ac:dyDescent="0.3">
      <c r="A37">
        <v>42</v>
      </c>
      <c r="B37" s="219" t="s">
        <v>340</v>
      </c>
      <c r="C37">
        <v>664</v>
      </c>
      <c r="D37" s="220">
        <f>C37*inflation</f>
        <v>677.28</v>
      </c>
      <c r="E37" s="220">
        <f t="shared" si="0"/>
        <v>56.44</v>
      </c>
      <c r="F37" s="220">
        <f t="shared" si="1"/>
        <v>97</v>
      </c>
      <c r="G37" s="221"/>
      <c r="H37" s="222">
        <f t="shared" si="2"/>
        <v>0</v>
      </c>
      <c r="I37"/>
      <c r="K37" s="220">
        <f t="shared" si="7"/>
        <v>338.64</v>
      </c>
      <c r="L37" s="220"/>
      <c r="M37" s="222">
        <f t="shared" si="8"/>
        <v>0</v>
      </c>
      <c r="O37">
        <f t="shared" si="6"/>
        <v>0</v>
      </c>
    </row>
    <row r="38" spans="1:15" ht="18.75" x14ac:dyDescent="0.3">
      <c r="A38">
        <v>11</v>
      </c>
      <c r="B38" s="219" t="s">
        <v>341</v>
      </c>
      <c r="C38">
        <v>440</v>
      </c>
      <c r="D38" s="220">
        <v>600</v>
      </c>
      <c r="E38" s="220">
        <f t="shared" si="0"/>
        <v>50</v>
      </c>
      <c r="F38" s="220">
        <f t="shared" si="1"/>
        <v>86</v>
      </c>
      <c r="G38" s="221"/>
      <c r="H38" s="222">
        <f t="shared" si="2"/>
        <v>0</v>
      </c>
      <c r="I38" t="s">
        <v>342</v>
      </c>
      <c r="K38" s="220">
        <f t="shared" si="7"/>
        <v>300</v>
      </c>
      <c r="L38" s="220"/>
      <c r="M38" s="222">
        <f t="shared" si="8"/>
        <v>0</v>
      </c>
      <c r="O38">
        <f t="shared" si="6"/>
        <v>0</v>
      </c>
    </row>
    <row r="39" spans="1:15" ht="18.75" x14ac:dyDescent="0.3">
      <c r="A39">
        <v>21</v>
      </c>
      <c r="B39" s="219" t="s">
        <v>343</v>
      </c>
      <c r="C39">
        <v>600</v>
      </c>
      <c r="D39" s="220">
        <v>600</v>
      </c>
      <c r="E39" s="220">
        <f t="shared" si="0"/>
        <v>50</v>
      </c>
      <c r="F39" s="220">
        <f t="shared" si="1"/>
        <v>86</v>
      </c>
      <c r="G39" s="221"/>
      <c r="H39" s="222">
        <f t="shared" si="2"/>
        <v>0</v>
      </c>
      <c r="I39" t="s">
        <v>344</v>
      </c>
      <c r="K39" s="220">
        <f t="shared" si="7"/>
        <v>300</v>
      </c>
      <c r="L39" s="220"/>
      <c r="M39" s="222">
        <f t="shared" si="8"/>
        <v>0</v>
      </c>
      <c r="O39">
        <f t="shared" si="6"/>
        <v>0</v>
      </c>
    </row>
    <row r="40" spans="1:15" ht="18.75" x14ac:dyDescent="0.3">
      <c r="A40">
        <v>22</v>
      </c>
      <c r="B40" s="219" t="s">
        <v>345</v>
      </c>
      <c r="C40">
        <v>600</v>
      </c>
      <c r="D40" s="220">
        <v>600</v>
      </c>
      <c r="E40" s="220">
        <f t="shared" si="0"/>
        <v>50</v>
      </c>
      <c r="F40" s="220">
        <f t="shared" si="1"/>
        <v>86</v>
      </c>
      <c r="G40" s="221"/>
      <c r="H40" s="222">
        <f t="shared" si="2"/>
        <v>0</v>
      </c>
      <c r="I40" t="s">
        <v>344</v>
      </c>
      <c r="K40" s="220">
        <f t="shared" si="7"/>
        <v>300</v>
      </c>
      <c r="L40" s="220"/>
      <c r="M40" s="222">
        <f t="shared" si="8"/>
        <v>0</v>
      </c>
      <c r="O40">
        <f t="shared" si="6"/>
        <v>0</v>
      </c>
    </row>
    <row r="41" spans="1:15" ht="18.75" x14ac:dyDescent="0.3">
      <c r="A41">
        <v>128</v>
      </c>
      <c r="B41" s="219" t="s">
        <v>346</v>
      </c>
      <c r="C41">
        <v>0</v>
      </c>
      <c r="D41" s="220">
        <v>600</v>
      </c>
      <c r="E41" s="220">
        <f t="shared" si="0"/>
        <v>50</v>
      </c>
      <c r="F41" s="220">
        <f t="shared" si="1"/>
        <v>86</v>
      </c>
      <c r="G41" s="221"/>
      <c r="H41" s="222">
        <f t="shared" si="2"/>
        <v>0</v>
      </c>
      <c r="I41"/>
      <c r="K41" s="220">
        <f t="shared" si="7"/>
        <v>300</v>
      </c>
      <c r="L41" s="220"/>
      <c r="M41" s="222">
        <f t="shared" si="8"/>
        <v>0</v>
      </c>
      <c r="O41">
        <f>IF(L46=0,0,K46-L46)</f>
        <v>0</v>
      </c>
    </row>
    <row r="42" spans="1:15" ht="18.75" x14ac:dyDescent="0.3">
      <c r="A42">
        <v>121</v>
      </c>
      <c r="B42" s="219" t="s">
        <v>347</v>
      </c>
      <c r="C42">
        <v>500</v>
      </c>
      <c r="D42" s="220">
        <f>C42*inflation</f>
        <v>510</v>
      </c>
      <c r="E42" s="220">
        <f t="shared" si="0"/>
        <v>42.5</v>
      </c>
      <c r="F42" s="220">
        <f t="shared" si="1"/>
        <v>73</v>
      </c>
      <c r="G42" s="221"/>
      <c r="H42" s="222">
        <f t="shared" si="2"/>
        <v>0</v>
      </c>
      <c r="I42"/>
      <c r="K42" s="220">
        <f t="shared" si="7"/>
        <v>255</v>
      </c>
      <c r="L42" s="220"/>
      <c r="M42" s="222">
        <f t="shared" si="8"/>
        <v>0</v>
      </c>
    </row>
    <row r="43" spans="1:15" ht="18.75" x14ac:dyDescent="0.3">
      <c r="A43">
        <v>54</v>
      </c>
      <c r="B43" s="219" t="s">
        <v>348</v>
      </c>
      <c r="C43">
        <v>954</v>
      </c>
      <c r="D43" s="220">
        <v>500</v>
      </c>
      <c r="E43" s="220">
        <f t="shared" si="0"/>
        <v>41.666666666666664</v>
      </c>
      <c r="F43" s="220">
        <f t="shared" si="1"/>
        <v>72</v>
      </c>
      <c r="G43" s="221"/>
      <c r="H43" s="222">
        <f t="shared" si="2"/>
        <v>0</v>
      </c>
      <c r="I43"/>
      <c r="K43" s="220">
        <f t="shared" si="7"/>
        <v>250</v>
      </c>
      <c r="L43" s="220"/>
      <c r="M43" s="222">
        <f t="shared" si="8"/>
        <v>0</v>
      </c>
    </row>
    <row r="44" spans="1:15" ht="18.75" x14ac:dyDescent="0.3">
      <c r="A44">
        <v>44</v>
      </c>
      <c r="B44" s="219" t="s">
        <v>349</v>
      </c>
      <c r="C44">
        <v>430</v>
      </c>
      <c r="D44" s="220">
        <f>C44*inflation</f>
        <v>438.6</v>
      </c>
      <c r="E44" s="220">
        <f t="shared" si="0"/>
        <v>36.550000000000004</v>
      </c>
      <c r="F44" s="220">
        <f t="shared" si="1"/>
        <v>63</v>
      </c>
      <c r="G44" s="221"/>
      <c r="H44" s="222">
        <f t="shared" si="2"/>
        <v>0</v>
      </c>
      <c r="I44"/>
      <c r="K44" s="220">
        <f t="shared" si="7"/>
        <v>219.3</v>
      </c>
      <c r="L44" s="220"/>
      <c r="M44" s="222">
        <f t="shared" si="8"/>
        <v>0</v>
      </c>
    </row>
    <row r="45" spans="1:15" ht="18.75" x14ac:dyDescent="0.3">
      <c r="A45">
        <v>82</v>
      </c>
      <c r="B45" s="219" t="s">
        <v>350</v>
      </c>
      <c r="C45">
        <v>164</v>
      </c>
      <c r="D45" s="220">
        <v>430</v>
      </c>
      <c r="E45" s="220">
        <f t="shared" si="0"/>
        <v>35.833333333333336</v>
      </c>
      <c r="F45" s="220">
        <f t="shared" si="1"/>
        <v>62</v>
      </c>
      <c r="G45" s="221"/>
      <c r="H45" s="222">
        <f t="shared" si="2"/>
        <v>0</v>
      </c>
      <c r="I45" t="s">
        <v>351</v>
      </c>
      <c r="K45" s="220">
        <f t="shared" si="7"/>
        <v>215</v>
      </c>
      <c r="L45" s="220"/>
      <c r="M45" s="222">
        <f t="shared" si="8"/>
        <v>0</v>
      </c>
    </row>
    <row r="46" spans="1:15" ht="18.75" x14ac:dyDescent="0.3">
      <c r="A46">
        <v>113</v>
      </c>
      <c r="B46" s="219" t="s">
        <v>352</v>
      </c>
      <c r="D46" s="220">
        <v>425</v>
      </c>
      <c r="E46" s="220">
        <f t="shared" si="0"/>
        <v>35.416666666666664</v>
      </c>
      <c r="F46" s="220">
        <f t="shared" si="1"/>
        <v>61</v>
      </c>
      <c r="G46" s="221"/>
      <c r="H46" s="222">
        <f t="shared" si="2"/>
        <v>0</v>
      </c>
      <c r="I46" t="s">
        <v>353</v>
      </c>
      <c r="K46" s="220">
        <f t="shared" si="7"/>
        <v>212.5</v>
      </c>
      <c r="L46" s="220"/>
      <c r="M46" s="222">
        <f t="shared" si="8"/>
        <v>0</v>
      </c>
      <c r="O46">
        <f>IF(L48=0,0,K48-L48)</f>
        <v>0</v>
      </c>
    </row>
    <row r="47" spans="1:15" ht="18.75" x14ac:dyDescent="0.3">
      <c r="A47">
        <v>27</v>
      </c>
      <c r="B47" s="219" t="s">
        <v>354</v>
      </c>
      <c r="C47">
        <v>796</v>
      </c>
      <c r="D47" s="220">
        <v>400</v>
      </c>
      <c r="E47" s="220">
        <f t="shared" si="0"/>
        <v>33.333333333333336</v>
      </c>
      <c r="F47" s="220">
        <f t="shared" si="1"/>
        <v>58</v>
      </c>
      <c r="G47" s="221"/>
      <c r="H47" s="222">
        <f t="shared" si="2"/>
        <v>0</v>
      </c>
      <c r="I47" t="s">
        <v>355</v>
      </c>
      <c r="K47" s="220">
        <f t="shared" si="7"/>
        <v>200</v>
      </c>
      <c r="L47" s="220"/>
      <c r="M47" s="222">
        <f t="shared" si="8"/>
        <v>0</v>
      </c>
    </row>
    <row r="48" spans="1:15" ht="18.75" x14ac:dyDescent="0.3">
      <c r="A48">
        <v>31</v>
      </c>
      <c r="B48" s="219" t="s">
        <v>356</v>
      </c>
      <c r="C48">
        <v>202</v>
      </c>
      <c r="D48" s="220">
        <v>400</v>
      </c>
      <c r="E48" s="220">
        <f t="shared" si="0"/>
        <v>33.333333333333336</v>
      </c>
      <c r="F48" s="220">
        <f t="shared" si="1"/>
        <v>58</v>
      </c>
      <c r="G48" s="221"/>
      <c r="H48" s="222">
        <f t="shared" si="2"/>
        <v>0</v>
      </c>
      <c r="I48"/>
      <c r="K48" s="220">
        <f t="shared" si="7"/>
        <v>200</v>
      </c>
      <c r="L48" s="220"/>
      <c r="M48" s="222">
        <f t="shared" si="8"/>
        <v>0</v>
      </c>
      <c r="O48">
        <f t="shared" si="6"/>
        <v>0</v>
      </c>
    </row>
    <row r="49" spans="1:15" ht="18.75" x14ac:dyDescent="0.3">
      <c r="A49">
        <v>74</v>
      </c>
      <c r="B49" s="219" t="s">
        <v>357</v>
      </c>
      <c r="C49">
        <v>130</v>
      </c>
      <c r="D49" s="220">
        <v>400</v>
      </c>
      <c r="E49" s="220">
        <f t="shared" si="0"/>
        <v>33.333333333333336</v>
      </c>
      <c r="F49" s="220">
        <f t="shared" si="1"/>
        <v>58</v>
      </c>
      <c r="G49" s="221"/>
      <c r="H49" s="222">
        <f t="shared" si="2"/>
        <v>0</v>
      </c>
      <c r="I49"/>
      <c r="K49" s="220">
        <f t="shared" si="7"/>
        <v>200</v>
      </c>
      <c r="L49" s="220"/>
      <c r="M49" s="222">
        <f t="shared" si="8"/>
        <v>0</v>
      </c>
      <c r="O49">
        <f t="shared" si="6"/>
        <v>0</v>
      </c>
    </row>
    <row r="50" spans="1:15" ht="18.75" x14ac:dyDescent="0.3">
      <c r="A50">
        <v>81</v>
      </c>
      <c r="B50" s="219" t="s">
        <v>358</v>
      </c>
      <c r="C50">
        <v>0</v>
      </c>
      <c r="D50" s="220">
        <v>400</v>
      </c>
      <c r="E50" s="220">
        <f t="shared" si="0"/>
        <v>33.333333333333336</v>
      </c>
      <c r="F50" s="220">
        <f t="shared" si="1"/>
        <v>58</v>
      </c>
      <c r="G50" s="221"/>
      <c r="H50" s="222">
        <f t="shared" si="2"/>
        <v>0</v>
      </c>
      <c r="I50" t="s">
        <v>359</v>
      </c>
      <c r="K50" s="220">
        <f t="shared" si="7"/>
        <v>200</v>
      </c>
      <c r="L50" s="220"/>
      <c r="M50" s="222">
        <f t="shared" si="8"/>
        <v>0</v>
      </c>
      <c r="O50">
        <f t="shared" si="6"/>
        <v>0</v>
      </c>
    </row>
    <row r="51" spans="1:15" ht="18.75" x14ac:dyDescent="0.3">
      <c r="A51">
        <v>12</v>
      </c>
      <c r="B51" s="219" t="s">
        <v>360</v>
      </c>
      <c r="C51">
        <v>220</v>
      </c>
      <c r="D51" s="220">
        <v>360</v>
      </c>
      <c r="E51" s="220">
        <f t="shared" si="0"/>
        <v>30</v>
      </c>
      <c r="F51" s="220">
        <f t="shared" si="1"/>
        <v>52</v>
      </c>
      <c r="G51" s="221"/>
      <c r="H51" s="222">
        <f t="shared" si="2"/>
        <v>0</v>
      </c>
      <c r="I51" t="s">
        <v>361</v>
      </c>
      <c r="K51" s="220">
        <f t="shared" si="7"/>
        <v>180</v>
      </c>
      <c r="L51" s="220"/>
      <c r="M51" s="222">
        <f t="shared" si="8"/>
        <v>0</v>
      </c>
      <c r="O51">
        <f t="shared" si="6"/>
        <v>0</v>
      </c>
    </row>
    <row r="52" spans="1:15" ht="18.75" x14ac:dyDescent="0.3">
      <c r="A52">
        <v>65</v>
      </c>
      <c r="B52" s="219" t="s">
        <v>362</v>
      </c>
      <c r="C52">
        <v>348</v>
      </c>
      <c r="D52" s="220">
        <f>C52*inflation</f>
        <v>354.96</v>
      </c>
      <c r="E52" s="220">
        <f t="shared" si="0"/>
        <v>29.58</v>
      </c>
      <c r="F52" s="220">
        <f t="shared" si="1"/>
        <v>51</v>
      </c>
      <c r="G52" s="221"/>
      <c r="H52" s="222">
        <f t="shared" si="2"/>
        <v>0</v>
      </c>
      <c r="I52"/>
      <c r="K52" s="220">
        <f t="shared" si="7"/>
        <v>177.48</v>
      </c>
      <c r="L52" s="220"/>
      <c r="M52" s="222">
        <f t="shared" si="8"/>
        <v>0</v>
      </c>
      <c r="O52">
        <f t="shared" si="6"/>
        <v>0</v>
      </c>
    </row>
    <row r="53" spans="1:15" ht="18.75" x14ac:dyDescent="0.3">
      <c r="A53">
        <v>88</v>
      </c>
      <c r="B53" s="219" t="s">
        <v>363</v>
      </c>
      <c r="C53">
        <v>347</v>
      </c>
      <c r="D53" s="220">
        <f>C53*inflation</f>
        <v>353.94</v>
      </c>
      <c r="E53" s="220">
        <f t="shared" si="0"/>
        <v>29.495000000000001</v>
      </c>
      <c r="F53" s="220">
        <f t="shared" si="1"/>
        <v>51</v>
      </c>
      <c r="G53" s="221"/>
      <c r="H53" s="222">
        <f t="shared" si="2"/>
        <v>0</v>
      </c>
      <c r="I53"/>
      <c r="K53" s="220">
        <f t="shared" si="7"/>
        <v>176.97</v>
      </c>
      <c r="L53" s="220"/>
      <c r="M53" s="222">
        <f t="shared" si="8"/>
        <v>0</v>
      </c>
      <c r="O53">
        <f t="shared" si="6"/>
        <v>0</v>
      </c>
    </row>
    <row r="54" spans="1:15" ht="18.75" x14ac:dyDescent="0.3">
      <c r="A54">
        <v>94</v>
      </c>
      <c r="B54" s="219" t="s">
        <v>364</v>
      </c>
      <c r="C54">
        <v>332</v>
      </c>
      <c r="D54" s="220">
        <f>C54*inflation</f>
        <v>338.64</v>
      </c>
      <c r="E54" s="220">
        <f t="shared" si="0"/>
        <v>28.22</v>
      </c>
      <c r="F54" s="220">
        <f t="shared" si="1"/>
        <v>49</v>
      </c>
      <c r="G54" s="221"/>
      <c r="H54" s="222">
        <f t="shared" si="2"/>
        <v>0</v>
      </c>
      <c r="I54"/>
      <c r="K54" s="220">
        <f t="shared" si="7"/>
        <v>169.32</v>
      </c>
      <c r="L54" s="220"/>
      <c r="M54" s="222">
        <f t="shared" si="8"/>
        <v>0</v>
      </c>
      <c r="O54">
        <f t="shared" si="6"/>
        <v>0</v>
      </c>
    </row>
    <row r="55" spans="1:15" ht="18.75" x14ac:dyDescent="0.3">
      <c r="A55">
        <v>95</v>
      </c>
      <c r="B55" s="219" t="s">
        <v>365</v>
      </c>
      <c r="C55">
        <v>328</v>
      </c>
      <c r="D55" s="220">
        <f>C55*inflation</f>
        <v>334.56</v>
      </c>
      <c r="E55" s="220">
        <f t="shared" si="0"/>
        <v>27.88</v>
      </c>
      <c r="F55" s="220">
        <f t="shared" si="1"/>
        <v>48</v>
      </c>
      <c r="G55" s="221"/>
      <c r="H55" s="222">
        <f t="shared" si="2"/>
        <v>0</v>
      </c>
      <c r="I55"/>
      <c r="K55" s="220">
        <f t="shared" si="7"/>
        <v>167.28</v>
      </c>
      <c r="L55" s="220"/>
      <c r="M55" s="222">
        <f t="shared" si="8"/>
        <v>0</v>
      </c>
      <c r="O55" t="e">
        <f>IF(#REF!=0,0,#REF!-#REF!)</f>
        <v>#REF!</v>
      </c>
    </row>
    <row r="56" spans="1:15" ht="18.75" x14ac:dyDescent="0.3">
      <c r="A56">
        <v>80</v>
      </c>
      <c r="B56" s="219" t="s">
        <v>366</v>
      </c>
      <c r="C56">
        <v>0</v>
      </c>
      <c r="D56" s="220">
        <v>320</v>
      </c>
      <c r="E56" s="220">
        <f t="shared" si="0"/>
        <v>26.666666666666668</v>
      </c>
      <c r="F56" s="220">
        <f t="shared" si="1"/>
        <v>46</v>
      </c>
      <c r="G56" s="221"/>
      <c r="H56" s="222">
        <f t="shared" si="2"/>
        <v>0</v>
      </c>
      <c r="I56"/>
      <c r="K56" s="220">
        <f t="shared" si="7"/>
        <v>160</v>
      </c>
      <c r="L56" s="220"/>
      <c r="M56" s="222">
        <f t="shared" si="8"/>
        <v>0</v>
      </c>
      <c r="O56" t="e">
        <f>IF(#REF!=0,0,#REF!-#REF!)</f>
        <v>#REF!</v>
      </c>
    </row>
    <row r="57" spans="1:15" ht="18.75" x14ac:dyDescent="0.3">
      <c r="A57">
        <v>48</v>
      </c>
      <c r="B57" s="219" t="s">
        <v>367</v>
      </c>
      <c r="D57" s="220">
        <v>300</v>
      </c>
      <c r="E57" s="220">
        <f t="shared" si="0"/>
        <v>25</v>
      </c>
      <c r="F57" s="220">
        <f t="shared" si="1"/>
        <v>43</v>
      </c>
      <c r="G57" s="221"/>
      <c r="H57" s="222">
        <f t="shared" si="2"/>
        <v>0</v>
      </c>
      <c r="I57"/>
      <c r="K57" s="220">
        <f t="shared" si="7"/>
        <v>150</v>
      </c>
      <c r="L57" s="220"/>
      <c r="M57" s="222">
        <f t="shared" si="8"/>
        <v>0</v>
      </c>
    </row>
    <row r="58" spans="1:15" ht="18.75" x14ac:dyDescent="0.3">
      <c r="A58">
        <v>50</v>
      </c>
      <c r="B58" s="219" t="s">
        <v>368</v>
      </c>
      <c r="D58" s="220">
        <v>300</v>
      </c>
      <c r="E58" s="220">
        <f t="shared" si="0"/>
        <v>25</v>
      </c>
      <c r="F58" s="220">
        <f t="shared" si="1"/>
        <v>43</v>
      </c>
      <c r="G58" s="221"/>
      <c r="H58" s="222">
        <f t="shared" si="2"/>
        <v>0</v>
      </c>
      <c r="I58"/>
      <c r="K58" s="220">
        <f t="shared" si="7"/>
        <v>150</v>
      </c>
      <c r="L58" s="220"/>
      <c r="M58" s="222">
        <f t="shared" si="8"/>
        <v>0</v>
      </c>
      <c r="O58">
        <f t="shared" si="6"/>
        <v>0</v>
      </c>
    </row>
    <row r="59" spans="1:15" ht="18.75" x14ac:dyDescent="0.3">
      <c r="A59">
        <v>52</v>
      </c>
      <c r="B59" s="219" t="s">
        <v>369</v>
      </c>
      <c r="C59">
        <v>2900</v>
      </c>
      <c r="D59" s="220">
        <v>300</v>
      </c>
      <c r="E59" s="220">
        <f t="shared" si="0"/>
        <v>25</v>
      </c>
      <c r="F59" s="220">
        <f t="shared" si="1"/>
        <v>43</v>
      </c>
      <c r="G59" s="221"/>
      <c r="H59" s="222">
        <f t="shared" si="2"/>
        <v>0</v>
      </c>
      <c r="I59" t="s">
        <v>370</v>
      </c>
      <c r="K59" s="220">
        <f t="shared" si="7"/>
        <v>150</v>
      </c>
      <c r="L59" s="220"/>
      <c r="M59" s="222">
        <f t="shared" si="8"/>
        <v>0</v>
      </c>
      <c r="O59">
        <f>IF(L31=0,0,K31-L31)</f>
        <v>0</v>
      </c>
    </row>
    <row r="60" spans="1:15" ht="18.75" x14ac:dyDescent="0.3">
      <c r="A60">
        <v>115</v>
      </c>
      <c r="B60" s="219" t="s">
        <v>371</v>
      </c>
      <c r="D60" s="220">
        <v>300</v>
      </c>
      <c r="E60" s="220">
        <f t="shared" si="0"/>
        <v>25</v>
      </c>
      <c r="F60" s="220">
        <f t="shared" si="1"/>
        <v>43</v>
      </c>
      <c r="G60" s="221"/>
      <c r="H60" s="222">
        <f t="shared" si="2"/>
        <v>0</v>
      </c>
      <c r="I60" t="s">
        <v>372</v>
      </c>
      <c r="K60" s="220">
        <f t="shared" si="7"/>
        <v>150</v>
      </c>
      <c r="L60" s="220"/>
      <c r="M60" s="222">
        <f t="shared" si="8"/>
        <v>0</v>
      </c>
      <c r="O60">
        <f t="shared" si="6"/>
        <v>0</v>
      </c>
    </row>
    <row r="61" spans="1:15" ht="18.75" x14ac:dyDescent="0.3">
      <c r="A61">
        <v>56</v>
      </c>
      <c r="B61" s="219" t="s">
        <v>373</v>
      </c>
      <c r="C61">
        <v>270</v>
      </c>
      <c r="D61" s="220">
        <f>C61*inflation</f>
        <v>275.39999999999998</v>
      </c>
      <c r="E61" s="220">
        <f t="shared" si="0"/>
        <v>22.95</v>
      </c>
      <c r="F61" s="220">
        <f t="shared" si="1"/>
        <v>40</v>
      </c>
      <c r="G61" s="221"/>
      <c r="H61" s="222">
        <f t="shared" si="2"/>
        <v>0</v>
      </c>
      <c r="I61"/>
      <c r="K61" s="220">
        <f t="shared" si="7"/>
        <v>137.69999999999999</v>
      </c>
      <c r="L61" s="220"/>
      <c r="M61" s="222">
        <f t="shared" si="8"/>
        <v>0</v>
      </c>
      <c r="O61">
        <f t="shared" si="6"/>
        <v>0</v>
      </c>
    </row>
    <row r="62" spans="1:15" ht="18.75" x14ac:dyDescent="0.3">
      <c r="A62">
        <v>23</v>
      </c>
      <c r="B62" s="219" t="s">
        <v>374</v>
      </c>
      <c r="C62">
        <v>255</v>
      </c>
      <c r="D62" s="220">
        <f>C62*inflation</f>
        <v>260.10000000000002</v>
      </c>
      <c r="E62" s="220">
        <f t="shared" si="0"/>
        <v>21.675000000000001</v>
      </c>
      <c r="F62" s="220">
        <f t="shared" si="1"/>
        <v>38</v>
      </c>
      <c r="G62" s="221"/>
      <c r="H62" s="222">
        <f t="shared" si="2"/>
        <v>0</v>
      </c>
      <c r="I62"/>
      <c r="K62" s="220">
        <f t="shared" si="7"/>
        <v>130.05000000000001</v>
      </c>
      <c r="L62" s="220"/>
      <c r="M62" s="222">
        <f t="shared" si="8"/>
        <v>0</v>
      </c>
      <c r="O62" t="e">
        <f>IF(#REF!=0,0,#REF!-#REF!)</f>
        <v>#REF!</v>
      </c>
    </row>
    <row r="63" spans="1:15" ht="18.75" x14ac:dyDescent="0.3">
      <c r="A63">
        <v>69</v>
      </c>
      <c r="B63" s="219" t="s">
        <v>375</v>
      </c>
      <c r="C63">
        <v>208</v>
      </c>
      <c r="D63" s="220">
        <v>250</v>
      </c>
      <c r="E63" s="220">
        <f t="shared" si="0"/>
        <v>20.833333333333332</v>
      </c>
      <c r="F63" s="220">
        <f t="shared" si="1"/>
        <v>36</v>
      </c>
      <c r="G63" s="221"/>
      <c r="H63" s="222">
        <f t="shared" si="2"/>
        <v>0</v>
      </c>
      <c r="I63"/>
      <c r="K63" s="220">
        <f t="shared" si="7"/>
        <v>125</v>
      </c>
      <c r="L63" s="220"/>
      <c r="M63" s="222">
        <f t="shared" si="8"/>
        <v>0</v>
      </c>
    </row>
    <row r="64" spans="1:15" ht="18.75" x14ac:dyDescent="0.3">
      <c r="A64">
        <v>75</v>
      </c>
      <c r="B64" s="219" t="s">
        <v>376</v>
      </c>
      <c r="C64">
        <v>248</v>
      </c>
      <c r="D64" s="220">
        <v>250</v>
      </c>
      <c r="E64" s="220">
        <f t="shared" si="0"/>
        <v>20.833333333333332</v>
      </c>
      <c r="F64" s="220">
        <f t="shared" si="1"/>
        <v>36</v>
      </c>
      <c r="G64" s="221"/>
      <c r="H64" s="222">
        <f t="shared" si="2"/>
        <v>0</v>
      </c>
      <c r="I64"/>
      <c r="K64" s="220">
        <f t="shared" si="7"/>
        <v>125</v>
      </c>
      <c r="L64" s="220"/>
      <c r="M64" s="222">
        <f t="shared" si="8"/>
        <v>0</v>
      </c>
      <c r="O64">
        <f t="shared" si="6"/>
        <v>0</v>
      </c>
    </row>
    <row r="65" spans="1:15" ht="18.75" x14ac:dyDescent="0.3">
      <c r="A65">
        <v>8</v>
      </c>
      <c r="B65" s="219" t="s">
        <v>377</v>
      </c>
      <c r="D65" s="220">
        <v>240</v>
      </c>
      <c r="E65" s="220">
        <f t="shared" si="0"/>
        <v>20</v>
      </c>
      <c r="F65" s="220">
        <f t="shared" si="1"/>
        <v>35</v>
      </c>
      <c r="G65" s="221"/>
      <c r="H65" s="222">
        <f t="shared" si="2"/>
        <v>0</v>
      </c>
      <c r="K65" s="220">
        <f t="shared" si="7"/>
        <v>120</v>
      </c>
      <c r="L65" s="220"/>
      <c r="M65" s="222">
        <f t="shared" si="8"/>
        <v>0</v>
      </c>
      <c r="O65" t="e">
        <f>IF(#REF!=0,0,#REF!-#REF!)</f>
        <v>#REF!</v>
      </c>
    </row>
    <row r="66" spans="1:15" ht="18.75" x14ac:dyDescent="0.3">
      <c r="A66">
        <v>32</v>
      </c>
      <c r="B66" s="219" t="s">
        <v>378</v>
      </c>
      <c r="C66">
        <v>109</v>
      </c>
      <c r="D66" s="220">
        <v>240</v>
      </c>
      <c r="E66" s="220">
        <f t="shared" si="0"/>
        <v>20</v>
      </c>
      <c r="F66" s="220">
        <f t="shared" si="1"/>
        <v>35</v>
      </c>
      <c r="G66" s="221"/>
      <c r="H66" s="222">
        <f t="shared" si="2"/>
        <v>0</v>
      </c>
      <c r="I66" t="s">
        <v>379</v>
      </c>
      <c r="K66" s="220">
        <f t="shared" si="7"/>
        <v>120</v>
      </c>
      <c r="L66" s="220"/>
      <c r="M66" s="222">
        <f t="shared" si="8"/>
        <v>0</v>
      </c>
    </row>
    <row r="67" spans="1:15" ht="18.75" x14ac:dyDescent="0.3">
      <c r="A67">
        <v>63</v>
      </c>
      <c r="B67" s="219" t="s">
        <v>380</v>
      </c>
      <c r="C67">
        <v>306</v>
      </c>
      <c r="D67" s="220">
        <v>240</v>
      </c>
      <c r="E67" s="220">
        <f t="shared" si="0"/>
        <v>20</v>
      </c>
      <c r="F67" s="220">
        <f t="shared" si="1"/>
        <v>35</v>
      </c>
      <c r="G67" s="221"/>
      <c r="H67" s="222">
        <f t="shared" si="2"/>
        <v>0</v>
      </c>
      <c r="I67" t="s">
        <v>381</v>
      </c>
      <c r="K67" s="220">
        <f t="shared" si="7"/>
        <v>120</v>
      </c>
      <c r="L67" s="220"/>
      <c r="M67" s="222">
        <f t="shared" si="8"/>
        <v>0</v>
      </c>
    </row>
    <row r="68" spans="1:15" ht="18.75" x14ac:dyDescent="0.3">
      <c r="A68">
        <v>98</v>
      </c>
      <c r="B68" s="219" t="s">
        <v>382</v>
      </c>
      <c r="C68">
        <v>250</v>
      </c>
      <c r="D68" s="220">
        <v>240</v>
      </c>
      <c r="E68" s="220">
        <f t="shared" si="0"/>
        <v>20</v>
      </c>
      <c r="F68" s="220">
        <f t="shared" si="1"/>
        <v>35</v>
      </c>
      <c r="G68" s="221"/>
      <c r="H68" s="222">
        <f t="shared" si="2"/>
        <v>0</v>
      </c>
      <c r="I68"/>
      <c r="K68" s="220">
        <f t="shared" si="7"/>
        <v>120</v>
      </c>
      <c r="L68" s="220"/>
      <c r="M68" s="222">
        <f t="shared" si="8"/>
        <v>0</v>
      </c>
    </row>
    <row r="69" spans="1:15" ht="18.75" x14ac:dyDescent="0.3">
      <c r="A69">
        <v>118</v>
      </c>
      <c r="B69" s="219" t="s">
        <v>383</v>
      </c>
      <c r="C69">
        <v>650</v>
      </c>
      <c r="D69" s="220">
        <v>220</v>
      </c>
      <c r="E69" s="220">
        <f t="shared" si="0"/>
        <v>18.333333333333332</v>
      </c>
      <c r="F69" s="220">
        <f t="shared" si="1"/>
        <v>32</v>
      </c>
      <c r="G69" s="221"/>
      <c r="H69" s="222">
        <f t="shared" si="2"/>
        <v>0</v>
      </c>
      <c r="I69"/>
      <c r="K69" s="220">
        <f t="shared" si="7"/>
        <v>110</v>
      </c>
      <c r="L69" s="220"/>
      <c r="M69" s="222">
        <f t="shared" si="8"/>
        <v>0</v>
      </c>
    </row>
    <row r="70" spans="1:15" ht="18.75" x14ac:dyDescent="0.3">
      <c r="A70">
        <v>51</v>
      </c>
      <c r="B70" s="219" t="s">
        <v>384</v>
      </c>
      <c r="C70">
        <v>210</v>
      </c>
      <c r="D70" s="220">
        <f>C70*inflation</f>
        <v>214.20000000000002</v>
      </c>
      <c r="E70" s="220">
        <f t="shared" si="0"/>
        <v>17.850000000000001</v>
      </c>
      <c r="F70" s="220">
        <f t="shared" si="1"/>
        <v>31</v>
      </c>
      <c r="G70" s="221"/>
      <c r="H70" s="222">
        <f t="shared" si="2"/>
        <v>0</v>
      </c>
      <c r="I70"/>
      <c r="K70" s="220">
        <f t="shared" si="7"/>
        <v>107.10000000000001</v>
      </c>
      <c r="L70" s="220"/>
      <c r="M70" s="222">
        <f t="shared" si="8"/>
        <v>0</v>
      </c>
      <c r="O70">
        <f>IF(L72=0,0,K72-L72)</f>
        <v>0</v>
      </c>
    </row>
    <row r="71" spans="1:15" ht="18.75" x14ac:dyDescent="0.3">
      <c r="A71">
        <v>79</v>
      </c>
      <c r="B71" s="219" t="s">
        <v>385</v>
      </c>
      <c r="C71">
        <f>_xlfn.CEILING.MATH(420/2)</f>
        <v>210</v>
      </c>
      <c r="D71" s="220">
        <f>C71*inflation</f>
        <v>214.20000000000002</v>
      </c>
      <c r="E71" s="220">
        <f t="shared" si="0"/>
        <v>17.850000000000001</v>
      </c>
      <c r="F71" s="220">
        <f t="shared" si="1"/>
        <v>31</v>
      </c>
      <c r="G71" s="221"/>
      <c r="H71" s="222">
        <f t="shared" si="2"/>
        <v>0</v>
      </c>
      <c r="I71"/>
      <c r="K71" s="220">
        <f t="shared" si="7"/>
        <v>107.10000000000001</v>
      </c>
      <c r="L71" s="220"/>
      <c r="M71" s="222">
        <f t="shared" si="8"/>
        <v>0</v>
      </c>
    </row>
    <row r="72" spans="1:15" ht="18.75" x14ac:dyDescent="0.3">
      <c r="A72">
        <v>78</v>
      </c>
      <c r="B72" s="219" t="s">
        <v>386</v>
      </c>
      <c r="C72">
        <v>203</v>
      </c>
      <c r="D72" s="220">
        <v>204</v>
      </c>
      <c r="E72" s="220">
        <f t="shared" ref="E72:E135" si="9">D72/12</f>
        <v>17</v>
      </c>
      <c r="F72" s="220">
        <f t="shared" ref="F72:F135" si="10">_xlfn.CEILING.MATH(D72/7)</f>
        <v>30</v>
      </c>
      <c r="G72" s="221"/>
      <c r="H72" s="222">
        <f t="shared" ref="H72:H97" si="11">IF(G72=0,0,(D72-G72)/D72)</f>
        <v>0</v>
      </c>
      <c r="I72" t="s">
        <v>387</v>
      </c>
      <c r="K72" s="220">
        <f t="shared" si="7"/>
        <v>102</v>
      </c>
      <c r="L72" s="220"/>
      <c r="M72" s="222">
        <f t="shared" si="8"/>
        <v>0</v>
      </c>
      <c r="O72" t="e">
        <f>IF(#REF!=0,0,#REF!-#REF!)</f>
        <v>#REF!</v>
      </c>
    </row>
    <row r="73" spans="1:15" ht="18.75" x14ac:dyDescent="0.3">
      <c r="A73">
        <v>57</v>
      </c>
      <c r="B73" s="219" t="s">
        <v>388</v>
      </c>
      <c r="C73">
        <v>185</v>
      </c>
      <c r="D73" s="220">
        <v>200</v>
      </c>
      <c r="E73" s="220">
        <f t="shared" si="9"/>
        <v>16.666666666666668</v>
      </c>
      <c r="F73" s="220">
        <f t="shared" si="10"/>
        <v>29</v>
      </c>
      <c r="G73" s="221"/>
      <c r="H73" s="222">
        <f t="shared" si="11"/>
        <v>0</v>
      </c>
      <c r="I73"/>
      <c r="K73" s="220">
        <f t="shared" si="7"/>
        <v>100</v>
      </c>
      <c r="L73" s="220"/>
      <c r="M73" s="222">
        <f t="shared" si="8"/>
        <v>0</v>
      </c>
      <c r="O73">
        <f>IF(L75=0,0,K75-L75)</f>
        <v>0</v>
      </c>
    </row>
    <row r="74" spans="1:15" ht="18.75" x14ac:dyDescent="0.3">
      <c r="A74">
        <v>58</v>
      </c>
      <c r="B74" s="219" t="s">
        <v>389</v>
      </c>
      <c r="C74">
        <v>180</v>
      </c>
      <c r="D74" s="220">
        <v>200</v>
      </c>
      <c r="E74" s="220">
        <f t="shared" si="9"/>
        <v>16.666666666666668</v>
      </c>
      <c r="F74" s="220">
        <f t="shared" si="10"/>
        <v>29</v>
      </c>
      <c r="G74" s="221"/>
      <c r="H74" s="222">
        <f t="shared" si="11"/>
        <v>0</v>
      </c>
      <c r="I74"/>
      <c r="K74" s="220">
        <f t="shared" si="7"/>
        <v>100</v>
      </c>
      <c r="L74" s="220"/>
      <c r="M74" s="222">
        <f t="shared" si="8"/>
        <v>0</v>
      </c>
    </row>
    <row r="75" spans="1:15" ht="18.75" x14ac:dyDescent="0.3">
      <c r="A75">
        <v>87</v>
      </c>
      <c r="B75" s="219" t="s">
        <v>390</v>
      </c>
      <c r="C75">
        <v>195</v>
      </c>
      <c r="D75" s="220">
        <f>C75*inflation</f>
        <v>198.9</v>
      </c>
      <c r="E75" s="220">
        <f t="shared" si="9"/>
        <v>16.574999999999999</v>
      </c>
      <c r="F75" s="220">
        <f t="shared" si="10"/>
        <v>29</v>
      </c>
      <c r="G75" s="221"/>
      <c r="H75" s="222">
        <f t="shared" si="11"/>
        <v>0</v>
      </c>
      <c r="I75"/>
      <c r="K75" s="220">
        <f t="shared" si="7"/>
        <v>99.45</v>
      </c>
      <c r="L75" s="220"/>
      <c r="M75" s="222">
        <f t="shared" si="8"/>
        <v>0</v>
      </c>
      <c r="O75">
        <f t="shared" si="6"/>
        <v>0</v>
      </c>
    </row>
    <row r="76" spans="1:15" ht="18.75" x14ac:dyDescent="0.3">
      <c r="A76">
        <v>106</v>
      </c>
      <c r="B76" s="219" t="s">
        <v>391</v>
      </c>
      <c r="C76">
        <v>181</v>
      </c>
      <c r="D76" s="220">
        <f>C76*inflation</f>
        <v>184.62</v>
      </c>
      <c r="E76" s="220">
        <f t="shared" si="9"/>
        <v>15.385</v>
      </c>
      <c r="F76" s="220">
        <f t="shared" si="10"/>
        <v>27</v>
      </c>
      <c r="G76" s="221"/>
      <c r="H76" s="222">
        <f t="shared" si="11"/>
        <v>0</v>
      </c>
      <c r="I76"/>
      <c r="K76" s="220"/>
      <c r="L76" s="220"/>
      <c r="M76" s="222"/>
      <c r="O76">
        <f t="shared" si="6"/>
        <v>0</v>
      </c>
    </row>
    <row r="77" spans="1:15" ht="18.75" x14ac:dyDescent="0.3">
      <c r="A77">
        <v>35</v>
      </c>
      <c r="B77" s="219" t="s">
        <v>392</v>
      </c>
      <c r="C77">
        <v>300</v>
      </c>
      <c r="D77" s="220">
        <f>15*12</f>
        <v>180</v>
      </c>
      <c r="E77" s="220">
        <f t="shared" si="9"/>
        <v>15</v>
      </c>
      <c r="F77" s="220">
        <f t="shared" si="10"/>
        <v>26</v>
      </c>
      <c r="G77" s="221"/>
      <c r="H77" s="222">
        <f t="shared" si="11"/>
        <v>0</v>
      </c>
      <c r="I77"/>
      <c r="K77" s="220">
        <f>D77/2</f>
        <v>90</v>
      </c>
      <c r="L77" s="220"/>
      <c r="M77" s="222">
        <f>IF(L77=0,0,(K77-L77)/K77)</f>
        <v>0</v>
      </c>
      <c r="O77">
        <f t="shared" si="6"/>
        <v>0</v>
      </c>
    </row>
    <row r="78" spans="1:15" ht="18.75" x14ac:dyDescent="0.3">
      <c r="A78">
        <v>36</v>
      </c>
      <c r="B78" s="219" t="s">
        <v>393</v>
      </c>
      <c r="C78">
        <v>300</v>
      </c>
      <c r="D78" s="220">
        <v>180</v>
      </c>
      <c r="E78" s="220">
        <f t="shared" si="9"/>
        <v>15</v>
      </c>
      <c r="F78" s="220">
        <f t="shared" si="10"/>
        <v>26</v>
      </c>
      <c r="G78" s="221"/>
      <c r="H78" s="222">
        <f t="shared" si="11"/>
        <v>0</v>
      </c>
      <c r="I78"/>
      <c r="K78" s="220">
        <f>D78/2</f>
        <v>90</v>
      </c>
      <c r="L78" s="220"/>
      <c r="M78" s="222">
        <f>IF(L78=0,0,(K78-L78)/K78)</f>
        <v>0</v>
      </c>
      <c r="O78">
        <f t="shared" si="6"/>
        <v>0</v>
      </c>
    </row>
    <row r="79" spans="1:15" ht="18.75" x14ac:dyDescent="0.3">
      <c r="A79">
        <v>37</v>
      </c>
      <c r="B79" s="219" t="s">
        <v>394</v>
      </c>
      <c r="C79">
        <v>300</v>
      </c>
      <c r="D79" s="220">
        <v>180</v>
      </c>
      <c r="E79" s="220">
        <f t="shared" si="9"/>
        <v>15</v>
      </c>
      <c r="F79" s="220">
        <f t="shared" si="10"/>
        <v>26</v>
      </c>
      <c r="G79" s="221"/>
      <c r="H79" s="222">
        <f t="shared" si="11"/>
        <v>0</v>
      </c>
      <c r="I79"/>
      <c r="K79" s="220">
        <f>D79/2</f>
        <v>90</v>
      </c>
      <c r="L79" s="220"/>
      <c r="M79" s="222">
        <f>IF(L79=0,0,(K79-L79)/K79)</f>
        <v>0</v>
      </c>
      <c r="O79">
        <f>IF(L110=0,0,K110-L110)</f>
        <v>0</v>
      </c>
    </row>
    <row r="80" spans="1:15" ht="18.75" x14ac:dyDescent="0.3">
      <c r="A80">
        <v>104</v>
      </c>
      <c r="B80" s="219" t="s">
        <v>395</v>
      </c>
      <c r="C80">
        <v>160</v>
      </c>
      <c r="D80" s="220">
        <v>180</v>
      </c>
      <c r="E80" s="220">
        <f t="shared" si="9"/>
        <v>15</v>
      </c>
      <c r="F80" s="220">
        <f t="shared" si="10"/>
        <v>26</v>
      </c>
      <c r="G80" s="221"/>
      <c r="H80" s="222">
        <f t="shared" si="11"/>
        <v>0</v>
      </c>
      <c r="I80"/>
      <c r="K80" s="220"/>
      <c r="L80" s="220"/>
      <c r="M80" s="222"/>
      <c r="O80">
        <f t="shared" ref="O80:O108" si="12">IF(L81=0,0,K81-L81)</f>
        <v>0</v>
      </c>
    </row>
    <row r="81" spans="1:15" ht="18.75" x14ac:dyDescent="0.3">
      <c r="A81">
        <v>86</v>
      </c>
      <c r="B81" s="219" t="s">
        <v>396</v>
      </c>
      <c r="C81">
        <v>175</v>
      </c>
      <c r="D81" s="220">
        <f>C81*inflation</f>
        <v>178.5</v>
      </c>
      <c r="E81" s="220">
        <f t="shared" si="9"/>
        <v>14.875</v>
      </c>
      <c r="F81" s="220">
        <f t="shared" si="10"/>
        <v>26</v>
      </c>
      <c r="G81" s="221"/>
      <c r="H81" s="222">
        <f t="shared" si="11"/>
        <v>0</v>
      </c>
      <c r="I81"/>
      <c r="K81" s="220">
        <f t="shared" ref="K81:K97" si="13">D81/2</f>
        <v>89.25</v>
      </c>
      <c r="L81" s="220"/>
      <c r="M81" s="222">
        <f t="shared" ref="M81:M97" si="14">IF(L81=0,0,(K81-L81)/K81)</f>
        <v>0</v>
      </c>
      <c r="O81">
        <f t="shared" si="12"/>
        <v>0</v>
      </c>
    </row>
    <row r="82" spans="1:15" ht="18.75" x14ac:dyDescent="0.3">
      <c r="A82">
        <v>29</v>
      </c>
      <c r="B82" s="219" t="s">
        <v>397</v>
      </c>
      <c r="C82">
        <f>_xlfn.CEILING.MATH(330.91*12/23)</f>
        <v>173</v>
      </c>
      <c r="D82" s="220">
        <f>C82*inflation</f>
        <v>176.46</v>
      </c>
      <c r="E82" s="220">
        <f t="shared" si="9"/>
        <v>14.705</v>
      </c>
      <c r="F82" s="220">
        <f t="shared" si="10"/>
        <v>26</v>
      </c>
      <c r="G82" s="221"/>
      <c r="H82" s="222">
        <f t="shared" si="11"/>
        <v>0</v>
      </c>
      <c r="I82"/>
      <c r="K82" s="220">
        <f t="shared" si="13"/>
        <v>88.23</v>
      </c>
      <c r="L82" s="220"/>
      <c r="M82" s="222">
        <f t="shared" si="14"/>
        <v>0</v>
      </c>
      <c r="O82">
        <f t="shared" si="12"/>
        <v>0</v>
      </c>
    </row>
    <row r="83" spans="1:15" ht="18.75" x14ac:dyDescent="0.3">
      <c r="A83">
        <v>99</v>
      </c>
      <c r="B83" s="219" t="s">
        <v>398</v>
      </c>
      <c r="C83">
        <v>168</v>
      </c>
      <c r="D83" s="220">
        <f>C83*inflation</f>
        <v>171.36</v>
      </c>
      <c r="E83" s="220">
        <f t="shared" si="9"/>
        <v>14.280000000000001</v>
      </c>
      <c r="F83" s="220">
        <f t="shared" si="10"/>
        <v>25</v>
      </c>
      <c r="G83" s="221"/>
      <c r="H83" s="222">
        <f t="shared" si="11"/>
        <v>0</v>
      </c>
      <c r="I83"/>
      <c r="K83" s="220">
        <f t="shared" si="13"/>
        <v>85.68</v>
      </c>
      <c r="L83" s="220"/>
      <c r="M83" s="222">
        <f t="shared" si="14"/>
        <v>0</v>
      </c>
      <c r="O83">
        <f t="shared" si="12"/>
        <v>0</v>
      </c>
    </row>
    <row r="84" spans="1:15" ht="18.75" x14ac:dyDescent="0.3">
      <c r="A84">
        <v>33</v>
      </c>
      <c r="B84" s="219" t="s">
        <v>399</v>
      </c>
      <c r="C84">
        <v>91</v>
      </c>
      <c r="D84" s="220">
        <v>150</v>
      </c>
      <c r="E84" s="220">
        <f t="shared" si="9"/>
        <v>12.5</v>
      </c>
      <c r="F84" s="220">
        <f t="shared" si="10"/>
        <v>22</v>
      </c>
      <c r="G84" s="221"/>
      <c r="H84" s="222">
        <f t="shared" si="11"/>
        <v>0</v>
      </c>
      <c r="I84" t="s">
        <v>400</v>
      </c>
      <c r="K84" s="220">
        <f t="shared" si="13"/>
        <v>75</v>
      </c>
      <c r="L84" s="220"/>
      <c r="M84" s="222">
        <f t="shared" si="14"/>
        <v>0</v>
      </c>
      <c r="O84">
        <f>IF(L86=0,0,K86-L86)</f>
        <v>0</v>
      </c>
    </row>
    <row r="85" spans="1:15" ht="18.75" x14ac:dyDescent="0.3">
      <c r="A85">
        <v>60</v>
      </c>
      <c r="B85" s="219" t="s">
        <v>401</v>
      </c>
      <c r="C85">
        <v>98</v>
      </c>
      <c r="D85" s="220">
        <v>150</v>
      </c>
      <c r="E85" s="220">
        <f t="shared" si="9"/>
        <v>12.5</v>
      </c>
      <c r="F85" s="220">
        <f t="shared" si="10"/>
        <v>22</v>
      </c>
      <c r="G85" s="221"/>
      <c r="H85" s="222">
        <f t="shared" si="11"/>
        <v>0</v>
      </c>
      <c r="I85"/>
      <c r="K85" s="220">
        <f t="shared" si="13"/>
        <v>75</v>
      </c>
      <c r="L85" s="220"/>
      <c r="M85" s="222">
        <f t="shared" si="14"/>
        <v>0</v>
      </c>
      <c r="O85">
        <f>IF(L90=0,0,K90-L90)</f>
        <v>0</v>
      </c>
    </row>
    <row r="86" spans="1:15" ht="18.75" x14ac:dyDescent="0.3">
      <c r="A86">
        <v>100</v>
      </c>
      <c r="B86" s="219" t="s">
        <v>402</v>
      </c>
      <c r="C86">
        <v>140</v>
      </c>
      <c r="D86" s="220">
        <f>C86*inflation</f>
        <v>142.80000000000001</v>
      </c>
      <c r="E86" s="220">
        <f t="shared" si="9"/>
        <v>11.9</v>
      </c>
      <c r="F86" s="220">
        <f t="shared" si="10"/>
        <v>21</v>
      </c>
      <c r="G86" s="221"/>
      <c r="H86" s="222">
        <f t="shared" si="11"/>
        <v>0</v>
      </c>
      <c r="I86"/>
      <c r="K86" s="220">
        <f t="shared" si="13"/>
        <v>71.400000000000006</v>
      </c>
      <c r="L86" s="220"/>
      <c r="M86" s="222">
        <f t="shared" si="14"/>
        <v>0</v>
      </c>
      <c r="O86">
        <f t="shared" si="12"/>
        <v>0</v>
      </c>
    </row>
    <row r="87" spans="1:15" ht="18.75" x14ac:dyDescent="0.3">
      <c r="A87">
        <v>84</v>
      </c>
      <c r="B87" s="219" t="s">
        <v>403</v>
      </c>
      <c r="C87">
        <f>_xlfn.CEILING.MATH(274.68/2)</f>
        <v>138</v>
      </c>
      <c r="D87" s="220">
        <f>C87*inflation</f>
        <v>140.76</v>
      </c>
      <c r="E87" s="220">
        <f t="shared" si="9"/>
        <v>11.729999999999999</v>
      </c>
      <c r="F87" s="220">
        <f t="shared" si="10"/>
        <v>21</v>
      </c>
      <c r="G87" s="221"/>
      <c r="H87" s="222">
        <f t="shared" si="11"/>
        <v>0</v>
      </c>
      <c r="I87"/>
      <c r="K87" s="220">
        <f t="shared" si="13"/>
        <v>70.38</v>
      </c>
      <c r="L87" s="220"/>
      <c r="M87" s="222">
        <f t="shared" si="14"/>
        <v>0</v>
      </c>
      <c r="O87">
        <f t="shared" si="12"/>
        <v>0</v>
      </c>
    </row>
    <row r="88" spans="1:15" ht="18.75" x14ac:dyDescent="0.3">
      <c r="A88">
        <v>46</v>
      </c>
      <c r="B88" s="219" t="s">
        <v>404</v>
      </c>
      <c r="C88">
        <v>128</v>
      </c>
      <c r="D88" s="220">
        <f>C88*inflation</f>
        <v>130.56</v>
      </c>
      <c r="E88" s="220">
        <f t="shared" si="9"/>
        <v>10.88</v>
      </c>
      <c r="F88" s="220">
        <f t="shared" si="10"/>
        <v>19</v>
      </c>
      <c r="G88" s="221"/>
      <c r="H88" s="222">
        <f t="shared" si="11"/>
        <v>0</v>
      </c>
      <c r="I88"/>
      <c r="K88" s="220">
        <f t="shared" si="13"/>
        <v>65.28</v>
      </c>
      <c r="L88" s="220"/>
      <c r="M88" s="222">
        <f t="shared" si="14"/>
        <v>0</v>
      </c>
      <c r="O88">
        <f t="shared" si="12"/>
        <v>0</v>
      </c>
    </row>
    <row r="89" spans="1:15" ht="18.75" x14ac:dyDescent="0.3">
      <c r="A89">
        <v>67</v>
      </c>
      <c r="B89" s="219" t="s">
        <v>405</v>
      </c>
      <c r="C89">
        <v>0</v>
      </c>
      <c r="D89" s="220">
        <v>130</v>
      </c>
      <c r="E89" s="220">
        <f t="shared" si="9"/>
        <v>10.833333333333334</v>
      </c>
      <c r="F89" s="220">
        <f t="shared" si="10"/>
        <v>19</v>
      </c>
      <c r="G89" s="221"/>
      <c r="H89" s="222">
        <f t="shared" si="11"/>
        <v>0</v>
      </c>
      <c r="I89"/>
      <c r="K89" s="220">
        <f t="shared" si="13"/>
        <v>65</v>
      </c>
      <c r="L89" s="220"/>
      <c r="M89" s="222">
        <f t="shared" si="14"/>
        <v>0</v>
      </c>
      <c r="O89">
        <f>IF(L85=0,0,K85-L85)</f>
        <v>0</v>
      </c>
    </row>
    <row r="90" spans="1:15" ht="18.75" x14ac:dyDescent="0.3">
      <c r="A90">
        <v>18</v>
      </c>
      <c r="B90" s="219" t="s">
        <v>406</v>
      </c>
      <c r="C90">
        <v>91</v>
      </c>
      <c r="D90" s="220">
        <v>120</v>
      </c>
      <c r="E90" s="220">
        <f t="shared" si="9"/>
        <v>10</v>
      </c>
      <c r="F90" s="220">
        <f t="shared" si="10"/>
        <v>18</v>
      </c>
      <c r="G90" s="221"/>
      <c r="H90" s="222">
        <f t="shared" si="11"/>
        <v>0</v>
      </c>
      <c r="I90"/>
      <c r="K90" s="220">
        <f t="shared" si="13"/>
        <v>60</v>
      </c>
      <c r="L90" s="220"/>
      <c r="M90" s="222">
        <f t="shared" si="14"/>
        <v>0</v>
      </c>
      <c r="O90">
        <f t="shared" si="12"/>
        <v>0</v>
      </c>
    </row>
    <row r="91" spans="1:15" ht="18.75" x14ac:dyDescent="0.3">
      <c r="A91">
        <v>38</v>
      </c>
      <c r="B91" s="219" t="s">
        <v>407</v>
      </c>
      <c r="C91">
        <f>15*12</f>
        <v>180</v>
      </c>
      <c r="D91" s="220">
        <v>120</v>
      </c>
      <c r="E91" s="220">
        <f t="shared" si="9"/>
        <v>10</v>
      </c>
      <c r="F91" s="220">
        <f t="shared" si="10"/>
        <v>18</v>
      </c>
      <c r="G91" s="221"/>
      <c r="H91" s="222">
        <f t="shared" si="11"/>
        <v>0</v>
      </c>
      <c r="I91"/>
      <c r="K91" s="220">
        <f t="shared" si="13"/>
        <v>60</v>
      </c>
      <c r="L91" s="220"/>
      <c r="M91" s="222">
        <f t="shared" si="14"/>
        <v>0</v>
      </c>
      <c r="O91">
        <f t="shared" si="12"/>
        <v>0</v>
      </c>
    </row>
    <row r="92" spans="1:15" ht="18.75" x14ac:dyDescent="0.3">
      <c r="A92">
        <v>103</v>
      </c>
      <c r="B92" s="219" t="s">
        <v>408</v>
      </c>
      <c r="C92">
        <v>115</v>
      </c>
      <c r="D92" s="220">
        <f>C92*inflation</f>
        <v>117.3</v>
      </c>
      <c r="E92" s="220">
        <f t="shared" si="9"/>
        <v>9.7750000000000004</v>
      </c>
      <c r="F92" s="220">
        <f t="shared" si="10"/>
        <v>17</v>
      </c>
      <c r="G92" s="221"/>
      <c r="H92" s="222">
        <f t="shared" si="11"/>
        <v>0</v>
      </c>
      <c r="I92"/>
      <c r="K92" s="220">
        <f t="shared" si="13"/>
        <v>58.65</v>
      </c>
      <c r="L92" s="220"/>
      <c r="M92" s="222">
        <f t="shared" si="14"/>
        <v>0</v>
      </c>
      <c r="O92">
        <f t="shared" si="12"/>
        <v>0</v>
      </c>
    </row>
    <row r="93" spans="1:15" ht="18.75" x14ac:dyDescent="0.3">
      <c r="A93">
        <v>102</v>
      </c>
      <c r="B93" s="219" t="s">
        <v>409</v>
      </c>
      <c r="C93">
        <v>106</v>
      </c>
      <c r="D93" s="220">
        <f>C93*inflation</f>
        <v>108.12</v>
      </c>
      <c r="E93" s="220">
        <f t="shared" si="9"/>
        <v>9.01</v>
      </c>
      <c r="F93" s="220">
        <f t="shared" si="10"/>
        <v>16</v>
      </c>
      <c r="G93" s="221"/>
      <c r="H93" s="222">
        <f t="shared" si="11"/>
        <v>0</v>
      </c>
      <c r="I93"/>
      <c r="K93" s="220">
        <f t="shared" si="13"/>
        <v>54.06</v>
      </c>
      <c r="L93" s="220"/>
      <c r="M93" s="222">
        <f t="shared" si="14"/>
        <v>0</v>
      </c>
      <c r="O93">
        <f t="shared" si="12"/>
        <v>0</v>
      </c>
    </row>
    <row r="94" spans="1:15" ht="18.75" x14ac:dyDescent="0.3">
      <c r="A94">
        <v>45</v>
      </c>
      <c r="B94" s="219" t="s">
        <v>410</v>
      </c>
      <c r="C94">
        <v>103</v>
      </c>
      <c r="D94" s="220">
        <f>C94*inflation</f>
        <v>105.06</v>
      </c>
      <c r="E94" s="220">
        <f t="shared" si="9"/>
        <v>8.7550000000000008</v>
      </c>
      <c r="F94" s="220">
        <f t="shared" si="10"/>
        <v>16</v>
      </c>
      <c r="G94" s="221"/>
      <c r="H94" s="222">
        <f t="shared" si="11"/>
        <v>0</v>
      </c>
      <c r="I94"/>
      <c r="K94" s="220">
        <f t="shared" si="13"/>
        <v>52.53</v>
      </c>
      <c r="L94" s="220"/>
      <c r="M94" s="222">
        <f t="shared" si="14"/>
        <v>0</v>
      </c>
      <c r="O94">
        <f t="shared" si="12"/>
        <v>0</v>
      </c>
    </row>
    <row r="95" spans="1:15" ht="18.75" x14ac:dyDescent="0.3">
      <c r="A95">
        <v>112</v>
      </c>
      <c r="B95" s="219" t="s">
        <v>411</v>
      </c>
      <c r="D95" s="220">
        <v>105</v>
      </c>
      <c r="E95" s="220">
        <f t="shared" si="9"/>
        <v>8.75</v>
      </c>
      <c r="F95" s="220">
        <f t="shared" si="10"/>
        <v>15</v>
      </c>
      <c r="G95" s="221"/>
      <c r="H95" s="222">
        <f t="shared" si="11"/>
        <v>0</v>
      </c>
      <c r="I95" t="s">
        <v>412</v>
      </c>
      <c r="K95" s="220">
        <f t="shared" si="13"/>
        <v>52.5</v>
      </c>
      <c r="L95" s="220"/>
      <c r="M95" s="222">
        <f t="shared" si="14"/>
        <v>0</v>
      </c>
      <c r="O95" t="e">
        <f>IF(#REF!=0,0,#REF!-#REF!)</f>
        <v>#REF!</v>
      </c>
    </row>
    <row r="96" spans="1:15" ht="18.75" x14ac:dyDescent="0.3">
      <c r="A96">
        <v>41</v>
      </c>
      <c r="B96" s="219" t="s">
        <v>413</v>
      </c>
      <c r="C96">
        <v>51</v>
      </c>
      <c r="D96" s="220">
        <v>100</v>
      </c>
      <c r="E96" s="220">
        <f t="shared" si="9"/>
        <v>8.3333333333333339</v>
      </c>
      <c r="F96" s="220">
        <f t="shared" si="10"/>
        <v>15</v>
      </c>
      <c r="G96" s="221"/>
      <c r="H96" s="222">
        <f t="shared" si="11"/>
        <v>0</v>
      </c>
      <c r="I96"/>
      <c r="K96" s="220">
        <f t="shared" si="13"/>
        <v>50</v>
      </c>
      <c r="L96" s="220"/>
      <c r="M96" s="222">
        <f t="shared" si="14"/>
        <v>0</v>
      </c>
      <c r="O96">
        <f t="shared" si="12"/>
        <v>0</v>
      </c>
    </row>
    <row r="97" spans="1:15" ht="18.75" x14ac:dyDescent="0.3">
      <c r="A97">
        <v>55</v>
      </c>
      <c r="B97" s="219" t="s">
        <v>414</v>
      </c>
      <c r="C97">
        <v>55</v>
      </c>
      <c r="D97" s="220">
        <v>100</v>
      </c>
      <c r="E97" s="220">
        <f t="shared" si="9"/>
        <v>8.3333333333333339</v>
      </c>
      <c r="F97" s="220">
        <f t="shared" si="10"/>
        <v>15</v>
      </c>
      <c r="G97" s="221"/>
      <c r="H97" s="222">
        <f t="shared" si="11"/>
        <v>0</v>
      </c>
      <c r="I97" t="s">
        <v>415</v>
      </c>
      <c r="K97" s="220">
        <f t="shared" si="13"/>
        <v>50</v>
      </c>
      <c r="L97" s="220"/>
      <c r="M97" s="222">
        <f t="shared" si="14"/>
        <v>0</v>
      </c>
      <c r="O97">
        <f t="shared" si="12"/>
        <v>0</v>
      </c>
    </row>
    <row r="98" spans="1:15" ht="18.75" x14ac:dyDescent="0.3">
      <c r="A98">
        <v>62</v>
      </c>
      <c r="B98" s="219" t="s">
        <v>416</v>
      </c>
      <c r="C98">
        <v>219</v>
      </c>
      <c r="D98" s="220">
        <v>100</v>
      </c>
      <c r="E98" s="220">
        <f t="shared" si="9"/>
        <v>8.3333333333333339</v>
      </c>
      <c r="F98" s="220">
        <f t="shared" si="10"/>
        <v>15</v>
      </c>
      <c r="G98" s="221"/>
      <c r="H98" s="222"/>
      <c r="I98" t="s">
        <v>417</v>
      </c>
      <c r="K98" s="220"/>
      <c r="L98" s="220"/>
      <c r="M98" s="222"/>
      <c r="O98">
        <f t="shared" si="12"/>
        <v>0</v>
      </c>
    </row>
    <row r="99" spans="1:15" ht="18.75" x14ac:dyDescent="0.3">
      <c r="A99">
        <v>70</v>
      </c>
      <c r="B99" s="219" t="s">
        <v>418</v>
      </c>
      <c r="C99">
        <v>171</v>
      </c>
      <c r="D99" s="220">
        <v>100</v>
      </c>
      <c r="E99" s="220">
        <f t="shared" si="9"/>
        <v>8.3333333333333339</v>
      </c>
      <c r="F99" s="220">
        <f t="shared" si="10"/>
        <v>15</v>
      </c>
      <c r="G99" s="221"/>
      <c r="H99" s="222">
        <f t="shared" ref="H99:H108" si="15">IF(G99=0,0,(D99-G99)/D99)</f>
        <v>0</v>
      </c>
      <c r="I99"/>
      <c r="K99" s="220">
        <f t="shared" ref="K99:K108" si="16">D99/2</f>
        <v>50</v>
      </c>
      <c r="L99" s="220"/>
      <c r="M99" s="222">
        <f t="shared" ref="M99:M108" si="17">IF(L99=0,0,(K99-L99)/K99)</f>
        <v>0</v>
      </c>
      <c r="O99" t="e">
        <f>IF(#REF!=0,0,#REF!-#REF!)</f>
        <v>#REF!</v>
      </c>
    </row>
    <row r="100" spans="1:15" ht="18.75" x14ac:dyDescent="0.3">
      <c r="A100">
        <v>73</v>
      </c>
      <c r="B100" s="219" t="s">
        <v>419</v>
      </c>
      <c r="C100">
        <v>100</v>
      </c>
      <c r="D100" s="220">
        <v>100</v>
      </c>
      <c r="E100" s="220">
        <f t="shared" si="9"/>
        <v>8.3333333333333339</v>
      </c>
      <c r="F100" s="220">
        <f t="shared" si="10"/>
        <v>15</v>
      </c>
      <c r="G100" s="221"/>
      <c r="H100" s="222">
        <f t="shared" si="15"/>
        <v>0</v>
      </c>
      <c r="I100" t="s">
        <v>420</v>
      </c>
      <c r="K100" s="220">
        <f t="shared" si="16"/>
        <v>50</v>
      </c>
      <c r="L100" s="220"/>
      <c r="M100" s="222">
        <f t="shared" si="17"/>
        <v>0</v>
      </c>
    </row>
    <row r="101" spans="1:15" ht="18.75" x14ac:dyDescent="0.3">
      <c r="A101">
        <v>76</v>
      </c>
      <c r="B101" s="219" t="s">
        <v>421</v>
      </c>
      <c r="C101">
        <v>67</v>
      </c>
      <c r="D101" s="220">
        <v>100</v>
      </c>
      <c r="E101" s="220">
        <f t="shared" si="9"/>
        <v>8.3333333333333339</v>
      </c>
      <c r="F101" s="220">
        <f t="shared" si="10"/>
        <v>15</v>
      </c>
      <c r="G101" s="221"/>
      <c r="H101" s="222">
        <f t="shared" si="15"/>
        <v>0</v>
      </c>
      <c r="I101" t="s">
        <v>422</v>
      </c>
      <c r="K101" s="220">
        <f t="shared" si="16"/>
        <v>50</v>
      </c>
      <c r="L101" s="220"/>
      <c r="M101" s="222">
        <f t="shared" si="17"/>
        <v>0</v>
      </c>
    </row>
    <row r="102" spans="1:15" ht="18.75" x14ac:dyDescent="0.3">
      <c r="A102">
        <v>92</v>
      </c>
      <c r="B102" s="219" t="s">
        <v>423</v>
      </c>
      <c r="C102">
        <f>_xlfn.CEILING.MATH(168.9/2)</f>
        <v>85</v>
      </c>
      <c r="D102" s="220">
        <f>C102*inflation</f>
        <v>86.7</v>
      </c>
      <c r="E102" s="220">
        <f t="shared" si="9"/>
        <v>7.2250000000000005</v>
      </c>
      <c r="F102" s="220">
        <f t="shared" si="10"/>
        <v>13</v>
      </c>
      <c r="G102" s="221"/>
      <c r="H102" s="222">
        <f t="shared" si="15"/>
        <v>0</v>
      </c>
      <c r="I102"/>
      <c r="K102" s="220">
        <f t="shared" si="16"/>
        <v>43.35</v>
      </c>
      <c r="L102" s="220"/>
      <c r="M102" s="222">
        <f t="shared" si="17"/>
        <v>0</v>
      </c>
    </row>
    <row r="103" spans="1:15" ht="18.75" x14ac:dyDescent="0.3">
      <c r="A103">
        <v>77</v>
      </c>
      <c r="B103" s="219" t="s">
        <v>424</v>
      </c>
      <c r="C103">
        <v>82</v>
      </c>
      <c r="D103" s="220">
        <f>C103*inflation</f>
        <v>83.64</v>
      </c>
      <c r="E103" s="220">
        <f t="shared" si="9"/>
        <v>6.97</v>
      </c>
      <c r="F103" s="220">
        <f t="shared" si="10"/>
        <v>12</v>
      </c>
      <c r="G103" s="221"/>
      <c r="H103" s="222">
        <f t="shared" si="15"/>
        <v>0</v>
      </c>
      <c r="I103"/>
      <c r="K103" s="220">
        <f t="shared" si="16"/>
        <v>41.82</v>
      </c>
      <c r="L103" s="220"/>
      <c r="M103" s="222">
        <f t="shared" si="17"/>
        <v>0</v>
      </c>
    </row>
    <row r="104" spans="1:15" ht="18.75" x14ac:dyDescent="0.3">
      <c r="A104">
        <v>101</v>
      </c>
      <c r="B104" s="219" t="s">
        <v>425</v>
      </c>
      <c r="C104">
        <v>65</v>
      </c>
      <c r="D104" s="220">
        <v>83</v>
      </c>
      <c r="E104" s="220">
        <f t="shared" si="9"/>
        <v>6.916666666666667</v>
      </c>
      <c r="F104" s="220">
        <f t="shared" si="10"/>
        <v>12</v>
      </c>
      <c r="G104" s="221"/>
      <c r="H104" s="222">
        <f t="shared" si="15"/>
        <v>0</v>
      </c>
      <c r="I104"/>
      <c r="K104" s="220">
        <f t="shared" si="16"/>
        <v>41.5</v>
      </c>
      <c r="L104" s="220"/>
      <c r="M104" s="222">
        <f t="shared" si="17"/>
        <v>0</v>
      </c>
    </row>
    <row r="105" spans="1:15" ht="18.75" x14ac:dyDescent="0.3">
      <c r="A105">
        <v>91</v>
      </c>
      <c r="B105" s="219" t="s">
        <v>426</v>
      </c>
      <c r="C105">
        <v>79</v>
      </c>
      <c r="D105" s="220">
        <f>C105*inflation</f>
        <v>80.58</v>
      </c>
      <c r="E105" s="220">
        <f t="shared" si="9"/>
        <v>6.7149999999999999</v>
      </c>
      <c r="F105" s="220">
        <f t="shared" si="10"/>
        <v>12</v>
      </c>
      <c r="G105" s="221"/>
      <c r="H105" s="222">
        <f t="shared" si="15"/>
        <v>0</v>
      </c>
      <c r="I105"/>
      <c r="K105" s="220">
        <f t="shared" si="16"/>
        <v>40.29</v>
      </c>
      <c r="L105" s="220"/>
      <c r="M105" s="222">
        <f t="shared" si="17"/>
        <v>0</v>
      </c>
    </row>
    <row r="106" spans="1:15" ht="18.75" x14ac:dyDescent="0.3">
      <c r="A106">
        <v>107</v>
      </c>
      <c r="B106" s="219" t="s">
        <v>427</v>
      </c>
      <c r="C106">
        <v>75</v>
      </c>
      <c r="D106" s="220">
        <f>C106*inflation</f>
        <v>76.5</v>
      </c>
      <c r="E106" s="220">
        <f t="shared" si="9"/>
        <v>6.375</v>
      </c>
      <c r="F106" s="220">
        <f t="shared" si="10"/>
        <v>11</v>
      </c>
      <c r="G106" s="221"/>
      <c r="H106" s="222">
        <f t="shared" si="15"/>
        <v>0</v>
      </c>
      <c r="I106"/>
      <c r="K106" s="220">
        <f t="shared" si="16"/>
        <v>38.25</v>
      </c>
      <c r="L106" s="220"/>
      <c r="M106" s="222">
        <f t="shared" si="17"/>
        <v>0</v>
      </c>
    </row>
    <row r="107" spans="1:15" ht="18.75" x14ac:dyDescent="0.3">
      <c r="A107">
        <v>111</v>
      </c>
      <c r="B107" s="219" t="s">
        <v>428</v>
      </c>
      <c r="D107" s="220">
        <v>75</v>
      </c>
      <c r="E107" s="220">
        <f t="shared" si="9"/>
        <v>6.25</v>
      </c>
      <c r="F107" s="220">
        <f t="shared" si="10"/>
        <v>11</v>
      </c>
      <c r="G107" s="221"/>
      <c r="H107" s="222">
        <f t="shared" si="15"/>
        <v>0</v>
      </c>
      <c r="I107" t="s">
        <v>429</v>
      </c>
      <c r="K107" s="220">
        <f t="shared" si="16"/>
        <v>37.5</v>
      </c>
      <c r="L107" s="220"/>
      <c r="M107" s="222">
        <f t="shared" si="17"/>
        <v>0</v>
      </c>
    </row>
    <row r="108" spans="1:15" ht="18.75" x14ac:dyDescent="0.3">
      <c r="A108">
        <v>97</v>
      </c>
      <c r="B108" s="219" t="s">
        <v>430</v>
      </c>
      <c r="C108">
        <v>0</v>
      </c>
      <c r="D108" s="220">
        <v>70</v>
      </c>
      <c r="E108" s="220">
        <f t="shared" si="9"/>
        <v>5.833333333333333</v>
      </c>
      <c r="F108" s="220">
        <f t="shared" si="10"/>
        <v>10</v>
      </c>
      <c r="G108" s="221"/>
      <c r="H108" s="222">
        <f t="shared" si="15"/>
        <v>0</v>
      </c>
      <c r="I108"/>
      <c r="K108" s="220">
        <f t="shared" si="16"/>
        <v>35</v>
      </c>
      <c r="L108" s="220"/>
      <c r="M108" s="222">
        <f t="shared" si="17"/>
        <v>0</v>
      </c>
      <c r="O108">
        <f t="shared" si="12"/>
        <v>0</v>
      </c>
    </row>
    <row r="109" spans="1:15" ht="18.75" x14ac:dyDescent="0.3">
      <c r="A109">
        <v>61</v>
      </c>
      <c r="B109" s="219" t="s">
        <v>431</v>
      </c>
      <c r="C109">
        <v>31</v>
      </c>
      <c r="D109" s="220">
        <v>65</v>
      </c>
      <c r="E109" s="220">
        <f t="shared" si="9"/>
        <v>5.416666666666667</v>
      </c>
      <c r="F109" s="220">
        <f t="shared" si="10"/>
        <v>10</v>
      </c>
      <c r="G109" s="221"/>
      <c r="H109" s="222"/>
      <c r="I109" t="s">
        <v>432</v>
      </c>
      <c r="K109" s="220"/>
      <c r="L109" s="220"/>
      <c r="M109" s="222"/>
      <c r="O109">
        <f>IF(L114=0,0,K114-L114)</f>
        <v>0</v>
      </c>
    </row>
    <row r="110" spans="1:15" ht="18.75" x14ac:dyDescent="0.3">
      <c r="A110">
        <v>40</v>
      </c>
      <c r="B110" s="219" t="s">
        <v>433</v>
      </c>
      <c r="C110">
        <v>60</v>
      </c>
      <c r="D110" s="220">
        <f>C110*inflation</f>
        <v>61.2</v>
      </c>
      <c r="E110" s="220">
        <f t="shared" si="9"/>
        <v>5.1000000000000005</v>
      </c>
      <c r="F110" s="220">
        <f t="shared" si="10"/>
        <v>9</v>
      </c>
      <c r="G110" s="221"/>
      <c r="H110" s="222">
        <f t="shared" ref="H110:H138" si="18">IF(G110=0,0,(D110-G110)/D110)</f>
        <v>0</v>
      </c>
      <c r="I110"/>
      <c r="K110" s="220">
        <f>D110/2</f>
        <v>30.6</v>
      </c>
      <c r="L110" s="220"/>
      <c r="M110" s="222">
        <f>IF(L110=0,0,(K110-L110)/K110)</f>
        <v>0</v>
      </c>
      <c r="O110">
        <f>IF(L80=0,0,K80-L80)</f>
        <v>0</v>
      </c>
    </row>
    <row r="111" spans="1:15" ht="18.75" x14ac:dyDescent="0.3">
      <c r="A111">
        <v>83</v>
      </c>
      <c r="B111" s="219" t="s">
        <v>434</v>
      </c>
      <c r="C111">
        <v>60</v>
      </c>
      <c r="D111" s="220">
        <f>C111*inflation</f>
        <v>61.2</v>
      </c>
      <c r="E111" s="220">
        <f t="shared" si="9"/>
        <v>5.1000000000000005</v>
      </c>
      <c r="F111" s="220">
        <f t="shared" si="10"/>
        <v>9</v>
      </c>
      <c r="G111" s="221"/>
      <c r="H111" s="222">
        <f t="shared" si="18"/>
        <v>0</v>
      </c>
      <c r="I111"/>
      <c r="K111" s="220">
        <f>D111/2</f>
        <v>30.6</v>
      </c>
      <c r="L111" s="220"/>
      <c r="M111" s="222">
        <f>IF(L111=0,0,(K111-L111)/K111)</f>
        <v>0</v>
      </c>
    </row>
    <row r="112" spans="1:15" ht="18.75" x14ac:dyDescent="0.3">
      <c r="A112">
        <v>108</v>
      </c>
      <c r="B112" s="219" t="s">
        <v>435</v>
      </c>
      <c r="C112">
        <v>60</v>
      </c>
      <c r="D112" s="220">
        <f>C112*inflation</f>
        <v>61.2</v>
      </c>
      <c r="E112" s="220">
        <f t="shared" si="9"/>
        <v>5.1000000000000005</v>
      </c>
      <c r="F112" s="220">
        <f t="shared" si="10"/>
        <v>9</v>
      </c>
      <c r="G112" s="221"/>
      <c r="H112" s="222">
        <f t="shared" si="18"/>
        <v>0</v>
      </c>
      <c r="I112"/>
      <c r="K112" s="220">
        <f>D112/2</f>
        <v>30.6</v>
      </c>
      <c r="L112" s="220"/>
      <c r="M112" s="222">
        <f>IF(L112=0,0,(K112-L112)/K112)</f>
        <v>0</v>
      </c>
    </row>
    <row r="113" spans="1:15" ht="18.75" x14ac:dyDescent="0.3">
      <c r="A113">
        <v>96</v>
      </c>
      <c r="B113" s="219" t="s">
        <v>436</v>
      </c>
      <c r="C113">
        <v>55</v>
      </c>
      <c r="D113" s="220">
        <f>C113*inflation</f>
        <v>56.1</v>
      </c>
      <c r="E113" s="220">
        <f t="shared" si="9"/>
        <v>4.6749999999999998</v>
      </c>
      <c r="F113" s="220">
        <f t="shared" si="10"/>
        <v>9</v>
      </c>
      <c r="G113" s="221"/>
      <c r="H113" s="222">
        <f t="shared" si="18"/>
        <v>0</v>
      </c>
      <c r="I113"/>
      <c r="K113" s="220">
        <f>D113/2</f>
        <v>28.05</v>
      </c>
      <c r="L113" s="220"/>
      <c r="M113" s="222">
        <f>IF(L113=0,0,(K113-L113)/K113)</f>
        <v>0</v>
      </c>
    </row>
    <row r="114" spans="1:15" ht="18.75" x14ac:dyDescent="0.3">
      <c r="A114">
        <v>109</v>
      </c>
      <c r="B114" s="219" t="s">
        <v>437</v>
      </c>
      <c r="C114">
        <v>50</v>
      </c>
      <c r="D114" s="220">
        <f>C114*inflation</f>
        <v>51</v>
      </c>
      <c r="E114" s="220">
        <f t="shared" si="9"/>
        <v>4.25</v>
      </c>
      <c r="F114" s="220">
        <f t="shared" si="10"/>
        <v>8</v>
      </c>
      <c r="G114" s="221"/>
      <c r="H114" s="222">
        <f t="shared" si="18"/>
        <v>0</v>
      </c>
      <c r="I114"/>
      <c r="K114" s="220"/>
      <c r="L114" s="220"/>
      <c r="M114" s="222"/>
      <c r="O114" t="e">
        <f>IF(#REF!=0,0,#REF!-#REF!)</f>
        <v>#REF!</v>
      </c>
    </row>
    <row r="115" spans="1:15" ht="18.75" x14ac:dyDescent="0.3">
      <c r="A115">
        <v>66</v>
      </c>
      <c r="B115" s="219" t="s">
        <v>438</v>
      </c>
      <c r="C115">
        <v>0</v>
      </c>
      <c r="D115" s="220">
        <v>50</v>
      </c>
      <c r="E115" s="220">
        <f t="shared" si="9"/>
        <v>4.166666666666667</v>
      </c>
      <c r="F115" s="220">
        <f t="shared" si="10"/>
        <v>8</v>
      </c>
      <c r="G115" s="221"/>
      <c r="H115" s="222">
        <f t="shared" si="18"/>
        <v>0</v>
      </c>
      <c r="I115"/>
      <c r="K115" s="220">
        <f t="shared" ref="K115:K138" si="19">D115/2</f>
        <v>25</v>
      </c>
      <c r="L115" s="220"/>
      <c r="M115" s="222">
        <f t="shared" ref="M115:M138" si="20">IF(L115=0,0,(K115-L115)/K115)</f>
        <v>0</v>
      </c>
    </row>
    <row r="116" spans="1:15" ht="18.75" x14ac:dyDescent="0.3">
      <c r="A116">
        <v>90</v>
      </c>
      <c r="B116" s="219" t="s">
        <v>439</v>
      </c>
      <c r="C116">
        <v>22</v>
      </c>
      <c r="D116" s="220">
        <v>50</v>
      </c>
      <c r="E116" s="220">
        <f t="shared" si="9"/>
        <v>4.166666666666667</v>
      </c>
      <c r="F116" s="220">
        <f t="shared" si="10"/>
        <v>8</v>
      </c>
      <c r="G116" s="221"/>
      <c r="H116" s="222">
        <f t="shared" si="18"/>
        <v>0</v>
      </c>
      <c r="I116" t="s">
        <v>440</v>
      </c>
      <c r="K116" s="220">
        <f t="shared" si="19"/>
        <v>25</v>
      </c>
      <c r="L116" s="220"/>
      <c r="M116" s="222">
        <f t="shared" si="20"/>
        <v>0</v>
      </c>
    </row>
    <row r="117" spans="1:15" ht="18.75" x14ac:dyDescent="0.3">
      <c r="A117">
        <v>125</v>
      </c>
      <c r="B117" s="219" t="s">
        <v>441</v>
      </c>
      <c r="C117">
        <v>50</v>
      </c>
      <c r="D117" s="220">
        <v>50</v>
      </c>
      <c r="E117" s="220">
        <f t="shared" si="9"/>
        <v>4.166666666666667</v>
      </c>
      <c r="F117" s="220">
        <f t="shared" si="10"/>
        <v>8</v>
      </c>
      <c r="G117" s="221"/>
      <c r="H117" s="222">
        <f t="shared" si="18"/>
        <v>0</v>
      </c>
      <c r="I117"/>
      <c r="K117" s="220">
        <f t="shared" si="19"/>
        <v>25</v>
      </c>
      <c r="L117" s="220"/>
      <c r="M117" s="222">
        <f t="shared" si="20"/>
        <v>0</v>
      </c>
    </row>
    <row r="118" spans="1:15" ht="18.75" x14ac:dyDescent="0.3">
      <c r="A118">
        <v>53</v>
      </c>
      <c r="B118" s="219" t="s">
        <v>442</v>
      </c>
      <c r="C118">
        <v>40</v>
      </c>
      <c r="D118" s="220">
        <f>C118*inflation</f>
        <v>40.799999999999997</v>
      </c>
      <c r="E118" s="220">
        <f t="shared" si="9"/>
        <v>3.4</v>
      </c>
      <c r="F118" s="220">
        <f t="shared" si="10"/>
        <v>6</v>
      </c>
      <c r="G118" s="221"/>
      <c r="H118" s="222">
        <f t="shared" si="18"/>
        <v>0</v>
      </c>
      <c r="I118"/>
      <c r="K118" s="220">
        <f t="shared" si="19"/>
        <v>20.399999999999999</v>
      </c>
      <c r="L118" s="220"/>
      <c r="M118" s="222">
        <f t="shared" si="20"/>
        <v>0</v>
      </c>
    </row>
    <row r="119" spans="1:15" ht="18.75" x14ac:dyDescent="0.3">
      <c r="A119">
        <v>47</v>
      </c>
      <c r="B119" s="219" t="s">
        <v>443</v>
      </c>
      <c r="C119">
        <v>17</v>
      </c>
      <c r="D119" s="220">
        <v>40</v>
      </c>
      <c r="E119" s="220">
        <f t="shared" si="9"/>
        <v>3.3333333333333335</v>
      </c>
      <c r="F119" s="220">
        <f t="shared" si="10"/>
        <v>6</v>
      </c>
      <c r="G119" s="221"/>
      <c r="H119" s="222">
        <f t="shared" si="18"/>
        <v>0</v>
      </c>
      <c r="I119"/>
      <c r="K119" s="220">
        <f t="shared" si="19"/>
        <v>20</v>
      </c>
      <c r="L119" s="220"/>
      <c r="M119" s="222">
        <f t="shared" si="20"/>
        <v>0</v>
      </c>
    </row>
    <row r="120" spans="1:15" ht="18.75" x14ac:dyDescent="0.3">
      <c r="A120">
        <v>59</v>
      </c>
      <c r="B120" s="219" t="s">
        <v>444</v>
      </c>
      <c r="C120">
        <v>20</v>
      </c>
      <c r="D120" s="220">
        <v>40</v>
      </c>
      <c r="E120" s="220">
        <f t="shared" si="9"/>
        <v>3.3333333333333335</v>
      </c>
      <c r="F120" s="220">
        <f t="shared" si="10"/>
        <v>6</v>
      </c>
      <c r="G120" s="221"/>
      <c r="H120" s="222">
        <f t="shared" si="18"/>
        <v>0</v>
      </c>
      <c r="K120" s="220">
        <f t="shared" si="19"/>
        <v>20</v>
      </c>
      <c r="L120" s="220"/>
      <c r="M120" s="222">
        <f t="shared" si="20"/>
        <v>0</v>
      </c>
    </row>
    <row r="121" spans="1:15" ht="18.75" x14ac:dyDescent="0.3">
      <c r="A121">
        <v>110</v>
      </c>
      <c r="B121" s="219" t="s">
        <v>445</v>
      </c>
      <c r="D121" s="220">
        <v>40</v>
      </c>
      <c r="E121" s="220">
        <f t="shared" si="9"/>
        <v>3.3333333333333335</v>
      </c>
      <c r="F121" s="220">
        <f t="shared" si="10"/>
        <v>6</v>
      </c>
      <c r="G121" s="221"/>
      <c r="H121" s="222">
        <f t="shared" si="18"/>
        <v>0</v>
      </c>
      <c r="I121" t="s">
        <v>446</v>
      </c>
      <c r="K121" s="220">
        <f t="shared" si="19"/>
        <v>20</v>
      </c>
      <c r="L121" s="220"/>
      <c r="M121" s="222">
        <f t="shared" si="20"/>
        <v>0</v>
      </c>
    </row>
    <row r="122" spans="1:15" ht="18.75" x14ac:dyDescent="0.3">
      <c r="A122">
        <v>14</v>
      </c>
      <c r="B122" s="219" t="s">
        <v>447</v>
      </c>
      <c r="C122">
        <v>39</v>
      </c>
      <c r="D122" s="220">
        <f>C122*inflation</f>
        <v>39.78</v>
      </c>
      <c r="E122" s="220">
        <f t="shared" si="9"/>
        <v>3.3149999999999999</v>
      </c>
      <c r="F122" s="220">
        <f t="shared" si="10"/>
        <v>6</v>
      </c>
      <c r="G122" s="221"/>
      <c r="H122" s="222">
        <f t="shared" si="18"/>
        <v>0</v>
      </c>
      <c r="I122"/>
      <c r="K122" s="220">
        <f t="shared" si="19"/>
        <v>19.89</v>
      </c>
      <c r="L122" s="220"/>
      <c r="M122" s="222">
        <f t="shared" si="20"/>
        <v>0</v>
      </c>
    </row>
    <row r="123" spans="1:15" ht="18.75" x14ac:dyDescent="0.3">
      <c r="A123">
        <v>68</v>
      </c>
      <c r="B123" s="219" t="s">
        <v>448</v>
      </c>
      <c r="C123">
        <v>36</v>
      </c>
      <c r="D123" s="220">
        <f>C123*inflation</f>
        <v>36.72</v>
      </c>
      <c r="E123" s="220">
        <f t="shared" si="9"/>
        <v>3.06</v>
      </c>
      <c r="F123" s="220">
        <f t="shared" si="10"/>
        <v>6</v>
      </c>
      <c r="G123" s="221"/>
      <c r="H123" s="222">
        <f t="shared" si="18"/>
        <v>0</v>
      </c>
      <c r="I123"/>
      <c r="K123" s="220">
        <f t="shared" si="19"/>
        <v>18.36</v>
      </c>
      <c r="L123" s="220"/>
      <c r="M123" s="222">
        <f t="shared" si="20"/>
        <v>0</v>
      </c>
    </row>
    <row r="124" spans="1:15" ht="18.75" x14ac:dyDescent="0.3">
      <c r="A124">
        <v>93</v>
      </c>
      <c r="B124" s="219" t="s">
        <v>449</v>
      </c>
      <c r="C124">
        <v>28</v>
      </c>
      <c r="D124" s="220">
        <f>C124*inflation</f>
        <v>28.560000000000002</v>
      </c>
      <c r="E124" s="220">
        <f t="shared" si="9"/>
        <v>2.3800000000000003</v>
      </c>
      <c r="F124" s="220">
        <f t="shared" si="10"/>
        <v>5</v>
      </c>
      <c r="G124" s="221"/>
      <c r="H124" s="222">
        <f t="shared" si="18"/>
        <v>0</v>
      </c>
      <c r="I124"/>
      <c r="K124" s="220">
        <f t="shared" si="19"/>
        <v>14.280000000000001</v>
      </c>
      <c r="L124" s="220"/>
      <c r="M124" s="222">
        <f t="shared" si="20"/>
        <v>0</v>
      </c>
    </row>
    <row r="125" spans="1:15" ht="18.75" x14ac:dyDescent="0.3">
      <c r="A125">
        <v>85</v>
      </c>
      <c r="B125" s="219" t="s">
        <v>450</v>
      </c>
      <c r="C125">
        <f>_xlfn.CEILING.MATH(44/2)</f>
        <v>22</v>
      </c>
      <c r="D125" s="220">
        <f>C125*inflation</f>
        <v>22.44</v>
      </c>
      <c r="E125" s="220">
        <f t="shared" si="9"/>
        <v>1.87</v>
      </c>
      <c r="F125" s="220">
        <f t="shared" si="10"/>
        <v>4</v>
      </c>
      <c r="G125" s="221"/>
      <c r="H125" s="222">
        <f t="shared" si="18"/>
        <v>0</v>
      </c>
      <c r="I125"/>
      <c r="K125" s="220">
        <f t="shared" si="19"/>
        <v>11.22</v>
      </c>
      <c r="L125" s="220"/>
      <c r="M125" s="222">
        <f t="shared" si="20"/>
        <v>0</v>
      </c>
    </row>
    <row r="126" spans="1:15" ht="18.75" x14ac:dyDescent="0.3">
      <c r="A126">
        <v>64</v>
      </c>
      <c r="B126" s="219" t="s">
        <v>451</v>
      </c>
      <c r="C126">
        <v>0</v>
      </c>
      <c r="D126" s="220">
        <v>20</v>
      </c>
      <c r="E126" s="220">
        <f t="shared" si="9"/>
        <v>1.6666666666666667</v>
      </c>
      <c r="F126" s="220">
        <f t="shared" si="10"/>
        <v>3</v>
      </c>
      <c r="G126" s="221"/>
      <c r="H126" s="222">
        <f t="shared" si="18"/>
        <v>0</v>
      </c>
      <c r="I126"/>
      <c r="K126" s="220">
        <f t="shared" si="19"/>
        <v>10</v>
      </c>
      <c r="L126" s="220"/>
      <c r="M126" s="222">
        <f t="shared" si="20"/>
        <v>0</v>
      </c>
    </row>
    <row r="127" spans="1:15" ht="18.75" x14ac:dyDescent="0.3">
      <c r="A127">
        <v>114</v>
      </c>
      <c r="B127" s="219" t="s">
        <v>452</v>
      </c>
      <c r="D127" s="220">
        <v>0</v>
      </c>
      <c r="E127" s="220">
        <f t="shared" si="9"/>
        <v>0</v>
      </c>
      <c r="F127" s="220">
        <f t="shared" si="10"/>
        <v>0</v>
      </c>
      <c r="G127" s="221"/>
      <c r="H127" s="222">
        <f t="shared" si="18"/>
        <v>0</v>
      </c>
      <c r="I127"/>
      <c r="K127" s="220">
        <f t="shared" si="19"/>
        <v>0</v>
      </c>
      <c r="L127" s="220"/>
      <c r="M127" s="222">
        <f t="shared" si="20"/>
        <v>0</v>
      </c>
    </row>
    <row r="128" spans="1:15" ht="18.75" x14ac:dyDescent="0.3">
      <c r="A128">
        <v>116</v>
      </c>
      <c r="B128" s="219" t="s">
        <v>453</v>
      </c>
      <c r="D128" s="220">
        <v>0</v>
      </c>
      <c r="E128" s="220">
        <f t="shared" si="9"/>
        <v>0</v>
      </c>
      <c r="F128" s="220">
        <f t="shared" si="10"/>
        <v>0</v>
      </c>
      <c r="G128" s="221"/>
      <c r="H128" s="222">
        <f t="shared" si="18"/>
        <v>0</v>
      </c>
      <c r="I128"/>
      <c r="K128" s="220">
        <f t="shared" si="19"/>
        <v>0</v>
      </c>
      <c r="L128" s="220"/>
      <c r="M128" s="222">
        <f t="shared" si="20"/>
        <v>0</v>
      </c>
    </row>
    <row r="129" spans="1:13" ht="18.75" x14ac:dyDescent="0.3">
      <c r="A129">
        <v>117</v>
      </c>
      <c r="B129" s="219" t="s">
        <v>454</v>
      </c>
      <c r="C129">
        <v>0</v>
      </c>
      <c r="D129" s="220">
        <v>0</v>
      </c>
      <c r="E129" s="220">
        <f t="shared" si="9"/>
        <v>0</v>
      </c>
      <c r="F129" s="220">
        <f t="shared" si="10"/>
        <v>0</v>
      </c>
      <c r="G129" s="221"/>
      <c r="H129" s="222">
        <f t="shared" si="18"/>
        <v>0</v>
      </c>
      <c r="I129"/>
      <c r="K129" s="220">
        <f t="shared" si="19"/>
        <v>0</v>
      </c>
      <c r="L129" s="220"/>
      <c r="M129" s="222">
        <f t="shared" si="20"/>
        <v>0</v>
      </c>
    </row>
    <row r="130" spans="1:13" ht="18.75" x14ac:dyDescent="0.3">
      <c r="A130">
        <v>119</v>
      </c>
      <c r="B130" s="219" t="s">
        <v>455</v>
      </c>
      <c r="C130">
        <v>0</v>
      </c>
      <c r="D130" s="220">
        <v>0</v>
      </c>
      <c r="E130" s="220">
        <f t="shared" si="9"/>
        <v>0</v>
      </c>
      <c r="F130" s="220">
        <f t="shared" si="10"/>
        <v>0</v>
      </c>
      <c r="G130" s="221"/>
      <c r="H130" s="222">
        <f t="shared" si="18"/>
        <v>0</v>
      </c>
      <c r="I130"/>
      <c r="K130" s="220">
        <f t="shared" si="19"/>
        <v>0</v>
      </c>
      <c r="L130" s="220"/>
      <c r="M130" s="222">
        <f t="shared" si="20"/>
        <v>0</v>
      </c>
    </row>
    <row r="131" spans="1:13" ht="18.75" x14ac:dyDescent="0.3">
      <c r="A131">
        <v>120</v>
      </c>
      <c r="B131" s="219" t="s">
        <v>456</v>
      </c>
      <c r="C131">
        <v>400</v>
      </c>
      <c r="D131" s="220">
        <v>0</v>
      </c>
      <c r="E131" s="220">
        <f t="shared" si="9"/>
        <v>0</v>
      </c>
      <c r="F131" s="220">
        <f t="shared" si="10"/>
        <v>0</v>
      </c>
      <c r="G131" s="221"/>
      <c r="H131" s="222">
        <f t="shared" si="18"/>
        <v>0</v>
      </c>
      <c r="I131" t="s">
        <v>457</v>
      </c>
      <c r="K131" s="220">
        <f t="shared" si="19"/>
        <v>0</v>
      </c>
      <c r="L131" s="220"/>
      <c r="M131" s="222">
        <f t="shared" si="20"/>
        <v>0</v>
      </c>
    </row>
    <row r="132" spans="1:13" ht="18.75" x14ac:dyDescent="0.3">
      <c r="A132">
        <v>122</v>
      </c>
      <c r="B132" s="219" t="s">
        <v>458</v>
      </c>
      <c r="C132">
        <v>0</v>
      </c>
      <c r="D132" s="220">
        <f t="shared" ref="D132:D137" si="21">C132*inflation</f>
        <v>0</v>
      </c>
      <c r="E132" s="220">
        <f t="shared" si="9"/>
        <v>0</v>
      </c>
      <c r="F132" s="220">
        <f t="shared" si="10"/>
        <v>0</v>
      </c>
      <c r="G132" s="221"/>
      <c r="H132" s="222">
        <f t="shared" si="18"/>
        <v>0</v>
      </c>
      <c r="I132"/>
      <c r="K132" s="220">
        <f t="shared" si="19"/>
        <v>0</v>
      </c>
      <c r="L132" s="220"/>
      <c r="M132" s="222">
        <f t="shared" si="20"/>
        <v>0</v>
      </c>
    </row>
    <row r="133" spans="1:13" ht="18.75" x14ac:dyDescent="0.3">
      <c r="A133">
        <v>123</v>
      </c>
      <c r="B133" s="219" t="s">
        <v>459</v>
      </c>
      <c r="C133">
        <v>0</v>
      </c>
      <c r="D133" s="220">
        <f t="shared" si="21"/>
        <v>0</v>
      </c>
      <c r="E133" s="220">
        <f t="shared" si="9"/>
        <v>0</v>
      </c>
      <c r="F133" s="220">
        <f t="shared" si="10"/>
        <v>0</v>
      </c>
      <c r="G133" s="221"/>
      <c r="H133" s="222">
        <f t="shared" si="18"/>
        <v>0</v>
      </c>
      <c r="I133"/>
      <c r="K133" s="220">
        <f t="shared" si="19"/>
        <v>0</v>
      </c>
      <c r="L133" s="220"/>
      <c r="M133" s="222">
        <f t="shared" si="20"/>
        <v>0</v>
      </c>
    </row>
    <row r="134" spans="1:13" ht="18.75" x14ac:dyDescent="0.3">
      <c r="A134">
        <v>124</v>
      </c>
      <c r="B134" s="219" t="s">
        <v>460</v>
      </c>
      <c r="C134">
        <v>0</v>
      </c>
      <c r="D134" s="220">
        <f t="shared" si="21"/>
        <v>0</v>
      </c>
      <c r="E134" s="220">
        <f t="shared" si="9"/>
        <v>0</v>
      </c>
      <c r="F134" s="220">
        <f t="shared" si="10"/>
        <v>0</v>
      </c>
      <c r="G134" s="221"/>
      <c r="H134" s="222">
        <f t="shared" si="18"/>
        <v>0</v>
      </c>
      <c r="I134"/>
      <c r="K134" s="220">
        <f t="shared" si="19"/>
        <v>0</v>
      </c>
      <c r="L134" s="220"/>
      <c r="M134" s="222">
        <f t="shared" si="20"/>
        <v>0</v>
      </c>
    </row>
    <row r="135" spans="1:13" ht="18.75" x14ac:dyDescent="0.3">
      <c r="A135">
        <v>126</v>
      </c>
      <c r="B135" s="219" t="s">
        <v>461</v>
      </c>
      <c r="C135">
        <v>0</v>
      </c>
      <c r="D135" s="220">
        <f t="shared" si="21"/>
        <v>0</v>
      </c>
      <c r="E135" s="220">
        <f t="shared" si="9"/>
        <v>0</v>
      </c>
      <c r="F135" s="220">
        <f t="shared" si="10"/>
        <v>0</v>
      </c>
      <c r="G135" s="221"/>
      <c r="H135" s="222">
        <f t="shared" si="18"/>
        <v>0</v>
      </c>
      <c r="I135"/>
      <c r="K135" s="220">
        <f t="shared" si="19"/>
        <v>0</v>
      </c>
      <c r="L135" s="220"/>
      <c r="M135" s="222">
        <f t="shared" si="20"/>
        <v>0</v>
      </c>
    </row>
    <row r="136" spans="1:13" ht="18.75" x14ac:dyDescent="0.3">
      <c r="A136">
        <v>127</v>
      </c>
      <c r="B136" s="219" t="s">
        <v>462</v>
      </c>
      <c r="C136">
        <v>0</v>
      </c>
      <c r="D136" s="220">
        <f t="shared" si="21"/>
        <v>0</v>
      </c>
      <c r="E136" s="220">
        <f t="shared" ref="E136:E138" si="22">D136/12</f>
        <v>0</v>
      </c>
      <c r="F136" s="220">
        <f t="shared" ref="F136:F138" si="23">_xlfn.CEILING.MATH(D136/7)</f>
        <v>0</v>
      </c>
      <c r="G136" s="221"/>
      <c r="H136" s="222">
        <f t="shared" si="18"/>
        <v>0</v>
      </c>
      <c r="I136"/>
      <c r="K136" s="220">
        <f t="shared" si="19"/>
        <v>0</v>
      </c>
      <c r="L136" s="220"/>
      <c r="M136" s="222">
        <f t="shared" si="20"/>
        <v>0</v>
      </c>
    </row>
    <row r="137" spans="1:13" ht="18.75" x14ac:dyDescent="0.3">
      <c r="A137">
        <v>129</v>
      </c>
      <c r="B137" s="219" t="s">
        <v>463</v>
      </c>
      <c r="C137">
        <v>0</v>
      </c>
      <c r="D137" s="220">
        <f t="shared" si="21"/>
        <v>0</v>
      </c>
      <c r="E137" s="220">
        <f t="shared" si="22"/>
        <v>0</v>
      </c>
      <c r="F137" s="220">
        <f t="shared" si="23"/>
        <v>0</v>
      </c>
      <c r="G137" s="221"/>
      <c r="H137" s="222">
        <f t="shared" si="18"/>
        <v>0</v>
      </c>
      <c r="I137"/>
      <c r="K137" s="220">
        <f t="shared" si="19"/>
        <v>0</v>
      </c>
      <c r="L137" s="220"/>
      <c r="M137" s="222">
        <f t="shared" si="20"/>
        <v>0</v>
      </c>
    </row>
    <row r="138" spans="1:13" ht="18.75" x14ac:dyDescent="0.3">
      <c r="A138">
        <v>131</v>
      </c>
      <c r="B138" s="219" t="s">
        <v>464</v>
      </c>
      <c r="C138">
        <v>0</v>
      </c>
      <c r="D138" s="220">
        <v>0</v>
      </c>
      <c r="E138" s="220">
        <f t="shared" si="22"/>
        <v>0</v>
      </c>
      <c r="F138" s="220">
        <f t="shared" si="23"/>
        <v>0</v>
      </c>
      <c r="G138" s="221"/>
      <c r="H138" s="222">
        <f t="shared" si="18"/>
        <v>0</v>
      </c>
      <c r="I138" t="s">
        <v>465</v>
      </c>
      <c r="K138" s="220">
        <f t="shared" si="19"/>
        <v>0</v>
      </c>
      <c r="L138" s="220"/>
      <c r="M138" s="222">
        <f t="shared" si="20"/>
        <v>0</v>
      </c>
    </row>
  </sheetData>
  <mergeCells count="1">
    <mergeCell ref="B2:I2"/>
  </mergeCells>
  <conditionalFormatting sqref="I5 D5:F5">
    <cfRule type="iconSet" priority="5">
      <iconSet>
        <cfvo type="percent" val="0"/>
        <cfvo type="num" val="0"/>
        <cfvo type="num" val="1"/>
      </iconSet>
    </cfRule>
  </conditionalFormatting>
  <conditionalFormatting sqref="I108 O1:O6 O139:O1048576 N7:N138">
    <cfRule type="cellIs" dxfId="8" priority="4" operator="equal">
      <formula>"revisit"</formula>
    </cfRule>
  </conditionalFormatting>
  <conditionalFormatting sqref="C101:C102 B103:C138 B8:C100">
    <cfRule type="containsText" dxfId="7" priority="3" operator="containsText" text="[notrack]">
      <formula>NOT(ISERROR(SEARCH("[notrack]",B8)))</formula>
    </cfRule>
  </conditionalFormatting>
  <conditionalFormatting sqref="B101">
    <cfRule type="containsText" dxfId="6" priority="2" operator="containsText" text="[notrack]">
      <formula>NOT(ISERROR(SEARCH("[notrack]",B101)))</formula>
    </cfRule>
  </conditionalFormatting>
  <conditionalFormatting sqref="B102">
    <cfRule type="containsText" dxfId="5" priority="1" operator="containsText" text="[notrack]">
      <formula>NOT(ISERROR(SEARCH("[notrack]",B102)))</formula>
    </cfRule>
  </conditionalFormatting>
  <conditionalFormatting sqref="H8:H138">
    <cfRule type="iconSet" priority="6">
      <iconSet>
        <cfvo type="percent" val="0"/>
        <cfvo type="num" val="-0.01"/>
        <cfvo type="num" val="0.01"/>
      </iconSet>
    </cfRule>
  </conditionalFormatting>
  <conditionalFormatting sqref="M8:M138">
    <cfRule type="iconSet" priority="7">
      <iconSet>
        <cfvo type="percent" val="0"/>
        <cfvo type="num" val="-0.01"/>
        <cfvo type="num" val="0.01"/>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3"/>
  <sheetViews>
    <sheetView workbookViewId="0">
      <selection activeCell="D5" sqref="D5"/>
    </sheetView>
  </sheetViews>
  <sheetFormatPr defaultRowHeight="15" x14ac:dyDescent="0.25"/>
  <cols>
    <col min="2" max="3" width="11.140625" customWidth="1"/>
    <col min="4" max="4" width="14.42578125" customWidth="1"/>
    <col min="6" max="7" width="11.140625" customWidth="1"/>
    <col min="8" max="8" width="14.42578125" customWidth="1"/>
    <col min="10" max="11" width="11.140625" customWidth="1"/>
    <col min="12" max="12" width="14.42578125" customWidth="1"/>
    <col min="14" max="15" width="11.140625" customWidth="1"/>
    <col min="16" max="16" width="14.42578125" customWidth="1"/>
  </cols>
  <sheetData>
    <row r="1" spans="2:12" ht="15.75" thickBot="1" x14ac:dyDescent="0.3"/>
    <row r="2" spans="2:12" ht="24" thickBot="1" x14ac:dyDescent="0.4">
      <c r="B2" s="248" t="s">
        <v>135</v>
      </c>
      <c r="C2" s="249"/>
      <c r="D2" s="250"/>
    </row>
    <row r="3" spans="2:12" x14ac:dyDescent="0.25">
      <c r="B3" s="251" t="s">
        <v>132</v>
      </c>
      <c r="C3" s="252"/>
      <c r="D3" s="49">
        <f>MRU_JP_EARNINGS + MRU_JP_TAXABLE_BEN</f>
        <v>110705.80599999995</v>
      </c>
    </row>
    <row r="4" spans="2:12" x14ac:dyDescent="0.25">
      <c r="B4" s="253"/>
      <c r="C4" s="254"/>
      <c r="D4" s="50"/>
    </row>
    <row r="5" spans="2:12" x14ac:dyDescent="0.25">
      <c r="B5" s="244" t="s">
        <v>126</v>
      </c>
      <c r="C5" s="245"/>
      <c r="D5" s="51">
        <f>MRU_JP_CPP</f>
        <v>2564.1000000000004</v>
      </c>
    </row>
    <row r="6" spans="2:12" x14ac:dyDescent="0.25">
      <c r="B6" s="244" t="s">
        <v>127</v>
      </c>
      <c r="C6" s="245"/>
      <c r="D6" s="51">
        <f>MRU_JP_EI</f>
        <v>836.19</v>
      </c>
    </row>
    <row r="7" spans="2:12" x14ac:dyDescent="0.25">
      <c r="B7" s="244" t="s">
        <v>6</v>
      </c>
      <c r="C7" s="245"/>
      <c r="D7" s="51">
        <f>MRU_JP_RPP</f>
        <v>11567.88</v>
      </c>
    </row>
    <row r="8" spans="2:12" x14ac:dyDescent="0.25">
      <c r="B8" s="244" t="s">
        <v>131</v>
      </c>
      <c r="C8" s="245"/>
      <c r="D8" s="51">
        <f>MRU_JP_FED_TAX + MRU_JP_AB_TAX</f>
        <v>23414.019999999997</v>
      </c>
    </row>
    <row r="9" spans="2:12" x14ac:dyDescent="0.25">
      <c r="B9" s="244" t="s">
        <v>129</v>
      </c>
      <c r="C9" s="245"/>
      <c r="D9" s="51">
        <f>MIN(D3,MAX_INSURABLE_EARNINGS)</f>
        <v>51300</v>
      </c>
    </row>
    <row r="10" spans="2:12" x14ac:dyDescent="0.25">
      <c r="B10" s="244" t="s">
        <v>130</v>
      </c>
      <c r="C10" s="245"/>
      <c r="D10" s="51">
        <f>MIN(D3,MAX_PENSIONABLE_EARNINGS)</f>
        <v>55300</v>
      </c>
    </row>
    <row r="11" spans="2:12" ht="15.75" thickBot="1" x14ac:dyDescent="0.3">
      <c r="B11" s="246" t="s">
        <v>128</v>
      </c>
      <c r="C11" s="247"/>
      <c r="D11" s="52">
        <f>MRU_JP_MRFA + MRU_JP_MRSA</f>
        <v>564.68999999999994</v>
      </c>
    </row>
    <row r="13" spans="2:12" ht="15.75" thickBot="1" x14ac:dyDescent="0.3"/>
    <row r="14" spans="2:12" ht="24" thickBot="1" x14ac:dyDescent="0.4">
      <c r="B14" s="248" t="s">
        <v>136</v>
      </c>
      <c r="C14" s="249"/>
      <c r="D14" s="250"/>
      <c r="F14" s="248" t="s">
        <v>137</v>
      </c>
      <c r="G14" s="249"/>
      <c r="H14" s="250"/>
      <c r="J14" s="248" t="s">
        <v>138</v>
      </c>
      <c r="K14" s="249"/>
      <c r="L14" s="250"/>
    </row>
    <row r="15" spans="2:12" x14ac:dyDescent="0.25">
      <c r="B15" s="251" t="s">
        <v>132</v>
      </c>
      <c r="C15" s="252"/>
      <c r="D15" s="49">
        <f>MRU_NP_EARNINGS+MRU_NP_TAXABLE_BEN</f>
        <v>29181.919999999991</v>
      </c>
      <c r="F15" s="251" t="s">
        <v>132</v>
      </c>
      <c r="G15" s="252"/>
      <c r="H15" s="49">
        <f>UOFC_EARNINGS + UOFC_TAXABLE_BEN</f>
        <v>0</v>
      </c>
      <c r="J15" s="251" t="s">
        <v>132</v>
      </c>
      <c r="K15" s="252"/>
      <c r="L15" s="49">
        <f>HOSHU_EARNINGS +HOSHU_TAXABLE_BEN</f>
        <v>7456.9600000000009</v>
      </c>
    </row>
    <row r="16" spans="2:12" x14ac:dyDescent="0.25">
      <c r="B16" s="253"/>
      <c r="C16" s="254"/>
      <c r="D16" s="50"/>
      <c r="F16" s="253"/>
      <c r="G16" s="254"/>
      <c r="H16" s="50"/>
      <c r="J16" s="253"/>
      <c r="K16" s="254"/>
      <c r="L16" s="50"/>
    </row>
    <row r="17" spans="2:12" x14ac:dyDescent="0.25">
      <c r="B17" s="244" t="s">
        <v>126</v>
      </c>
      <c r="C17" s="245"/>
      <c r="D17" s="51">
        <f>MRU_NP_CPP</f>
        <v>1329.0399999999995</v>
      </c>
      <c r="F17" s="244" t="s">
        <v>126</v>
      </c>
      <c r="G17" s="245"/>
      <c r="H17" s="51">
        <f>UOFC_CPP</f>
        <v>0</v>
      </c>
      <c r="J17" s="244" t="s">
        <v>126</v>
      </c>
      <c r="K17" s="245"/>
      <c r="L17" s="51">
        <f>HOSHU_CPP</f>
        <v>268.08</v>
      </c>
    </row>
    <row r="18" spans="2:12" x14ac:dyDescent="0.25">
      <c r="B18" s="244" t="s">
        <v>127</v>
      </c>
      <c r="C18" s="245"/>
      <c r="D18" s="51">
        <f>MRU_NP_EI</f>
        <v>475.59999999999991</v>
      </c>
      <c r="F18" s="244" t="s">
        <v>127</v>
      </c>
      <c r="G18" s="245"/>
      <c r="H18" s="51">
        <f>UOFC_EI</f>
        <v>0</v>
      </c>
      <c r="J18" s="244" t="s">
        <v>127</v>
      </c>
      <c r="K18" s="245"/>
      <c r="L18" s="51">
        <f>HOSHU_EI</f>
        <v>121.53999999999999</v>
      </c>
    </row>
    <row r="19" spans="2:12" x14ac:dyDescent="0.25">
      <c r="B19" s="244" t="s">
        <v>6</v>
      </c>
      <c r="C19" s="245"/>
      <c r="D19" s="51">
        <f>MRU_NP_RPP</f>
        <v>0</v>
      </c>
      <c r="F19" s="244" t="s">
        <v>6</v>
      </c>
      <c r="G19" s="245"/>
      <c r="H19" s="51">
        <f>UOFC_RPP</f>
        <v>0</v>
      </c>
      <c r="J19" s="244" t="s">
        <v>6</v>
      </c>
      <c r="K19" s="245"/>
      <c r="L19" s="51">
        <f>HOSHU_RPP</f>
        <v>0</v>
      </c>
    </row>
    <row r="20" spans="2:12" x14ac:dyDescent="0.25">
      <c r="B20" s="244" t="s">
        <v>131</v>
      </c>
      <c r="C20" s="245"/>
      <c r="D20" s="51">
        <f>MRU_NP_AB_TAX + MRU_NP_FED_TAX</f>
        <v>4244.079999999999</v>
      </c>
      <c r="F20" s="244" t="s">
        <v>131</v>
      </c>
      <c r="G20" s="245"/>
      <c r="H20" s="51">
        <f>UOFC_AB_TAX + UOFC_FED_TAX</f>
        <v>0</v>
      </c>
      <c r="J20" s="244" t="s">
        <v>131</v>
      </c>
      <c r="K20" s="245"/>
      <c r="L20" s="51">
        <f>HOSHU_AB_TAX + HOSHU_FED_TAX</f>
        <v>1663.76</v>
      </c>
    </row>
    <row r="21" spans="2:12" x14ac:dyDescent="0.25">
      <c r="B21" s="244" t="s">
        <v>129</v>
      </c>
      <c r="C21" s="245"/>
      <c r="D21" s="51">
        <f>MIN(D15,MAX_INSURABLE_EARNINGS)</f>
        <v>29181.919999999991</v>
      </c>
      <c r="F21" s="244" t="s">
        <v>129</v>
      </c>
      <c r="G21" s="245"/>
      <c r="H21" s="51">
        <f>MIN(H15,MAX_INSURABLE_EARNINGS)</f>
        <v>0</v>
      </c>
      <c r="J21" s="244" t="s">
        <v>129</v>
      </c>
      <c r="K21" s="245"/>
      <c r="L21" s="51">
        <f>MIN(L15,MAX_INSURABLE_EARNINGS)</f>
        <v>7456.9600000000009</v>
      </c>
    </row>
    <row r="22" spans="2:12" x14ac:dyDescent="0.25">
      <c r="B22" s="244" t="s">
        <v>130</v>
      </c>
      <c r="C22" s="245"/>
      <c r="D22" s="51">
        <f>MIN(D15,MAX_PENSIONABLE_EARNINGS)</f>
        <v>29181.919999999991</v>
      </c>
      <c r="F22" s="244" t="s">
        <v>130</v>
      </c>
      <c r="G22" s="245"/>
      <c r="H22" s="51">
        <f>MIN(H15,MAX_PENSIONABLE_EARNINGS)</f>
        <v>0</v>
      </c>
      <c r="J22" s="244" t="s">
        <v>130</v>
      </c>
      <c r="K22" s="245"/>
      <c r="L22" s="51">
        <f>MIN(L15,MAX_PENSIONABLE_EARNINGS)</f>
        <v>7456.9600000000009</v>
      </c>
    </row>
    <row r="23" spans="2:12" ht="15.75" thickBot="1" x14ac:dyDescent="0.3">
      <c r="B23" s="246" t="s">
        <v>128</v>
      </c>
      <c r="C23" s="247"/>
      <c r="D23" s="52">
        <f>MRU_NP_MRFA</f>
        <v>291.83999999999997</v>
      </c>
      <c r="F23" s="246" t="s">
        <v>128</v>
      </c>
      <c r="G23" s="247"/>
      <c r="H23" s="52">
        <f>UOFC_CAUT + UOFC_TUCFA</f>
        <v>0</v>
      </c>
      <c r="J23" s="246" t="s">
        <v>128</v>
      </c>
      <c r="K23" s="247"/>
      <c r="L23" s="52">
        <f>HOSHU_DUES</f>
        <v>0</v>
      </c>
    </row>
  </sheetData>
  <mergeCells count="40">
    <mergeCell ref="B18:C18"/>
    <mergeCell ref="B7:C7"/>
    <mergeCell ref="B9:C9"/>
    <mergeCell ref="B10:C10"/>
    <mergeCell ref="B8:C8"/>
    <mergeCell ref="B11:C11"/>
    <mergeCell ref="B2:D2"/>
    <mergeCell ref="B14:D14"/>
    <mergeCell ref="B15:C15"/>
    <mergeCell ref="B16:C16"/>
    <mergeCell ref="B17:C17"/>
    <mergeCell ref="B3:C3"/>
    <mergeCell ref="B4:C4"/>
    <mergeCell ref="B5:C5"/>
    <mergeCell ref="B6:C6"/>
    <mergeCell ref="F14:H14"/>
    <mergeCell ref="F15:G15"/>
    <mergeCell ref="F16:G16"/>
    <mergeCell ref="F17:G17"/>
    <mergeCell ref="F18:G18"/>
    <mergeCell ref="B19:C19"/>
    <mergeCell ref="B20:C20"/>
    <mergeCell ref="B21:C21"/>
    <mergeCell ref="B22:C22"/>
    <mergeCell ref="B23:C23"/>
    <mergeCell ref="J14:L14"/>
    <mergeCell ref="J15:K15"/>
    <mergeCell ref="J16:K16"/>
    <mergeCell ref="J17:K17"/>
    <mergeCell ref="J18:K18"/>
    <mergeCell ref="F19:G19"/>
    <mergeCell ref="F20:G20"/>
    <mergeCell ref="F21:G21"/>
    <mergeCell ref="F22:G22"/>
    <mergeCell ref="F23:G23"/>
    <mergeCell ref="J19:K19"/>
    <mergeCell ref="J20:K20"/>
    <mergeCell ref="J21:K21"/>
    <mergeCell ref="J22:K22"/>
    <mergeCell ref="J23:K23"/>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6"/>
  <sheetViews>
    <sheetView zoomScaleNormal="100" workbookViewId="0">
      <pane xSplit="2" ySplit="3" topLeftCell="L4" activePane="bottomRight" state="frozen"/>
      <selection pane="topRight" activeCell="C1" sqref="C1"/>
      <selection pane="bottomLeft" activeCell="A4" sqref="A4"/>
      <selection pane="bottomRight" activeCell="B43" sqref="B43"/>
    </sheetView>
  </sheetViews>
  <sheetFormatPr defaultRowHeight="15" x14ac:dyDescent="0.25"/>
  <cols>
    <col min="1" max="1" width="11" customWidth="1"/>
    <col min="2" max="2" width="39.28515625" bestFit="1" customWidth="1"/>
    <col min="3" max="26" width="12.28515625" customWidth="1"/>
    <col min="27" max="27" width="10.42578125" bestFit="1" customWidth="1"/>
  </cols>
  <sheetData>
    <row r="1" spans="1:27" x14ac:dyDescent="0.25">
      <c r="A1" t="s">
        <v>125</v>
      </c>
      <c r="C1" s="107">
        <v>1</v>
      </c>
      <c r="D1" s="73">
        <v>0</v>
      </c>
      <c r="E1" s="107">
        <v>1</v>
      </c>
      <c r="F1" s="73">
        <v>0</v>
      </c>
      <c r="G1" s="107">
        <v>1</v>
      </c>
      <c r="H1" s="73">
        <v>0</v>
      </c>
      <c r="I1" s="107">
        <v>1</v>
      </c>
      <c r="J1" s="73">
        <v>0</v>
      </c>
      <c r="K1" s="107">
        <v>1</v>
      </c>
      <c r="L1" s="73">
        <v>0</v>
      </c>
      <c r="M1" s="107">
        <v>1</v>
      </c>
      <c r="N1" s="73">
        <v>0</v>
      </c>
      <c r="O1" s="107">
        <v>1</v>
      </c>
      <c r="P1" s="73">
        <v>0</v>
      </c>
      <c r="Q1" s="107">
        <v>1</v>
      </c>
      <c r="R1" s="73">
        <v>0</v>
      </c>
      <c r="S1" s="107">
        <v>1</v>
      </c>
      <c r="T1" s="73">
        <v>0</v>
      </c>
      <c r="U1" s="107">
        <v>1</v>
      </c>
      <c r="V1" s="73">
        <v>0</v>
      </c>
      <c r="W1" s="107">
        <v>1</v>
      </c>
      <c r="X1" s="73">
        <v>0</v>
      </c>
      <c r="Y1" s="107">
        <v>1</v>
      </c>
      <c r="Z1" s="73">
        <v>0</v>
      </c>
    </row>
    <row r="2" spans="1:27" s="1" customFormat="1" ht="21" x14ac:dyDescent="0.25">
      <c r="A2" s="1">
        <v>24</v>
      </c>
      <c r="C2" s="255" t="s">
        <v>21</v>
      </c>
      <c r="D2" s="256"/>
      <c r="E2" s="255" t="s">
        <v>22</v>
      </c>
      <c r="F2" s="256"/>
      <c r="G2" s="255" t="s">
        <v>23</v>
      </c>
      <c r="H2" s="256"/>
      <c r="I2" s="255" t="s">
        <v>24</v>
      </c>
      <c r="J2" s="256"/>
      <c r="K2" s="255" t="s">
        <v>25</v>
      </c>
      <c r="L2" s="256"/>
      <c r="M2" s="255" t="s">
        <v>26</v>
      </c>
      <c r="N2" s="256"/>
      <c r="O2" s="255" t="s">
        <v>27</v>
      </c>
      <c r="P2" s="256"/>
      <c r="Q2" s="255" t="s">
        <v>28</v>
      </c>
      <c r="R2" s="256"/>
      <c r="S2" s="255" t="s">
        <v>29</v>
      </c>
      <c r="T2" s="256"/>
      <c r="U2" s="255" t="s">
        <v>30</v>
      </c>
      <c r="V2" s="256"/>
      <c r="W2" s="255" t="s">
        <v>31</v>
      </c>
      <c r="X2" s="256"/>
      <c r="Y2" s="255" t="s">
        <v>32</v>
      </c>
      <c r="Z2" s="256"/>
    </row>
    <row r="3" spans="1:27" s="1" customFormat="1" ht="15.75" thickBot="1" x14ac:dyDescent="0.3">
      <c r="C3" s="108">
        <v>1</v>
      </c>
      <c r="D3" s="109">
        <v>2</v>
      </c>
      <c r="E3" s="108">
        <v>3</v>
      </c>
      <c r="F3" s="109">
        <v>4</v>
      </c>
      <c r="G3" s="108">
        <v>5</v>
      </c>
      <c r="H3" s="109">
        <v>6</v>
      </c>
      <c r="I3" s="108">
        <v>7</v>
      </c>
      <c r="J3" s="109">
        <v>8</v>
      </c>
      <c r="K3" s="108">
        <v>9</v>
      </c>
      <c r="L3" s="109">
        <v>10</v>
      </c>
      <c r="M3" s="108">
        <v>11</v>
      </c>
      <c r="N3" s="109">
        <v>12</v>
      </c>
      <c r="O3" s="108">
        <v>13</v>
      </c>
      <c r="P3" s="109">
        <v>14</v>
      </c>
      <c r="Q3" s="108">
        <v>15</v>
      </c>
      <c r="R3" s="109">
        <v>16</v>
      </c>
      <c r="S3" s="108">
        <v>17</v>
      </c>
      <c r="T3" s="109">
        <v>18</v>
      </c>
      <c r="U3" s="108">
        <v>19</v>
      </c>
      <c r="V3" s="109">
        <v>20</v>
      </c>
      <c r="W3" s="108">
        <v>21</v>
      </c>
      <c r="X3" s="109">
        <v>22</v>
      </c>
      <c r="Y3" s="108">
        <v>23</v>
      </c>
      <c r="Z3" s="109">
        <v>24</v>
      </c>
    </row>
    <row r="4" spans="1:27" ht="16.899999999999999" customHeight="1" x14ac:dyDescent="0.25">
      <c r="A4" s="257" t="s">
        <v>3</v>
      </c>
      <c r="B4" s="71" t="s">
        <v>0</v>
      </c>
      <c r="C4" s="110">
        <f>MRU.Staff.Constants!B3</f>
        <v>3780.71</v>
      </c>
      <c r="D4" s="77">
        <f>MRU.Staff.Constants!C3</f>
        <v>3780.71</v>
      </c>
      <c r="E4" s="110">
        <f>MRU.Staff.Constants!D3</f>
        <v>3780.71</v>
      </c>
      <c r="F4" s="77">
        <f>MRU.Staff.Constants!E3</f>
        <v>3780.71</v>
      </c>
      <c r="G4" s="136">
        <f>MRU.Staff.Constants!F3</f>
        <v>3970.5</v>
      </c>
      <c r="H4" s="77">
        <f>MRU.Staff.Constants!G3</f>
        <v>3970.5</v>
      </c>
      <c r="I4" s="110">
        <f>MRU.Staff.Constants!H3</f>
        <v>3970.5</v>
      </c>
      <c r="J4" s="77">
        <f>MRU.Staff.Constants!I3</f>
        <v>3970.5</v>
      </c>
      <c r="K4" s="110">
        <f>MRU.Staff.Constants!J3</f>
        <v>3970.5</v>
      </c>
      <c r="L4" s="77">
        <f>MRU.Staff.Constants!K3</f>
        <v>3970.5</v>
      </c>
      <c r="M4" s="110">
        <f>MRU.Staff.Constants!L3</f>
        <v>3970.5</v>
      </c>
      <c r="N4" s="77">
        <f>MRU.Staff.Constants!M3</f>
        <v>3970.5</v>
      </c>
      <c r="O4" s="110">
        <f>MRU.Staff.Constants!N3</f>
        <v>3970.5</v>
      </c>
      <c r="P4" s="77">
        <f>MRU.Staff.Constants!O3</f>
        <v>3970.5</v>
      </c>
      <c r="Q4" s="110">
        <f>MRU.Staff.Constants!P3</f>
        <v>3970.5</v>
      </c>
      <c r="R4" s="77">
        <f>MRU.Staff.Constants!Q3</f>
        <v>3970.5</v>
      </c>
      <c r="S4" s="110">
        <f>MRU.Staff.Constants!R3</f>
        <v>3970.5</v>
      </c>
      <c r="T4" s="77">
        <f>MRU.Staff.Constants!S3</f>
        <v>3970.5</v>
      </c>
      <c r="U4" s="110">
        <f>MRU.Staff.Constants!T3</f>
        <v>3970.5</v>
      </c>
      <c r="V4" s="77">
        <f>MRU.Staff.Constants!U3</f>
        <v>3970.5</v>
      </c>
      <c r="W4" s="110">
        <f>MRU.Staff.Constants!V3</f>
        <v>3970.5</v>
      </c>
      <c r="X4" s="77">
        <f>MRU.Staff.Constants!W3</f>
        <v>3970.5</v>
      </c>
      <c r="Y4" s="110">
        <f>MRU.Staff.Constants!X3</f>
        <v>3970.5</v>
      </c>
      <c r="Z4" s="77">
        <f>MRU.Staff.Constants!Y3</f>
        <v>3970.5</v>
      </c>
    </row>
    <row r="5" spans="1:27" ht="16.899999999999999" customHeight="1" x14ac:dyDescent="0.25">
      <c r="A5" s="258"/>
      <c r="B5" s="74" t="s">
        <v>1</v>
      </c>
      <c r="C5" s="111">
        <f>ROUND((LEC_HRS_PER_WK_WINT_J * MRU.Faculty.Constants!B3*MRU.Faculty.Constants!B8) + (TUT_HRS_PER_WK_WINT_J *MRU.Faculty.Constants!B3*MRU.Faculty.Constants!B8) + (LAB_HRS_PER_WK_WINT_J*MRU.Faculty.Constants!B4*MRU.Faculty.Constants!B9),2)</f>
        <v>463.52</v>
      </c>
      <c r="D5" s="79">
        <f>ROUND((LEC_HRS_PER_WK_WINT_J * MRU.Faculty.Constants!C3*MRU.Faculty.Constants!C8) + (TUT_HRS_PER_WK_WINT_J *MRU.Faculty.Constants!C3*MRU.Faculty.Constants!C8) + (LAB_HRS_PER_WK_WINT_J*MRU.Faculty.Constants!C4*MRU.Faculty.Constants!C9),2)</f>
        <v>463.52</v>
      </c>
      <c r="E5" s="111">
        <f>ROUND((LEC_HRS_PER_WK_WINT_J * MRU.Faculty.Constants!D3*MRU.Faculty.Constants!D8) + (TUT_HRS_PER_WK_WINT_J *MRU.Faculty.Constants!D3*MRU.Faculty.Constants!D8) + (LAB_HRS_PER_WK_WINT_J*MRU.Faculty.Constants!D4*MRU.Faculty.Constants!D9),2)</f>
        <v>463.52</v>
      </c>
      <c r="F5" s="79">
        <f>ROUND((LEC_HRS_PER_WK_WINT_J * MRU.Faculty.Constants!E3*MRU.Faculty.Constants!E8) + (TUT_HRS_PER_WK_WINT_J *MRU.Faculty.Constants!E3*MRU.Faculty.Constants!E8) + (LAB_HRS_PER_WK_WINT_J*MRU.Faculty.Constants!E4*MRU.Faculty.Constants!E9),2)</f>
        <v>463.52</v>
      </c>
      <c r="G5" s="111">
        <f>ROUND((LEC_HRS_PER_WK_WINT_J * MRU.Faculty.Constants!F3*MRU.Faculty.Constants!F8) + (TUT_HRS_PER_WK_WINT_J *MRU.Faculty.Constants!F3*MRU.Faculty.Constants!F8) + (LAB_HRS_PER_WK_WINT_J*MRU.Faculty.Constants!F4*MRU.Faculty.Constants!F9),2)</f>
        <v>463.52</v>
      </c>
      <c r="H5" s="79">
        <f>ROUND((LEC_HRS_PER_WK_WINT_J * MRU.Faculty.Constants!G3*MRU.Faculty.Constants!G8) + (TUT_HRS_PER_WK_WINT_J *MRU.Faculty.Constants!G3*MRU.Faculty.Constants!G8) + (LAB_HRS_PER_WK_WINT_J*MRU.Faculty.Constants!G4*MRU.Faculty.Constants!G9),2)</f>
        <v>463.52</v>
      </c>
      <c r="I5" s="111">
        <f>ROUND((LEC_HRS_PER_WK_WINT_J * MRU.Faculty.Constants!H3*MRU.Faculty.Constants!H8) + (TUT_HRS_PER_WK_WINT_J *MRU.Faculty.Constants!H3*MRU.Faculty.Constants!H8) + (LAB_HRS_PER_WK_WINT_J*MRU.Faculty.Constants!H4*MRU.Faculty.Constants!H9),2)</f>
        <v>463.52</v>
      </c>
      <c r="J5" s="79">
        <f>ROUND((LEC_HRS_PER_WK_WINT_J * MRU.Faculty.Constants!I3*MRU.Faculty.Constants!I8) + (TUT_HRS_PER_WK_WINT_J *MRU.Faculty.Constants!I3*MRU.Faculty.Constants!I8) + (LAB_HRS_PER_WK_WINT_J*MRU.Faculty.Constants!I4*MRU.Faculty.Constants!I9),2)</f>
        <v>463.52</v>
      </c>
      <c r="K5" s="137">
        <v>463.52</v>
      </c>
      <c r="L5" s="78">
        <f>ROUND((LEC_HRS_PER_WK_SPR_J * MRU.Faculty.Constants!K3*MRU.Faculty.Constants!K8) + (TUT_HRS_PER_WK_SPR_J *MRU.Faculty.Constants!K3*MRU.Faculty.Constants!K8) + (TUT_HRS_PER_WK_SPR_J*MRU.Faculty.Constants!K4*MRU.Faculty.Constants!K9),2)</f>
        <v>0</v>
      </c>
      <c r="M5" s="125">
        <f>ROUND((LEC_HRS_PER_WK_SPR_J * MRU.Faculty.Constants!L3*MRU.Faculty.Constants!L8) + (TUT_HRS_PER_WK_SPR_J *MRU.Faculty.Constants!L3*MRU.Faculty.Constants!L8) + (TUT_HRS_PER_WK_SPR_J*MRU.Faculty.Constants!L4*MRU.Faculty.Constants!L9),2)</f>
        <v>0</v>
      </c>
      <c r="N5" s="78">
        <f>ROUND((LEC_HRS_PER_WK_SPR_J * MRU.Faculty.Constants!M3*MRU.Faculty.Constants!M8) + (TUT_HRS_PER_WK_SPR_J *MRU.Faculty.Constants!M3*MRU.Faculty.Constants!M8) + (TUT_HRS_PER_WK_SPR_J*MRU.Faculty.Constants!M4*MRU.Faculty.Constants!M9),2)</f>
        <v>0</v>
      </c>
      <c r="O5" s="125">
        <v>0</v>
      </c>
      <c r="P5" s="78">
        <v>0</v>
      </c>
      <c r="Q5" s="125">
        <v>0</v>
      </c>
      <c r="R5" s="78">
        <v>0</v>
      </c>
      <c r="S5" s="125">
        <f>ROUND((LEC_HRS_PER_WK_FALL_J * MRU.Faculty.Constants!R3*MRU.Faculty.Constants!R8) + (TUT_HRS_PER_WK_FALL_J *MRU.Faculty.Constants!R3*MRU.Faculty.Constants!R8) + (LAB_HRS_PER_WK_FALL_J*MRU.Faculty.Constants!R4*MRU.Faculty.Constants!R9),2)</f>
        <v>1284.96</v>
      </c>
      <c r="T5" s="78">
        <f>ROUND((LEC_HRS_PER_WK_FALL_J * MRU.Faculty.Constants!S3*MRU.Faculty.Constants!S8) + (TUT_HRS_PER_WK_FALL_J *MRU.Faculty.Constants!S3*MRU.Faculty.Constants!S8) + (LAB_HRS_PER_WK_FALL_J*MRU.Faculty.Constants!S4*MRU.Faculty.Constants!S9),2)</f>
        <v>1284.96</v>
      </c>
      <c r="U5" s="125">
        <f>ROUND((LEC_HRS_PER_WK_FALL_J * MRU.Faculty.Constants!T3*MRU.Faculty.Constants!T8) + (TUT_HRS_PER_WK_FALL_J *MRU.Faculty.Constants!T3*MRU.Faculty.Constants!T8) + (LAB_HRS_PER_WK_FALL_J*MRU.Faculty.Constants!T4*MRU.Faculty.Constants!T9),2)</f>
        <v>1284.96</v>
      </c>
      <c r="V5" s="78">
        <f>ROUND((LEC_HRS_PER_WK_FALL_J * MRU.Faculty.Constants!U3*MRU.Faculty.Constants!U8) + (TUT_HRS_PER_WK_FALL_J *MRU.Faculty.Constants!U3*MRU.Faculty.Constants!U8) + (LAB_HRS_PER_WK_FALL_J*MRU.Faculty.Constants!U4*MRU.Faculty.Constants!U9),2)</f>
        <v>1284.96</v>
      </c>
      <c r="W5" s="125">
        <f>ROUND((LEC_HRS_PER_WK_FALL_J * MRU.Faculty.Constants!V3*MRU.Faculty.Constants!V8) + (TUT_HRS_PER_WK_FALL_J *MRU.Faculty.Constants!V3*MRU.Faculty.Constants!V8) + (LAB_HRS_PER_WK_FALL_J*MRU.Faculty.Constants!V4*MRU.Faculty.Constants!V9),2)</f>
        <v>1284.96</v>
      </c>
      <c r="X5" s="78">
        <f>ROUND((LEC_HRS_PER_WK_FALL_J * MRU.Faculty.Constants!W3*MRU.Faculty.Constants!W8) + (TUT_HRS_PER_WK_FALL_J *MRU.Faculty.Constants!W3*MRU.Faculty.Constants!W8) + (LAB_HRS_PER_WK_FALL_J*MRU.Faculty.Constants!W4*MRU.Faculty.Constants!W9),2)</f>
        <v>1284.96</v>
      </c>
      <c r="Y5" s="125">
        <f>ROUND((LEC_HRS_PER_WK_FALL_J * MRU.Faculty.Constants!X3*MRU.Faculty.Constants!X8) + (TUT_HRS_PER_WK_FALL_J *MRU.Faculty.Constants!X3*MRU.Faculty.Constants!X8) + (LAB_HRS_PER_WK_FALL_J*MRU.Faculty.Constants!X4*MRU.Faculty.Constants!X9),2)</f>
        <v>1284.96</v>
      </c>
      <c r="Z5" s="78">
        <f>ROUND((LEC_HRS_PER_WK_FALL_J * MRU.Faculty.Constants!Y3*MRU.Faculty.Constants!Y8) + (TUT_HRS_PER_WK_FALL_J *MRU.Faculty.Constants!Y3*MRU.Faculty.Constants!Y8) + (LAB_HRS_PER_WK_FALL_J*MRU.Faculty.Constants!Y4*MRU.Faculty.Constants!Y9),2)</f>
        <v>1284.96</v>
      </c>
    </row>
    <row r="6" spans="1:27" ht="16.899999999999999" customHeight="1" x14ac:dyDescent="0.25">
      <c r="A6" s="258"/>
      <c r="B6" s="74" t="s">
        <v>2</v>
      </c>
      <c r="C6" s="111">
        <f>ROUND(C5*MRU.Faculty.Constants!B7,2)</f>
        <v>37.08</v>
      </c>
      <c r="D6" s="79">
        <f>ROUND(D5*MRU.Faculty.Constants!C7,2)</f>
        <v>37.08</v>
      </c>
      <c r="E6" s="111">
        <f>ROUND(E5*MRU.Faculty.Constants!D7,2)</f>
        <v>37.08</v>
      </c>
      <c r="F6" s="79">
        <f>ROUND(F5*MRU.Faculty.Constants!E7,2)</f>
        <v>37.08</v>
      </c>
      <c r="G6" s="111">
        <f>ROUND(G5*MRU.Faculty.Constants!F7,2)</f>
        <v>37.08</v>
      </c>
      <c r="H6" s="79">
        <f>ROUND(H5*MRU.Faculty.Constants!G7,2)</f>
        <v>37.08</v>
      </c>
      <c r="I6" s="111">
        <f>ROUND(I5*MRU.Faculty.Constants!H7,2)</f>
        <v>37.08</v>
      </c>
      <c r="J6" s="79">
        <f>ROUND(J5*MRU.Faculty.Constants!I7,2)</f>
        <v>37.08</v>
      </c>
      <c r="K6" s="134">
        <v>37.090000000000003</v>
      </c>
      <c r="L6" s="79">
        <f>ROUND(L5*MRU.Faculty.Constants!K7,2)</f>
        <v>0</v>
      </c>
      <c r="M6" s="111">
        <f>ROUND(M5*MRU.Faculty.Constants!L7,2)</f>
        <v>0</v>
      </c>
      <c r="N6" s="79">
        <f>ROUND(N5*MRU.Faculty.Constants!M7,2)</f>
        <v>0</v>
      </c>
      <c r="O6" s="111">
        <f>ROUND(O5*MRU.Faculty.Constants!N7,2)</f>
        <v>0</v>
      </c>
      <c r="P6" s="79">
        <f>ROUND(P5*MRU.Faculty.Constants!O7,2)</f>
        <v>0</v>
      </c>
      <c r="Q6" s="111">
        <f>ROUND(Q5*MRU.Faculty.Constants!P7,2)</f>
        <v>0</v>
      </c>
      <c r="R6" s="79">
        <f>ROUND(R5*MRU.Faculty.Constants!Q7,2)</f>
        <v>0</v>
      </c>
      <c r="S6" s="111">
        <f>ROUND(S5*MRU.Faculty.Constants!R7,2)</f>
        <v>102.8</v>
      </c>
      <c r="T6" s="79">
        <f>ROUND(T5*MRU.Faculty.Constants!S7,2)</f>
        <v>102.8</v>
      </c>
      <c r="U6" s="111">
        <f>ROUND(U5*MRU.Faculty.Constants!T7,2)</f>
        <v>102.8</v>
      </c>
      <c r="V6" s="79">
        <f>ROUND(V5*MRU.Faculty.Constants!U7,2)</f>
        <v>102.8</v>
      </c>
      <c r="W6" s="111">
        <f>ROUND(W5*MRU.Faculty.Constants!V7,2)</f>
        <v>102.8</v>
      </c>
      <c r="X6" s="79">
        <f>ROUND(X5*MRU.Faculty.Constants!W7,2)</f>
        <v>102.8</v>
      </c>
      <c r="Y6" s="111">
        <f>ROUND(Y5*MRU.Faculty.Constants!X7,2)</f>
        <v>102.8</v>
      </c>
      <c r="Z6" s="79">
        <f>ROUND(Z5*MRU.Faculty.Constants!Y7,2)</f>
        <v>102.8</v>
      </c>
    </row>
    <row r="7" spans="1:27" ht="16.899999999999999" customHeight="1" x14ac:dyDescent="0.25">
      <c r="A7" s="258"/>
      <c r="B7" s="80" t="s">
        <v>58</v>
      </c>
      <c r="C7" s="134">
        <v>-250.3</v>
      </c>
      <c r="D7" s="135">
        <v>250.32</v>
      </c>
      <c r="E7" s="111">
        <v>0.01</v>
      </c>
      <c r="F7" s="79">
        <v>0.01</v>
      </c>
      <c r="G7" s="111">
        <v>0.01</v>
      </c>
      <c r="H7" s="79">
        <v>0.01</v>
      </c>
      <c r="I7" s="111">
        <v>0.01</v>
      </c>
      <c r="J7" s="79">
        <v>0.01</v>
      </c>
      <c r="K7" s="111">
        <v>0</v>
      </c>
      <c r="L7" s="79">
        <v>0</v>
      </c>
      <c r="M7" s="111">
        <v>0</v>
      </c>
      <c r="N7" s="79">
        <v>0</v>
      </c>
      <c r="O7" s="111">
        <v>0</v>
      </c>
      <c r="P7" s="79">
        <v>0</v>
      </c>
      <c r="Q7" s="111">
        <v>0</v>
      </c>
      <c r="R7" s="79">
        <v>0</v>
      </c>
      <c r="S7" s="111">
        <v>0</v>
      </c>
      <c r="T7" s="79">
        <v>0</v>
      </c>
      <c r="U7" s="111">
        <v>0</v>
      </c>
      <c r="V7" s="79">
        <v>0</v>
      </c>
      <c r="W7" s="111">
        <v>0</v>
      </c>
      <c r="X7" s="79">
        <v>0</v>
      </c>
      <c r="Y7" s="111">
        <v>0</v>
      </c>
      <c r="Z7" s="79">
        <v>0</v>
      </c>
    </row>
    <row r="8" spans="1:27" ht="16.899999999999999" customHeight="1" thickBot="1" x14ac:dyDescent="0.3">
      <c r="A8" s="259"/>
      <c r="B8" s="100"/>
      <c r="C8" s="112">
        <f>SUM(C4:C7)</f>
        <v>4031.0099999999993</v>
      </c>
      <c r="D8" s="102">
        <f t="shared" ref="D8:Z8" si="0">SUM(D4:D7)</f>
        <v>4531.6299999999992</v>
      </c>
      <c r="E8" s="112">
        <f t="shared" si="0"/>
        <v>4281.32</v>
      </c>
      <c r="F8" s="102">
        <f t="shared" si="0"/>
        <v>4281.32</v>
      </c>
      <c r="G8" s="112">
        <f t="shared" si="0"/>
        <v>4471.1100000000006</v>
      </c>
      <c r="H8" s="102">
        <f t="shared" si="0"/>
        <v>4471.1100000000006</v>
      </c>
      <c r="I8" s="112">
        <f t="shared" si="0"/>
        <v>4471.1100000000006</v>
      </c>
      <c r="J8" s="102">
        <f t="shared" si="0"/>
        <v>4471.1100000000006</v>
      </c>
      <c r="K8" s="112">
        <f t="shared" si="0"/>
        <v>4471.1100000000006</v>
      </c>
      <c r="L8" s="102">
        <f t="shared" si="0"/>
        <v>3970.5</v>
      </c>
      <c r="M8" s="112">
        <f t="shared" si="0"/>
        <v>3970.5</v>
      </c>
      <c r="N8" s="102">
        <f t="shared" si="0"/>
        <v>3970.5</v>
      </c>
      <c r="O8" s="112">
        <f t="shared" si="0"/>
        <v>3970.5</v>
      </c>
      <c r="P8" s="102">
        <f t="shared" si="0"/>
        <v>3970.5</v>
      </c>
      <c r="Q8" s="112">
        <f t="shared" si="0"/>
        <v>3970.5</v>
      </c>
      <c r="R8" s="102">
        <f t="shared" si="0"/>
        <v>3970.5</v>
      </c>
      <c r="S8" s="112">
        <f t="shared" si="0"/>
        <v>5358.26</v>
      </c>
      <c r="T8" s="102">
        <f t="shared" si="0"/>
        <v>5358.26</v>
      </c>
      <c r="U8" s="112">
        <f t="shared" si="0"/>
        <v>5358.26</v>
      </c>
      <c r="V8" s="102">
        <f t="shared" si="0"/>
        <v>5358.26</v>
      </c>
      <c r="W8" s="112">
        <f t="shared" si="0"/>
        <v>5358.26</v>
      </c>
      <c r="X8" s="102">
        <f t="shared" si="0"/>
        <v>5358.26</v>
      </c>
      <c r="Y8" s="112">
        <f t="shared" si="0"/>
        <v>5358.26</v>
      </c>
      <c r="Z8" s="102">
        <f t="shared" si="0"/>
        <v>5358.26</v>
      </c>
      <c r="AA8" s="3">
        <f>SUM(C8:Z8)</f>
        <v>110140.40999999996</v>
      </c>
    </row>
    <row r="9" spans="1:27" ht="16.899999999999999" hidden="1" customHeight="1" x14ac:dyDescent="0.25">
      <c r="A9" s="29"/>
      <c r="B9" s="30" t="s">
        <v>105</v>
      </c>
      <c r="C9" s="113">
        <f>ROUND(MRU.Staff.Constants!B4 * MRU.Staff.Constants!B5,2)</f>
        <v>5745.67</v>
      </c>
      <c r="D9" s="86">
        <f>ROUND(MRU.Staff.Constants!C4 * MRU.Staff.Constants!C5,2)</f>
        <v>5745.67</v>
      </c>
      <c r="E9" s="113">
        <f>ROUND(MRU.Staff.Constants!D4 * MRU.Staff.Constants!D5,2)</f>
        <v>5745.67</v>
      </c>
      <c r="F9" s="86">
        <f>ROUND(MRU.Staff.Constants!E4 * MRU.Staff.Constants!E5,2)</f>
        <v>5745.67</v>
      </c>
      <c r="G9" s="113">
        <f>ROUND(MRU.Staff.Constants!F4 * MRU.Staff.Constants!F5,2)</f>
        <v>5745.67</v>
      </c>
      <c r="H9" s="86">
        <f>ROUND(MRU.Staff.Constants!G4 * MRU.Staff.Constants!G5,2)</f>
        <v>5745.67</v>
      </c>
      <c r="I9" s="113">
        <f>ROUND(MRU.Staff.Constants!H4 * MRU.Staff.Constants!H5,2)</f>
        <v>5745.67</v>
      </c>
      <c r="J9" s="86">
        <f>ROUND(MRU.Staff.Constants!I4 * MRU.Staff.Constants!I5,2)</f>
        <v>5745.67</v>
      </c>
      <c r="K9" s="113">
        <f>ROUND(MRU.Staff.Constants!J4 * MRU.Staff.Constants!J5,2)</f>
        <v>5745.67</v>
      </c>
      <c r="L9" s="86">
        <f>ROUND(MRU.Staff.Constants!K4 * MRU.Staff.Constants!K5,2)</f>
        <v>5745.67</v>
      </c>
      <c r="M9" s="113">
        <f>ROUND(MRU.Staff.Constants!L4 * MRU.Staff.Constants!L5,2)</f>
        <v>5745.67</v>
      </c>
      <c r="N9" s="86">
        <f>ROUND(MRU.Staff.Constants!M4 * MRU.Staff.Constants!M5,2)</f>
        <v>5745.67</v>
      </c>
      <c r="O9" s="113">
        <f>ROUND(MRU.Staff.Constants!N4 * MRU.Staff.Constants!N5,2)</f>
        <v>5745.67</v>
      </c>
      <c r="P9" s="86">
        <f>ROUND(MRU.Staff.Constants!O4 * MRU.Staff.Constants!O5,2)</f>
        <v>5745.67</v>
      </c>
      <c r="Q9" s="113">
        <f>ROUND(MRU.Staff.Constants!P4 * MRU.Staff.Constants!P5,2)</f>
        <v>5745.67</v>
      </c>
      <c r="R9" s="86">
        <f>ROUND(MRU.Staff.Constants!Q4 * MRU.Staff.Constants!Q5,2)</f>
        <v>5745.67</v>
      </c>
      <c r="S9" s="113">
        <f>ROUND(MRU.Staff.Constants!R4 * MRU.Staff.Constants!R5,2)</f>
        <v>5745.67</v>
      </c>
      <c r="T9" s="86">
        <f>ROUND(MRU.Staff.Constants!S4 * MRU.Staff.Constants!S5,2)</f>
        <v>5745.67</v>
      </c>
      <c r="U9" s="113">
        <f>ROUND(MRU.Staff.Constants!T4 * MRU.Staff.Constants!T5,2)</f>
        <v>5745.67</v>
      </c>
      <c r="V9" s="86">
        <f>ROUND(MRU.Staff.Constants!U4 * MRU.Staff.Constants!U5,2)</f>
        <v>5745.67</v>
      </c>
      <c r="W9" s="113">
        <f>ROUND(MRU.Staff.Constants!V4 * MRU.Staff.Constants!V5,2)</f>
        <v>5745.67</v>
      </c>
      <c r="X9" s="86">
        <f>ROUND(MRU.Staff.Constants!W4 * MRU.Staff.Constants!W5,2)</f>
        <v>5745.67</v>
      </c>
      <c r="Y9" s="113">
        <f>ROUND(MRU.Staff.Constants!X4 * MRU.Staff.Constants!X5,2)</f>
        <v>5745.67</v>
      </c>
      <c r="Z9" s="86">
        <f>ROUND(MRU.Staff.Constants!Y4 * MRU.Staff.Constants!Y5,2)</f>
        <v>5745.67</v>
      </c>
    </row>
    <row r="10" spans="1:27" ht="16.899999999999999" hidden="1" customHeight="1" x14ac:dyDescent="0.25">
      <c r="A10" s="29"/>
      <c r="B10" s="30" t="s">
        <v>106</v>
      </c>
      <c r="C10" s="113">
        <f>ROUND((('MRU-J-Pay-Stub'!C4*MRU_J_R)-MRU.Staff.Constants!B4)*MRU.Staff.Constants!B6,2)</f>
        <v>5258.86</v>
      </c>
      <c r="D10" s="86">
        <f>ROUND((('MRU-J-Pay-Stub'!D4*MRU_J_R)-MRU.Staff.Constants!C4)*MRU.Staff.Constants!C6,2)</f>
        <v>5258.86</v>
      </c>
      <c r="E10" s="113">
        <f>ROUND((('MRU-J-Pay-Stub'!E4*MRU_J_R)-MRU.Staff.Constants!D4)*MRU.Staff.Constants!D6,2)</f>
        <v>5258.86</v>
      </c>
      <c r="F10" s="86">
        <f>ROUND((('MRU-J-Pay-Stub'!F4*MRU_J_R)-MRU.Staff.Constants!E4)*MRU.Staff.Constants!E6,2)</f>
        <v>5258.86</v>
      </c>
      <c r="G10" s="113">
        <f>ROUND((('MRU-J-Pay-Stub'!G4*MRU_J_R)-MRU.Staff.Constants!F4)*MRU.Staff.Constants!F6,2)</f>
        <v>5934.81</v>
      </c>
      <c r="H10" s="86">
        <f>ROUND((('MRU-J-Pay-Stub'!H4*MRU_J_R)-MRU.Staff.Constants!G4)*MRU.Staff.Constants!G6,2)</f>
        <v>5934.81</v>
      </c>
      <c r="I10" s="113">
        <f>ROUND((('MRU-J-Pay-Stub'!I4*MRU_J_R)-MRU.Staff.Constants!H4)*MRU.Staff.Constants!H6,2)</f>
        <v>5934.81</v>
      </c>
      <c r="J10" s="86">
        <f>ROUND((('MRU-J-Pay-Stub'!J4*MRU_J_R)-MRU.Staff.Constants!I4)*MRU.Staff.Constants!I6,2)</f>
        <v>5934.81</v>
      </c>
      <c r="K10" s="113">
        <f>ROUND((('MRU-J-Pay-Stub'!K4*MRU_J_R)-MRU.Staff.Constants!J4)*MRU.Staff.Constants!J6,2)</f>
        <v>5934.81</v>
      </c>
      <c r="L10" s="86">
        <f>ROUND((('MRU-J-Pay-Stub'!L4*MRU_J_R)-MRU.Staff.Constants!K4)*MRU.Staff.Constants!K6,2)</f>
        <v>5934.81</v>
      </c>
      <c r="M10" s="113">
        <f>ROUND((('MRU-J-Pay-Stub'!M4*MRU_J_R)-MRU.Staff.Constants!L4)*MRU.Staff.Constants!L6,2)</f>
        <v>5934.81</v>
      </c>
      <c r="N10" s="86">
        <f>ROUND((('MRU-J-Pay-Stub'!N4*MRU_J_R)-MRU.Staff.Constants!M4)*MRU.Staff.Constants!M6,2)</f>
        <v>5934.81</v>
      </c>
      <c r="O10" s="113">
        <f>ROUND((('MRU-J-Pay-Stub'!O4*MRU_J_R)-MRU.Staff.Constants!N4)*MRU.Staff.Constants!N6,2)</f>
        <v>5934.81</v>
      </c>
      <c r="P10" s="86">
        <f>ROUND((('MRU-J-Pay-Stub'!P4*MRU_J_R)-MRU.Staff.Constants!O4)*MRU.Staff.Constants!O6,2)</f>
        <v>5934.81</v>
      </c>
      <c r="Q10" s="113">
        <f>ROUND((('MRU-J-Pay-Stub'!Q4*MRU_J_R)-MRU.Staff.Constants!P4)*MRU.Staff.Constants!P6,2)</f>
        <v>5934.81</v>
      </c>
      <c r="R10" s="86">
        <f>ROUND((('MRU-J-Pay-Stub'!R4*MRU_J_R)-MRU.Staff.Constants!Q4)*MRU.Staff.Constants!Q6,2)</f>
        <v>5934.81</v>
      </c>
      <c r="S10" s="113">
        <f>ROUND((('MRU-J-Pay-Stub'!S4*MRU_J_R)-MRU.Staff.Constants!R4)*MRU.Staff.Constants!R6,2)</f>
        <v>5934.81</v>
      </c>
      <c r="T10" s="86">
        <f>ROUND((('MRU-J-Pay-Stub'!T4*MRU_J_R)-MRU.Staff.Constants!S4)*MRU.Staff.Constants!S6,2)</f>
        <v>5934.81</v>
      </c>
      <c r="U10" s="113">
        <f>ROUND((('MRU-J-Pay-Stub'!U4*MRU_J_R)-MRU.Staff.Constants!T4)*MRU.Staff.Constants!T6,2)</f>
        <v>5934.81</v>
      </c>
      <c r="V10" s="86">
        <f>ROUND((('MRU-J-Pay-Stub'!V4*MRU_J_R)-MRU.Staff.Constants!U4)*MRU.Staff.Constants!U6,2)</f>
        <v>5934.81</v>
      </c>
      <c r="W10" s="113">
        <f>ROUND((('MRU-J-Pay-Stub'!W4*MRU_J_R)-MRU.Staff.Constants!V4)*MRU.Staff.Constants!V6,2)</f>
        <v>5934.81</v>
      </c>
      <c r="X10" s="86">
        <f>ROUND((('MRU-J-Pay-Stub'!X4*MRU_J_R)-MRU.Staff.Constants!W4)*MRU.Staff.Constants!W6,2)</f>
        <v>5934.81</v>
      </c>
      <c r="Y10" s="113">
        <f>ROUND((('MRU-J-Pay-Stub'!Y4*MRU_J_R)-MRU.Staff.Constants!X4)*MRU.Staff.Constants!X6,2)</f>
        <v>5934.81</v>
      </c>
      <c r="Z10" s="86">
        <f>ROUND((('MRU-J-Pay-Stub'!Z4*MRU_J_R)-MRU.Staff.Constants!Y4)*MRU.Staff.Constants!Y6,2)</f>
        <v>5934.81</v>
      </c>
    </row>
    <row r="11" spans="1:27" ht="16.899999999999999" customHeight="1" x14ac:dyDescent="0.25">
      <c r="A11" s="260" t="s">
        <v>19</v>
      </c>
      <c r="B11" s="81" t="s">
        <v>6</v>
      </c>
      <c r="C11" s="114">
        <f t="shared" ref="C11:Z11" si="1">ROUND((C9+C10)/MRU_J_R,2)</f>
        <v>458.52</v>
      </c>
      <c r="D11" s="83">
        <f t="shared" si="1"/>
        <v>458.52</v>
      </c>
      <c r="E11" s="114">
        <f t="shared" si="1"/>
        <v>458.52</v>
      </c>
      <c r="F11" s="83">
        <f t="shared" si="1"/>
        <v>458.52</v>
      </c>
      <c r="G11" s="114">
        <f t="shared" si="1"/>
        <v>486.69</v>
      </c>
      <c r="H11" s="83">
        <f t="shared" si="1"/>
        <v>486.69</v>
      </c>
      <c r="I11" s="114">
        <f t="shared" si="1"/>
        <v>486.69</v>
      </c>
      <c r="J11" s="83">
        <f t="shared" si="1"/>
        <v>486.69</v>
      </c>
      <c r="K11" s="114">
        <f t="shared" si="1"/>
        <v>486.69</v>
      </c>
      <c r="L11" s="83">
        <f t="shared" si="1"/>
        <v>486.69</v>
      </c>
      <c r="M11" s="114">
        <f t="shared" si="1"/>
        <v>486.69</v>
      </c>
      <c r="N11" s="83">
        <f t="shared" si="1"/>
        <v>486.69</v>
      </c>
      <c r="O11" s="114">
        <f t="shared" si="1"/>
        <v>486.69</v>
      </c>
      <c r="P11" s="83">
        <f t="shared" si="1"/>
        <v>486.69</v>
      </c>
      <c r="Q11" s="114">
        <f t="shared" si="1"/>
        <v>486.69</v>
      </c>
      <c r="R11" s="83">
        <f t="shared" si="1"/>
        <v>486.69</v>
      </c>
      <c r="S11" s="114">
        <f t="shared" si="1"/>
        <v>486.69</v>
      </c>
      <c r="T11" s="83">
        <f t="shared" si="1"/>
        <v>486.69</v>
      </c>
      <c r="U11" s="114">
        <f t="shared" si="1"/>
        <v>486.69</v>
      </c>
      <c r="V11" s="83">
        <f t="shared" si="1"/>
        <v>486.69</v>
      </c>
      <c r="W11" s="114">
        <f t="shared" si="1"/>
        <v>486.69</v>
      </c>
      <c r="X11" s="83">
        <f t="shared" si="1"/>
        <v>486.69</v>
      </c>
      <c r="Y11" s="114">
        <f t="shared" si="1"/>
        <v>486.69</v>
      </c>
      <c r="Z11" s="83">
        <f t="shared" si="1"/>
        <v>486.69</v>
      </c>
      <c r="AA11" s="3">
        <f>SUM(C11:Z11)</f>
        <v>11567.88</v>
      </c>
    </row>
    <row r="12" spans="1:27" ht="16.899999999999999" customHeight="1" x14ac:dyDescent="0.25">
      <c r="A12" s="261"/>
      <c r="B12" s="84" t="s">
        <v>4</v>
      </c>
      <c r="C12" s="113">
        <f>MRU.Staff.Constants!B7</f>
        <v>17</v>
      </c>
      <c r="D12" s="86">
        <f>MRU.Staff.Constants!C7</f>
        <v>17</v>
      </c>
      <c r="E12" s="113">
        <f>MRU.Staff.Constants!D7</f>
        <v>17</v>
      </c>
      <c r="F12" s="86">
        <f>MRU.Staff.Constants!E7</f>
        <v>17</v>
      </c>
      <c r="G12" s="113">
        <f>MRU.Staff.Constants!F7</f>
        <v>17</v>
      </c>
      <c r="H12" s="86">
        <f>MRU.Staff.Constants!G7</f>
        <v>17</v>
      </c>
      <c r="I12" s="113">
        <f>MRU.Staff.Constants!H7</f>
        <v>17</v>
      </c>
      <c r="J12" s="86">
        <f>MRU.Staff.Constants!I7</f>
        <v>17</v>
      </c>
      <c r="K12" s="113">
        <f>MRU.Staff.Constants!J7</f>
        <v>17</v>
      </c>
      <c r="L12" s="86">
        <f>MRU.Staff.Constants!K7</f>
        <v>17</v>
      </c>
      <c r="M12" s="113">
        <f>MRU.Staff.Constants!L7</f>
        <v>17</v>
      </c>
      <c r="N12" s="86">
        <f>MRU.Staff.Constants!M7</f>
        <v>17</v>
      </c>
      <c r="O12" s="113">
        <f>MRU.Staff.Constants!N7</f>
        <v>17</v>
      </c>
      <c r="P12" s="86">
        <f>MRU.Staff.Constants!O7</f>
        <v>17</v>
      </c>
      <c r="Q12" s="113">
        <f>MRU.Staff.Constants!P7</f>
        <v>17</v>
      </c>
      <c r="R12" s="86">
        <f>MRU.Staff.Constants!Q7</f>
        <v>17</v>
      </c>
      <c r="S12" s="113">
        <f>MRU.Staff.Constants!R7</f>
        <v>17</v>
      </c>
      <c r="T12" s="86">
        <f>MRU.Staff.Constants!S7</f>
        <v>17</v>
      </c>
      <c r="U12" s="113">
        <f>MRU.Staff.Constants!T7</f>
        <v>17</v>
      </c>
      <c r="V12" s="86">
        <f>MRU.Staff.Constants!U7</f>
        <v>17</v>
      </c>
      <c r="W12" s="113">
        <f>MRU.Staff.Constants!V7</f>
        <v>17</v>
      </c>
      <c r="X12" s="86">
        <f>MRU.Staff.Constants!W7</f>
        <v>17</v>
      </c>
      <c r="Y12" s="113">
        <f>MRU.Staff.Constants!X7</f>
        <v>17</v>
      </c>
      <c r="Z12" s="86">
        <f>MRU.Staff.Constants!Y7</f>
        <v>17</v>
      </c>
      <c r="AA12" s="3">
        <f>SUM(C12:Z12)</f>
        <v>408</v>
      </c>
    </row>
    <row r="13" spans="1:27" ht="16.899999999999999" customHeight="1" x14ac:dyDescent="0.25">
      <c r="A13" s="261"/>
      <c r="B13" s="84" t="s">
        <v>5</v>
      </c>
      <c r="C13" s="134">
        <v>3.07</v>
      </c>
      <c r="D13" s="135">
        <v>7.51</v>
      </c>
      <c r="E13" s="113">
        <f>ROUND((E5+E6)*MRU.Faculty.Constants!D6,2)</f>
        <v>5.01</v>
      </c>
      <c r="F13" s="86">
        <f>ROUND((F5+F6)*MRU.Faculty.Constants!E6,2)</f>
        <v>5.01</v>
      </c>
      <c r="G13" s="113">
        <f>ROUND((G5+G6)*MRU.Faculty.Constants!F6,2)</f>
        <v>5.01</v>
      </c>
      <c r="H13" s="86">
        <f>ROUND((H5+H6)*MRU.Faculty.Constants!G6,2)</f>
        <v>5.01</v>
      </c>
      <c r="I13" s="113">
        <f>ROUND((I5+I6)*MRU.Faculty.Constants!H6,2)</f>
        <v>5.01</v>
      </c>
      <c r="J13" s="86">
        <f>ROUND((J5+J6)*MRU.Faculty.Constants!I6,2)</f>
        <v>5.01</v>
      </c>
      <c r="K13" s="113">
        <f>ROUND((K5+K6)*MRU.Faculty.Constants!J6,2)</f>
        <v>5.01</v>
      </c>
      <c r="L13" s="86">
        <f>ROUND((L5+L6)*MRU.Faculty.Constants!K6,2)</f>
        <v>0</v>
      </c>
      <c r="M13" s="113">
        <f>ROUND((M5+M6)*MRU.Faculty.Constants!L6,2)</f>
        <v>0</v>
      </c>
      <c r="N13" s="86">
        <f>ROUND((N5+N6)*MRU.Faculty.Constants!M6,2)</f>
        <v>0</v>
      </c>
      <c r="O13" s="113">
        <f>ROUND((O5+O6)*MRU.Faculty.Constants!N6,2)</f>
        <v>0</v>
      </c>
      <c r="P13" s="86">
        <f>ROUND((P5+P6)*MRU.Faculty.Constants!O6,2)</f>
        <v>0</v>
      </c>
      <c r="Q13" s="113">
        <f>ROUND((Q5+Q6)*MRU.Faculty.Constants!P6,2)</f>
        <v>0</v>
      </c>
      <c r="R13" s="86">
        <f>ROUND((R5+R6)*MRU.Faculty.Constants!Q6,2)</f>
        <v>0</v>
      </c>
      <c r="S13" s="113">
        <f>ROUND((S5+S6)*MRU.Faculty.Constants!R6,2)</f>
        <v>13.88</v>
      </c>
      <c r="T13" s="86">
        <f>ROUND((T5+T6)*MRU.Faculty.Constants!S6,2)</f>
        <v>13.88</v>
      </c>
      <c r="U13" s="113">
        <f>ROUND((U5+U6)*MRU.Faculty.Constants!T6,2)</f>
        <v>13.88</v>
      </c>
      <c r="V13" s="86">
        <f>ROUND((V5+V6)*MRU.Faculty.Constants!U6,2)</f>
        <v>13.88</v>
      </c>
      <c r="W13" s="113">
        <f>ROUND((W5+W6)*MRU.Faculty.Constants!V6,2)</f>
        <v>13.88</v>
      </c>
      <c r="X13" s="86">
        <f>ROUND((X5+X6)*MRU.Faculty.Constants!W6,2)</f>
        <v>13.88</v>
      </c>
      <c r="Y13" s="113">
        <f>ROUND((Y5+Y6)*MRU.Faculty.Constants!X6,2)</f>
        <v>13.88</v>
      </c>
      <c r="Z13" s="86">
        <f>ROUND((Z5+Z6)*MRU.Faculty.Constants!Y6,2)</f>
        <v>13.88</v>
      </c>
      <c r="AA13" s="3">
        <f>SUM(C13:Z13)</f>
        <v>156.68999999999997</v>
      </c>
    </row>
    <row r="14" spans="1:27" ht="16.899999999999999" hidden="1" customHeight="1" x14ac:dyDescent="0.25">
      <c r="A14" s="261"/>
      <c r="B14" s="84" t="s">
        <v>63</v>
      </c>
      <c r="C14" s="113">
        <v>0</v>
      </c>
      <c r="D14" s="86">
        <f t="shared" ref="D14:Z14" si="2">C14+C19</f>
        <v>194.56</v>
      </c>
      <c r="E14" s="113">
        <f t="shared" si="2"/>
        <v>411.65999999999997</v>
      </c>
      <c r="F14" s="86">
        <f t="shared" si="2"/>
        <v>618.6099999999999</v>
      </c>
      <c r="G14" s="113">
        <f t="shared" si="2"/>
        <v>823.31999999999994</v>
      </c>
      <c r="H14" s="86">
        <f t="shared" si="2"/>
        <v>1039.77</v>
      </c>
      <c r="I14" s="113">
        <f t="shared" si="2"/>
        <v>1253.8699999999999</v>
      </c>
      <c r="J14" s="86">
        <f t="shared" si="2"/>
        <v>1470.32</v>
      </c>
      <c r="K14" s="113">
        <f t="shared" si="2"/>
        <v>1684.4199999999998</v>
      </c>
      <c r="L14" s="86">
        <f t="shared" si="2"/>
        <v>1900.87</v>
      </c>
      <c r="M14" s="113">
        <f t="shared" si="2"/>
        <v>2090.19</v>
      </c>
      <c r="N14" s="86">
        <f t="shared" si="2"/>
        <v>2281.86</v>
      </c>
      <c r="O14" s="113">
        <f t="shared" si="2"/>
        <v>2471.1800000000003</v>
      </c>
      <c r="P14" s="86">
        <f t="shared" si="2"/>
        <v>2564.1000000000004</v>
      </c>
      <c r="Q14" s="113">
        <f t="shared" si="2"/>
        <v>2564.1000000000004</v>
      </c>
      <c r="R14" s="86">
        <f t="shared" si="2"/>
        <v>2564.1000000000004</v>
      </c>
      <c r="S14" s="113">
        <f t="shared" si="2"/>
        <v>2564.1000000000004</v>
      </c>
      <c r="T14" s="86">
        <f t="shared" si="2"/>
        <v>2564.1000000000004</v>
      </c>
      <c r="U14" s="113">
        <f t="shared" si="2"/>
        <v>2564.1000000000004</v>
      </c>
      <c r="V14" s="86">
        <f t="shared" si="2"/>
        <v>2564.1000000000004</v>
      </c>
      <c r="W14" s="113">
        <f t="shared" si="2"/>
        <v>2564.1000000000004</v>
      </c>
      <c r="X14" s="86">
        <f t="shared" si="2"/>
        <v>2564.1000000000004</v>
      </c>
      <c r="Y14" s="113">
        <f t="shared" si="2"/>
        <v>2564.1000000000004</v>
      </c>
      <c r="Z14" s="86">
        <f t="shared" si="2"/>
        <v>2564.1000000000004</v>
      </c>
    </row>
    <row r="15" spans="1:27" ht="16.899999999999999" hidden="1" customHeight="1" x14ac:dyDescent="0.25">
      <c r="A15" s="261"/>
      <c r="B15" s="84" t="s">
        <v>66</v>
      </c>
      <c r="C15" s="113">
        <f t="shared" ref="C15:Z15" si="3">C8+C51</f>
        <v>4076.3279999999995</v>
      </c>
      <c r="D15" s="86">
        <f t="shared" si="3"/>
        <v>4531.6299999999992</v>
      </c>
      <c r="E15" s="113">
        <f t="shared" si="3"/>
        <v>4326.6379999999999</v>
      </c>
      <c r="F15" s="86">
        <f t="shared" si="3"/>
        <v>4281.32</v>
      </c>
      <c r="G15" s="113">
        <f t="shared" si="3"/>
        <v>4518.5860000000002</v>
      </c>
      <c r="H15" s="86">
        <f t="shared" si="3"/>
        <v>4471.1100000000006</v>
      </c>
      <c r="I15" s="113">
        <f t="shared" si="3"/>
        <v>4518.5860000000002</v>
      </c>
      <c r="J15" s="86">
        <f t="shared" si="3"/>
        <v>4471.1100000000006</v>
      </c>
      <c r="K15" s="113">
        <f t="shared" si="3"/>
        <v>4518.5860000000002</v>
      </c>
      <c r="L15" s="86">
        <f t="shared" si="3"/>
        <v>3970.5</v>
      </c>
      <c r="M15" s="113">
        <f t="shared" si="3"/>
        <v>4017.9760000000001</v>
      </c>
      <c r="N15" s="86">
        <f t="shared" si="3"/>
        <v>3970.5</v>
      </c>
      <c r="O15" s="113">
        <f t="shared" si="3"/>
        <v>4017.9760000000001</v>
      </c>
      <c r="P15" s="86">
        <f t="shared" si="3"/>
        <v>3970.5</v>
      </c>
      <c r="Q15" s="113">
        <f t="shared" si="3"/>
        <v>4017.9760000000001</v>
      </c>
      <c r="R15" s="86">
        <f t="shared" si="3"/>
        <v>3970.5</v>
      </c>
      <c r="S15" s="113">
        <f t="shared" si="3"/>
        <v>5405.7359999999999</v>
      </c>
      <c r="T15" s="86">
        <f t="shared" si="3"/>
        <v>5358.26</v>
      </c>
      <c r="U15" s="113">
        <f t="shared" si="3"/>
        <v>5405.7359999999999</v>
      </c>
      <c r="V15" s="86">
        <f t="shared" si="3"/>
        <v>5358.26</v>
      </c>
      <c r="W15" s="113">
        <f t="shared" si="3"/>
        <v>5405.7359999999999</v>
      </c>
      <c r="X15" s="86">
        <f t="shared" si="3"/>
        <v>5358.26</v>
      </c>
      <c r="Y15" s="113">
        <f t="shared" si="3"/>
        <v>5405.7359999999999</v>
      </c>
      <c r="Z15" s="86">
        <f t="shared" si="3"/>
        <v>5358.26</v>
      </c>
    </row>
    <row r="16" spans="1:27" ht="16.899999999999999" hidden="1" customHeight="1" x14ac:dyDescent="0.25">
      <c r="A16" s="261"/>
      <c r="B16" s="84" t="s">
        <v>64</v>
      </c>
      <c r="C16" s="113">
        <f t="shared" ref="C16:Z16" si="4">MAX_ANNUAL_CPP-C14</f>
        <v>2564.1</v>
      </c>
      <c r="D16" s="86">
        <f t="shared" si="4"/>
        <v>2369.54</v>
      </c>
      <c r="E16" s="113">
        <f t="shared" si="4"/>
        <v>2152.44</v>
      </c>
      <c r="F16" s="86">
        <f t="shared" si="4"/>
        <v>1945.49</v>
      </c>
      <c r="G16" s="113">
        <f t="shared" si="4"/>
        <v>1740.78</v>
      </c>
      <c r="H16" s="86">
        <f t="shared" si="4"/>
        <v>1524.33</v>
      </c>
      <c r="I16" s="113">
        <f t="shared" si="4"/>
        <v>1310.23</v>
      </c>
      <c r="J16" s="86">
        <f t="shared" si="4"/>
        <v>1093.78</v>
      </c>
      <c r="K16" s="113">
        <f t="shared" si="4"/>
        <v>879.68000000000006</v>
      </c>
      <c r="L16" s="86">
        <f t="shared" si="4"/>
        <v>663.23</v>
      </c>
      <c r="M16" s="113">
        <f t="shared" si="4"/>
        <v>473.90999999999985</v>
      </c>
      <c r="N16" s="86">
        <f t="shared" si="4"/>
        <v>282.23999999999978</v>
      </c>
      <c r="O16" s="113">
        <f t="shared" si="4"/>
        <v>92.919999999999618</v>
      </c>
      <c r="P16" s="86">
        <f t="shared" si="4"/>
        <v>0</v>
      </c>
      <c r="Q16" s="113">
        <f t="shared" si="4"/>
        <v>0</v>
      </c>
      <c r="R16" s="86">
        <f t="shared" si="4"/>
        <v>0</v>
      </c>
      <c r="S16" s="113">
        <f t="shared" si="4"/>
        <v>0</v>
      </c>
      <c r="T16" s="86">
        <f t="shared" si="4"/>
        <v>0</v>
      </c>
      <c r="U16" s="113">
        <f t="shared" si="4"/>
        <v>0</v>
      </c>
      <c r="V16" s="86">
        <f t="shared" si="4"/>
        <v>0</v>
      </c>
      <c r="W16" s="113">
        <f t="shared" si="4"/>
        <v>0</v>
      </c>
      <c r="X16" s="86">
        <f t="shared" si="4"/>
        <v>0</v>
      </c>
      <c r="Y16" s="113">
        <f t="shared" si="4"/>
        <v>0</v>
      </c>
      <c r="Z16" s="86">
        <f t="shared" si="4"/>
        <v>0</v>
      </c>
    </row>
    <row r="17" spans="1:27" ht="16.899999999999999" hidden="1" customHeight="1" x14ac:dyDescent="0.25">
      <c r="A17" s="261"/>
      <c r="B17" s="84" t="s">
        <v>65</v>
      </c>
      <c r="C17" s="113">
        <f t="shared" ref="C17:Z17" si="5">CPP_RATE * (C15 - (3500 / MRU_J_R) )</f>
        <v>194.55948599999996</v>
      </c>
      <c r="D17" s="86">
        <f t="shared" si="5"/>
        <v>217.09693499999997</v>
      </c>
      <c r="E17" s="113">
        <f t="shared" si="5"/>
        <v>206.94983100000002</v>
      </c>
      <c r="F17" s="86">
        <f t="shared" si="5"/>
        <v>204.70659000000001</v>
      </c>
      <c r="G17" s="113">
        <f t="shared" si="5"/>
        <v>216.45125700000003</v>
      </c>
      <c r="H17" s="86">
        <f t="shared" si="5"/>
        <v>214.10119500000005</v>
      </c>
      <c r="I17" s="113">
        <f t="shared" si="5"/>
        <v>216.45125700000003</v>
      </c>
      <c r="J17" s="86">
        <f t="shared" si="5"/>
        <v>214.10119500000005</v>
      </c>
      <c r="K17" s="113">
        <f t="shared" si="5"/>
        <v>216.45125700000003</v>
      </c>
      <c r="L17" s="86">
        <f t="shared" si="5"/>
        <v>189.321</v>
      </c>
      <c r="M17" s="113">
        <f t="shared" si="5"/>
        <v>191.67106200000001</v>
      </c>
      <c r="N17" s="86">
        <f t="shared" si="5"/>
        <v>189.321</v>
      </c>
      <c r="O17" s="113">
        <f t="shared" si="5"/>
        <v>191.67106200000001</v>
      </c>
      <c r="P17" s="86">
        <f t="shared" si="5"/>
        <v>189.321</v>
      </c>
      <c r="Q17" s="113">
        <f t="shared" si="5"/>
        <v>191.67106200000001</v>
      </c>
      <c r="R17" s="86">
        <f t="shared" si="5"/>
        <v>189.321</v>
      </c>
      <c r="S17" s="113">
        <f t="shared" si="5"/>
        <v>260.365182</v>
      </c>
      <c r="T17" s="86">
        <f t="shared" si="5"/>
        <v>258.01512000000002</v>
      </c>
      <c r="U17" s="113">
        <f t="shared" si="5"/>
        <v>260.365182</v>
      </c>
      <c r="V17" s="86">
        <f t="shared" si="5"/>
        <v>258.01512000000002</v>
      </c>
      <c r="W17" s="113">
        <f t="shared" si="5"/>
        <v>260.365182</v>
      </c>
      <c r="X17" s="86">
        <f t="shared" si="5"/>
        <v>258.01512000000002</v>
      </c>
      <c r="Y17" s="113">
        <f t="shared" si="5"/>
        <v>260.365182</v>
      </c>
      <c r="Z17" s="86">
        <f t="shared" si="5"/>
        <v>258.01512000000002</v>
      </c>
    </row>
    <row r="18" spans="1:27" ht="16.899999999999999" hidden="1" customHeight="1" x14ac:dyDescent="0.25">
      <c r="A18" s="261"/>
      <c r="B18" s="84" t="s">
        <v>67</v>
      </c>
      <c r="C18" s="113">
        <f>MIN(C16,C17)</f>
        <v>194.55948599999996</v>
      </c>
      <c r="D18" s="86">
        <f t="shared" ref="D18:Z18" si="6">MIN(D16,D17)</f>
        <v>217.09693499999997</v>
      </c>
      <c r="E18" s="113">
        <f t="shared" si="6"/>
        <v>206.94983100000002</v>
      </c>
      <c r="F18" s="86">
        <f t="shared" si="6"/>
        <v>204.70659000000001</v>
      </c>
      <c r="G18" s="113">
        <f t="shared" si="6"/>
        <v>216.45125700000003</v>
      </c>
      <c r="H18" s="86">
        <f t="shared" si="6"/>
        <v>214.10119500000005</v>
      </c>
      <c r="I18" s="113">
        <f t="shared" si="6"/>
        <v>216.45125700000003</v>
      </c>
      <c r="J18" s="86">
        <f t="shared" si="6"/>
        <v>214.10119500000005</v>
      </c>
      <c r="K18" s="113">
        <f t="shared" si="6"/>
        <v>216.45125700000003</v>
      </c>
      <c r="L18" s="86">
        <f t="shared" si="6"/>
        <v>189.321</v>
      </c>
      <c r="M18" s="113">
        <f t="shared" si="6"/>
        <v>191.67106200000001</v>
      </c>
      <c r="N18" s="86">
        <f t="shared" si="6"/>
        <v>189.321</v>
      </c>
      <c r="O18" s="113">
        <f t="shared" si="6"/>
        <v>92.919999999999618</v>
      </c>
      <c r="P18" s="86">
        <f t="shared" si="6"/>
        <v>0</v>
      </c>
      <c r="Q18" s="113">
        <f t="shared" si="6"/>
        <v>0</v>
      </c>
      <c r="R18" s="86">
        <f t="shared" si="6"/>
        <v>0</v>
      </c>
      <c r="S18" s="113">
        <f t="shared" si="6"/>
        <v>0</v>
      </c>
      <c r="T18" s="86">
        <f t="shared" si="6"/>
        <v>0</v>
      </c>
      <c r="U18" s="113">
        <f t="shared" si="6"/>
        <v>0</v>
      </c>
      <c r="V18" s="86">
        <f t="shared" si="6"/>
        <v>0</v>
      </c>
      <c r="W18" s="113">
        <f t="shared" si="6"/>
        <v>0</v>
      </c>
      <c r="X18" s="86">
        <f t="shared" si="6"/>
        <v>0</v>
      </c>
      <c r="Y18" s="113">
        <f t="shared" si="6"/>
        <v>0</v>
      </c>
      <c r="Z18" s="86">
        <f t="shared" si="6"/>
        <v>0</v>
      </c>
    </row>
    <row r="19" spans="1:27" ht="16.899999999999999" customHeight="1" x14ac:dyDescent="0.25">
      <c r="A19" s="261"/>
      <c r="B19" s="84" t="s">
        <v>7</v>
      </c>
      <c r="C19" s="113">
        <f t="shared" ref="C19:Z19" si="7">IF(C18 &lt; 0, 0, ROUND(C18,2))</f>
        <v>194.56</v>
      </c>
      <c r="D19" s="86">
        <f t="shared" si="7"/>
        <v>217.1</v>
      </c>
      <c r="E19" s="113">
        <f t="shared" si="7"/>
        <v>206.95</v>
      </c>
      <c r="F19" s="86">
        <f t="shared" si="7"/>
        <v>204.71</v>
      </c>
      <c r="G19" s="113">
        <f t="shared" si="7"/>
        <v>216.45</v>
      </c>
      <c r="H19" s="86">
        <f t="shared" si="7"/>
        <v>214.1</v>
      </c>
      <c r="I19" s="113">
        <f t="shared" si="7"/>
        <v>216.45</v>
      </c>
      <c r="J19" s="86">
        <f t="shared" si="7"/>
        <v>214.1</v>
      </c>
      <c r="K19" s="113">
        <f t="shared" si="7"/>
        <v>216.45</v>
      </c>
      <c r="L19" s="86">
        <f t="shared" si="7"/>
        <v>189.32</v>
      </c>
      <c r="M19" s="113">
        <f t="shared" si="7"/>
        <v>191.67</v>
      </c>
      <c r="N19" s="86">
        <f t="shared" si="7"/>
        <v>189.32</v>
      </c>
      <c r="O19" s="113">
        <f t="shared" si="7"/>
        <v>92.92</v>
      </c>
      <c r="P19" s="86">
        <f t="shared" si="7"/>
        <v>0</v>
      </c>
      <c r="Q19" s="113">
        <f t="shared" si="7"/>
        <v>0</v>
      </c>
      <c r="R19" s="86">
        <f t="shared" si="7"/>
        <v>0</v>
      </c>
      <c r="S19" s="113">
        <f t="shared" si="7"/>
        <v>0</v>
      </c>
      <c r="T19" s="86">
        <f t="shared" si="7"/>
        <v>0</v>
      </c>
      <c r="U19" s="113">
        <f t="shared" si="7"/>
        <v>0</v>
      </c>
      <c r="V19" s="86">
        <f t="shared" si="7"/>
        <v>0</v>
      </c>
      <c r="W19" s="113">
        <f t="shared" si="7"/>
        <v>0</v>
      </c>
      <c r="X19" s="86">
        <f t="shared" si="7"/>
        <v>0</v>
      </c>
      <c r="Y19" s="113">
        <f t="shared" si="7"/>
        <v>0</v>
      </c>
      <c r="Z19" s="86">
        <f t="shared" si="7"/>
        <v>0</v>
      </c>
      <c r="AA19" s="3">
        <f>SUM(C19:Z19)</f>
        <v>2564.1000000000004</v>
      </c>
    </row>
    <row r="20" spans="1:27" ht="16.899999999999999" hidden="1" customHeight="1" x14ac:dyDescent="0.25">
      <c r="A20" s="261"/>
      <c r="B20" s="84" t="s">
        <v>69</v>
      </c>
      <c r="C20" s="113">
        <v>0</v>
      </c>
      <c r="D20" s="86">
        <f t="shared" ref="D20:Z20" si="8">C20+C25</f>
        <v>65.709999999999994</v>
      </c>
      <c r="E20" s="113">
        <f t="shared" si="8"/>
        <v>139.57999999999998</v>
      </c>
      <c r="F20" s="86">
        <f t="shared" si="8"/>
        <v>209.37</v>
      </c>
      <c r="G20" s="113">
        <f t="shared" si="8"/>
        <v>279.16000000000003</v>
      </c>
      <c r="H20" s="86">
        <f t="shared" si="8"/>
        <v>352.04</v>
      </c>
      <c r="I20" s="113">
        <f t="shared" si="8"/>
        <v>424.92</v>
      </c>
      <c r="J20" s="86">
        <f t="shared" si="8"/>
        <v>497.8</v>
      </c>
      <c r="K20" s="113">
        <f t="shared" si="8"/>
        <v>570.68000000000006</v>
      </c>
      <c r="L20" s="86">
        <f t="shared" si="8"/>
        <v>643.56000000000006</v>
      </c>
      <c r="M20" s="113">
        <f t="shared" si="8"/>
        <v>708.28000000000009</v>
      </c>
      <c r="N20" s="86">
        <f t="shared" si="8"/>
        <v>773.00000000000011</v>
      </c>
      <c r="O20" s="113">
        <f t="shared" si="8"/>
        <v>836.19</v>
      </c>
      <c r="P20" s="86">
        <f t="shared" si="8"/>
        <v>836.19</v>
      </c>
      <c r="Q20" s="113">
        <f t="shared" si="8"/>
        <v>836.19</v>
      </c>
      <c r="R20" s="86">
        <f t="shared" si="8"/>
        <v>836.19</v>
      </c>
      <c r="S20" s="113">
        <f t="shared" si="8"/>
        <v>836.19</v>
      </c>
      <c r="T20" s="86">
        <f t="shared" si="8"/>
        <v>836.19</v>
      </c>
      <c r="U20" s="113">
        <f t="shared" si="8"/>
        <v>836.19</v>
      </c>
      <c r="V20" s="86">
        <f t="shared" si="8"/>
        <v>836.19</v>
      </c>
      <c r="W20" s="113">
        <f t="shared" si="8"/>
        <v>836.19</v>
      </c>
      <c r="X20" s="86">
        <f t="shared" si="8"/>
        <v>836.19</v>
      </c>
      <c r="Y20" s="113">
        <f t="shared" si="8"/>
        <v>836.19</v>
      </c>
      <c r="Z20" s="86">
        <f t="shared" si="8"/>
        <v>836.19</v>
      </c>
    </row>
    <row r="21" spans="1:27" ht="16.899999999999999" hidden="1" customHeight="1" x14ac:dyDescent="0.25">
      <c r="A21" s="261"/>
      <c r="B21" s="84" t="s">
        <v>70</v>
      </c>
      <c r="C21" s="113">
        <f>C8</f>
        <v>4031.0099999999993</v>
      </c>
      <c r="D21" s="86">
        <f t="shared" ref="D21:Z21" si="9">D8</f>
        <v>4531.6299999999992</v>
      </c>
      <c r="E21" s="113">
        <f t="shared" si="9"/>
        <v>4281.32</v>
      </c>
      <c r="F21" s="86">
        <f t="shared" si="9"/>
        <v>4281.32</v>
      </c>
      <c r="G21" s="113">
        <f t="shared" si="9"/>
        <v>4471.1100000000006</v>
      </c>
      <c r="H21" s="86">
        <f t="shared" si="9"/>
        <v>4471.1100000000006</v>
      </c>
      <c r="I21" s="113">
        <f t="shared" si="9"/>
        <v>4471.1100000000006</v>
      </c>
      <c r="J21" s="86">
        <f t="shared" si="9"/>
        <v>4471.1100000000006</v>
      </c>
      <c r="K21" s="113">
        <f t="shared" si="9"/>
        <v>4471.1100000000006</v>
      </c>
      <c r="L21" s="86">
        <f t="shared" si="9"/>
        <v>3970.5</v>
      </c>
      <c r="M21" s="113">
        <f t="shared" si="9"/>
        <v>3970.5</v>
      </c>
      <c r="N21" s="86">
        <f t="shared" si="9"/>
        <v>3970.5</v>
      </c>
      <c r="O21" s="113">
        <f t="shared" si="9"/>
        <v>3970.5</v>
      </c>
      <c r="P21" s="86">
        <f t="shared" si="9"/>
        <v>3970.5</v>
      </c>
      <c r="Q21" s="113">
        <f t="shared" si="9"/>
        <v>3970.5</v>
      </c>
      <c r="R21" s="86">
        <f t="shared" si="9"/>
        <v>3970.5</v>
      </c>
      <c r="S21" s="113">
        <f t="shared" si="9"/>
        <v>5358.26</v>
      </c>
      <c r="T21" s="86">
        <f t="shared" si="9"/>
        <v>5358.26</v>
      </c>
      <c r="U21" s="113">
        <f t="shared" si="9"/>
        <v>5358.26</v>
      </c>
      <c r="V21" s="86">
        <f t="shared" si="9"/>
        <v>5358.26</v>
      </c>
      <c r="W21" s="113">
        <f t="shared" si="9"/>
        <v>5358.26</v>
      </c>
      <c r="X21" s="86">
        <f t="shared" si="9"/>
        <v>5358.26</v>
      </c>
      <c r="Y21" s="113">
        <f t="shared" si="9"/>
        <v>5358.26</v>
      </c>
      <c r="Z21" s="86">
        <f t="shared" si="9"/>
        <v>5358.26</v>
      </c>
    </row>
    <row r="22" spans="1:27" ht="16.899999999999999" hidden="1" customHeight="1" x14ac:dyDescent="0.25">
      <c r="A22" s="261"/>
      <c r="B22" s="84" t="s">
        <v>71</v>
      </c>
      <c r="C22" s="113">
        <f t="shared" ref="C22:Z22" si="10">MAX_ANNUAL_EI-C20</f>
        <v>836.19</v>
      </c>
      <c r="D22" s="86">
        <f t="shared" si="10"/>
        <v>770.48</v>
      </c>
      <c r="E22" s="113">
        <f t="shared" si="10"/>
        <v>696.61000000000013</v>
      </c>
      <c r="F22" s="86">
        <f t="shared" si="10"/>
        <v>626.82000000000005</v>
      </c>
      <c r="G22" s="113">
        <f t="shared" si="10"/>
        <v>557.03</v>
      </c>
      <c r="H22" s="86">
        <f t="shared" si="10"/>
        <v>484.15000000000003</v>
      </c>
      <c r="I22" s="113">
        <f t="shared" si="10"/>
        <v>411.27000000000004</v>
      </c>
      <c r="J22" s="86">
        <f t="shared" si="10"/>
        <v>338.39000000000004</v>
      </c>
      <c r="K22" s="113">
        <f t="shared" si="10"/>
        <v>265.51</v>
      </c>
      <c r="L22" s="86">
        <f t="shared" si="10"/>
        <v>192.63</v>
      </c>
      <c r="M22" s="113">
        <f t="shared" si="10"/>
        <v>127.90999999999997</v>
      </c>
      <c r="N22" s="86">
        <f t="shared" si="10"/>
        <v>63.189999999999941</v>
      </c>
      <c r="O22" s="113">
        <f t="shared" si="10"/>
        <v>0</v>
      </c>
      <c r="P22" s="86">
        <f t="shared" si="10"/>
        <v>0</v>
      </c>
      <c r="Q22" s="113">
        <f t="shared" si="10"/>
        <v>0</v>
      </c>
      <c r="R22" s="86">
        <f t="shared" si="10"/>
        <v>0</v>
      </c>
      <c r="S22" s="113">
        <f t="shared" si="10"/>
        <v>0</v>
      </c>
      <c r="T22" s="86">
        <f t="shared" si="10"/>
        <v>0</v>
      </c>
      <c r="U22" s="113">
        <f t="shared" si="10"/>
        <v>0</v>
      </c>
      <c r="V22" s="86">
        <f t="shared" si="10"/>
        <v>0</v>
      </c>
      <c r="W22" s="113">
        <f t="shared" si="10"/>
        <v>0</v>
      </c>
      <c r="X22" s="86">
        <f t="shared" si="10"/>
        <v>0</v>
      </c>
      <c r="Y22" s="113">
        <f t="shared" si="10"/>
        <v>0</v>
      </c>
      <c r="Z22" s="86">
        <f t="shared" si="10"/>
        <v>0</v>
      </c>
    </row>
    <row r="23" spans="1:27" ht="16.899999999999999" hidden="1" customHeight="1" x14ac:dyDescent="0.25">
      <c r="A23" s="261"/>
      <c r="B23" s="84" t="s">
        <v>72</v>
      </c>
      <c r="C23" s="113">
        <f t="shared" ref="C23:Z23" si="11">EI_RATE * C21</f>
        <v>65.70546299999998</v>
      </c>
      <c r="D23" s="86">
        <f t="shared" si="11"/>
        <v>73.865568999999979</v>
      </c>
      <c r="E23" s="113">
        <f t="shared" si="11"/>
        <v>69.785515999999987</v>
      </c>
      <c r="F23" s="86">
        <f t="shared" si="11"/>
        <v>69.785515999999987</v>
      </c>
      <c r="G23" s="113">
        <f t="shared" si="11"/>
        <v>72.879092999999997</v>
      </c>
      <c r="H23" s="86">
        <f t="shared" si="11"/>
        <v>72.879092999999997</v>
      </c>
      <c r="I23" s="113">
        <f t="shared" si="11"/>
        <v>72.879092999999997</v>
      </c>
      <c r="J23" s="86">
        <f t="shared" si="11"/>
        <v>72.879092999999997</v>
      </c>
      <c r="K23" s="113">
        <f t="shared" si="11"/>
        <v>72.879092999999997</v>
      </c>
      <c r="L23" s="86">
        <f t="shared" si="11"/>
        <v>64.719149999999999</v>
      </c>
      <c r="M23" s="113">
        <f t="shared" si="11"/>
        <v>64.719149999999999</v>
      </c>
      <c r="N23" s="86">
        <f t="shared" si="11"/>
        <v>64.719149999999999</v>
      </c>
      <c r="O23" s="113">
        <f t="shared" si="11"/>
        <v>64.719149999999999</v>
      </c>
      <c r="P23" s="86">
        <f t="shared" si="11"/>
        <v>64.719149999999999</v>
      </c>
      <c r="Q23" s="113">
        <f t="shared" si="11"/>
        <v>64.719149999999999</v>
      </c>
      <c r="R23" s="86">
        <f t="shared" si="11"/>
        <v>64.719149999999999</v>
      </c>
      <c r="S23" s="113">
        <f t="shared" si="11"/>
        <v>87.339637999999994</v>
      </c>
      <c r="T23" s="86">
        <f t="shared" si="11"/>
        <v>87.339637999999994</v>
      </c>
      <c r="U23" s="113">
        <f t="shared" si="11"/>
        <v>87.339637999999994</v>
      </c>
      <c r="V23" s="86">
        <f t="shared" si="11"/>
        <v>87.339637999999994</v>
      </c>
      <c r="W23" s="113">
        <f t="shared" si="11"/>
        <v>87.339637999999994</v>
      </c>
      <c r="X23" s="86">
        <f t="shared" si="11"/>
        <v>87.339637999999994</v>
      </c>
      <c r="Y23" s="113">
        <f t="shared" si="11"/>
        <v>87.339637999999994</v>
      </c>
      <c r="Z23" s="86">
        <f t="shared" si="11"/>
        <v>87.339637999999994</v>
      </c>
    </row>
    <row r="24" spans="1:27" ht="16.899999999999999" hidden="1" customHeight="1" x14ac:dyDescent="0.25">
      <c r="A24" s="261"/>
      <c r="B24" s="84" t="s">
        <v>73</v>
      </c>
      <c r="C24" s="113">
        <f>MIN(C22:C23)</f>
        <v>65.70546299999998</v>
      </c>
      <c r="D24" s="86">
        <f t="shared" ref="D24:Z24" si="12">MIN(D22:D23)</f>
        <v>73.865568999999979</v>
      </c>
      <c r="E24" s="113">
        <f t="shared" si="12"/>
        <v>69.785515999999987</v>
      </c>
      <c r="F24" s="86">
        <f t="shared" si="12"/>
        <v>69.785515999999987</v>
      </c>
      <c r="G24" s="113">
        <f t="shared" si="12"/>
        <v>72.879092999999997</v>
      </c>
      <c r="H24" s="86">
        <f t="shared" si="12"/>
        <v>72.879092999999997</v>
      </c>
      <c r="I24" s="113">
        <f t="shared" si="12"/>
        <v>72.879092999999997</v>
      </c>
      <c r="J24" s="86">
        <f t="shared" si="12"/>
        <v>72.879092999999997</v>
      </c>
      <c r="K24" s="113">
        <f t="shared" si="12"/>
        <v>72.879092999999997</v>
      </c>
      <c r="L24" s="86">
        <f t="shared" si="12"/>
        <v>64.719149999999999</v>
      </c>
      <c r="M24" s="113">
        <f t="shared" si="12"/>
        <v>64.719149999999999</v>
      </c>
      <c r="N24" s="86">
        <f t="shared" si="12"/>
        <v>63.189999999999941</v>
      </c>
      <c r="O24" s="113">
        <f t="shared" si="12"/>
        <v>0</v>
      </c>
      <c r="P24" s="86">
        <f t="shared" si="12"/>
        <v>0</v>
      </c>
      <c r="Q24" s="113">
        <f t="shared" si="12"/>
        <v>0</v>
      </c>
      <c r="R24" s="86">
        <f t="shared" si="12"/>
        <v>0</v>
      </c>
      <c r="S24" s="113">
        <f t="shared" si="12"/>
        <v>0</v>
      </c>
      <c r="T24" s="86">
        <f t="shared" si="12"/>
        <v>0</v>
      </c>
      <c r="U24" s="113">
        <f t="shared" si="12"/>
        <v>0</v>
      </c>
      <c r="V24" s="86">
        <f t="shared" si="12"/>
        <v>0</v>
      </c>
      <c r="W24" s="113">
        <f t="shared" si="12"/>
        <v>0</v>
      </c>
      <c r="X24" s="86">
        <f t="shared" si="12"/>
        <v>0</v>
      </c>
      <c r="Y24" s="113">
        <f t="shared" si="12"/>
        <v>0</v>
      </c>
      <c r="Z24" s="86">
        <f t="shared" si="12"/>
        <v>0</v>
      </c>
    </row>
    <row r="25" spans="1:27" x14ac:dyDescent="0.25">
      <c r="A25" s="261"/>
      <c r="B25" s="84" t="s">
        <v>8</v>
      </c>
      <c r="C25" s="113">
        <f t="shared" ref="C25:Z25" si="13">IF(C24&lt;0,0,ROUND(C24,2))</f>
        <v>65.709999999999994</v>
      </c>
      <c r="D25" s="86">
        <f t="shared" si="13"/>
        <v>73.87</v>
      </c>
      <c r="E25" s="113">
        <f t="shared" si="13"/>
        <v>69.790000000000006</v>
      </c>
      <c r="F25" s="86">
        <f t="shared" si="13"/>
        <v>69.790000000000006</v>
      </c>
      <c r="G25" s="113">
        <f t="shared" si="13"/>
        <v>72.88</v>
      </c>
      <c r="H25" s="86">
        <f t="shared" si="13"/>
        <v>72.88</v>
      </c>
      <c r="I25" s="113">
        <f t="shared" si="13"/>
        <v>72.88</v>
      </c>
      <c r="J25" s="86">
        <f t="shared" si="13"/>
        <v>72.88</v>
      </c>
      <c r="K25" s="113">
        <f t="shared" si="13"/>
        <v>72.88</v>
      </c>
      <c r="L25" s="86">
        <f t="shared" si="13"/>
        <v>64.72</v>
      </c>
      <c r="M25" s="113">
        <f t="shared" si="13"/>
        <v>64.72</v>
      </c>
      <c r="N25" s="86">
        <f t="shared" si="13"/>
        <v>63.19</v>
      </c>
      <c r="O25" s="113">
        <f t="shared" si="13"/>
        <v>0</v>
      </c>
      <c r="P25" s="86">
        <f t="shared" si="13"/>
        <v>0</v>
      </c>
      <c r="Q25" s="113">
        <f t="shared" si="13"/>
        <v>0</v>
      </c>
      <c r="R25" s="86">
        <f t="shared" si="13"/>
        <v>0</v>
      </c>
      <c r="S25" s="113">
        <f t="shared" si="13"/>
        <v>0</v>
      </c>
      <c r="T25" s="86">
        <f t="shared" si="13"/>
        <v>0</v>
      </c>
      <c r="U25" s="113">
        <f t="shared" si="13"/>
        <v>0</v>
      </c>
      <c r="V25" s="86">
        <f t="shared" si="13"/>
        <v>0</v>
      </c>
      <c r="W25" s="113">
        <f t="shared" si="13"/>
        <v>0</v>
      </c>
      <c r="X25" s="86">
        <f t="shared" si="13"/>
        <v>0</v>
      </c>
      <c r="Y25" s="113">
        <f t="shared" si="13"/>
        <v>0</v>
      </c>
      <c r="Z25" s="86">
        <f t="shared" si="13"/>
        <v>0</v>
      </c>
      <c r="AA25" s="3">
        <f>SUM(C25:Z25)</f>
        <v>836.19</v>
      </c>
    </row>
    <row r="26" spans="1:27" ht="14.45" hidden="1" customHeight="1" x14ac:dyDescent="0.25">
      <c r="A26" s="261"/>
      <c r="B26" s="84" t="s">
        <v>88</v>
      </c>
      <c r="C26" s="113">
        <f t="shared" ref="C26:Z26" si="14">MRU_J_R  * (C8 + C51 - C11 - C12 - C13)</f>
        <v>86345.711999999985</v>
      </c>
      <c r="D26" s="86">
        <f t="shared" si="14"/>
        <v>97166.39999999998</v>
      </c>
      <c r="E26" s="113">
        <f t="shared" si="14"/>
        <v>92306.59199999999</v>
      </c>
      <c r="F26" s="86">
        <f t="shared" si="14"/>
        <v>91218.959999999992</v>
      </c>
      <c r="G26" s="113">
        <f t="shared" si="14"/>
        <v>96237.263999999996</v>
      </c>
      <c r="H26" s="86">
        <f t="shared" si="14"/>
        <v>95097.840000000011</v>
      </c>
      <c r="I26" s="113">
        <f t="shared" si="14"/>
        <v>96237.263999999996</v>
      </c>
      <c r="J26" s="86">
        <f t="shared" si="14"/>
        <v>95097.840000000011</v>
      </c>
      <c r="K26" s="113">
        <f t="shared" si="14"/>
        <v>96237.263999999996</v>
      </c>
      <c r="L26" s="86">
        <f t="shared" si="14"/>
        <v>83203.44</v>
      </c>
      <c r="M26" s="113">
        <f t="shared" si="14"/>
        <v>84342.864000000001</v>
      </c>
      <c r="N26" s="86">
        <f t="shared" si="14"/>
        <v>83203.44</v>
      </c>
      <c r="O26" s="113">
        <f t="shared" si="14"/>
        <v>84342.864000000001</v>
      </c>
      <c r="P26" s="86">
        <f t="shared" si="14"/>
        <v>83203.44</v>
      </c>
      <c r="Q26" s="113">
        <f t="shared" si="14"/>
        <v>84342.864000000001</v>
      </c>
      <c r="R26" s="86">
        <f t="shared" si="14"/>
        <v>83203.44</v>
      </c>
      <c r="S26" s="113">
        <f t="shared" si="14"/>
        <v>117315.984</v>
      </c>
      <c r="T26" s="86">
        <f t="shared" si="14"/>
        <v>116176.56000000001</v>
      </c>
      <c r="U26" s="113">
        <f t="shared" si="14"/>
        <v>117315.984</v>
      </c>
      <c r="V26" s="86">
        <f t="shared" si="14"/>
        <v>116176.56000000001</v>
      </c>
      <c r="W26" s="113">
        <f t="shared" si="14"/>
        <v>117315.984</v>
      </c>
      <c r="X26" s="86">
        <f t="shared" si="14"/>
        <v>116176.56000000001</v>
      </c>
      <c r="Y26" s="113">
        <f t="shared" si="14"/>
        <v>117315.984</v>
      </c>
      <c r="Z26" s="86">
        <f t="shared" si="14"/>
        <v>116176.56000000001</v>
      </c>
    </row>
    <row r="27" spans="1:27" ht="14.45" hidden="1" customHeight="1" x14ac:dyDescent="0.25">
      <c r="A27" s="261"/>
      <c r="B27" s="84" t="s">
        <v>89</v>
      </c>
      <c r="C27" s="113">
        <f t="shared" ref="C27:Z27" si="15">VLOOKUP(C26,FED_RATE_TABLE,2,TRUE)</f>
        <v>0.20499999999999999</v>
      </c>
      <c r="D27" s="86">
        <f t="shared" si="15"/>
        <v>0.26</v>
      </c>
      <c r="E27" s="113">
        <f t="shared" si="15"/>
        <v>0.26</v>
      </c>
      <c r="F27" s="86">
        <f t="shared" si="15"/>
        <v>0.20499999999999999</v>
      </c>
      <c r="G27" s="113">
        <f t="shared" si="15"/>
        <v>0.26</v>
      </c>
      <c r="H27" s="86">
        <f t="shared" si="15"/>
        <v>0.26</v>
      </c>
      <c r="I27" s="113">
        <f t="shared" si="15"/>
        <v>0.26</v>
      </c>
      <c r="J27" s="86">
        <f t="shared" si="15"/>
        <v>0.26</v>
      </c>
      <c r="K27" s="113">
        <f t="shared" si="15"/>
        <v>0.26</v>
      </c>
      <c r="L27" s="86">
        <f t="shared" si="15"/>
        <v>0.20499999999999999</v>
      </c>
      <c r="M27" s="113">
        <f t="shared" si="15"/>
        <v>0.20499999999999999</v>
      </c>
      <c r="N27" s="86">
        <f t="shared" si="15"/>
        <v>0.20499999999999999</v>
      </c>
      <c r="O27" s="113">
        <f t="shared" si="15"/>
        <v>0.20499999999999999</v>
      </c>
      <c r="P27" s="86">
        <f t="shared" si="15"/>
        <v>0.20499999999999999</v>
      </c>
      <c r="Q27" s="113">
        <f t="shared" si="15"/>
        <v>0.20499999999999999</v>
      </c>
      <c r="R27" s="86">
        <f t="shared" si="15"/>
        <v>0.20499999999999999</v>
      </c>
      <c r="S27" s="113">
        <f t="shared" si="15"/>
        <v>0.26</v>
      </c>
      <c r="T27" s="86">
        <f t="shared" si="15"/>
        <v>0.26</v>
      </c>
      <c r="U27" s="113">
        <f t="shared" si="15"/>
        <v>0.26</v>
      </c>
      <c r="V27" s="86">
        <f t="shared" si="15"/>
        <v>0.26</v>
      </c>
      <c r="W27" s="113">
        <f t="shared" si="15"/>
        <v>0.26</v>
      </c>
      <c r="X27" s="86">
        <f t="shared" si="15"/>
        <v>0.26</v>
      </c>
      <c r="Y27" s="113">
        <f t="shared" si="15"/>
        <v>0.26</v>
      </c>
      <c r="Z27" s="86">
        <f t="shared" si="15"/>
        <v>0.26</v>
      </c>
    </row>
    <row r="28" spans="1:27" ht="14.45" hidden="1" customHeight="1" x14ac:dyDescent="0.25">
      <c r="A28" s="261"/>
      <c r="B28" s="84" t="s">
        <v>90</v>
      </c>
      <c r="C28" s="113">
        <f t="shared" ref="C28:Z28" si="16">VLOOKUP(C26,FED_RATE_TABLE,3,TRUE)</f>
        <v>2525</v>
      </c>
      <c r="D28" s="86">
        <f t="shared" si="16"/>
        <v>7576</v>
      </c>
      <c r="E28" s="113">
        <f t="shared" si="16"/>
        <v>7576</v>
      </c>
      <c r="F28" s="86">
        <f t="shared" si="16"/>
        <v>2525</v>
      </c>
      <c r="G28" s="113">
        <f t="shared" si="16"/>
        <v>7576</v>
      </c>
      <c r="H28" s="86">
        <f t="shared" si="16"/>
        <v>7576</v>
      </c>
      <c r="I28" s="113">
        <f t="shared" si="16"/>
        <v>7576</v>
      </c>
      <c r="J28" s="86">
        <f t="shared" si="16"/>
        <v>7576</v>
      </c>
      <c r="K28" s="113">
        <f t="shared" si="16"/>
        <v>7576</v>
      </c>
      <c r="L28" s="86">
        <f t="shared" si="16"/>
        <v>2525</v>
      </c>
      <c r="M28" s="113">
        <f t="shared" si="16"/>
        <v>2525</v>
      </c>
      <c r="N28" s="86">
        <f t="shared" si="16"/>
        <v>2525</v>
      </c>
      <c r="O28" s="113">
        <f t="shared" si="16"/>
        <v>2525</v>
      </c>
      <c r="P28" s="86">
        <f t="shared" si="16"/>
        <v>2525</v>
      </c>
      <c r="Q28" s="113">
        <f t="shared" si="16"/>
        <v>2525</v>
      </c>
      <c r="R28" s="86">
        <f t="shared" si="16"/>
        <v>2525</v>
      </c>
      <c r="S28" s="113">
        <f t="shared" si="16"/>
        <v>7576</v>
      </c>
      <c r="T28" s="86">
        <f t="shared" si="16"/>
        <v>7576</v>
      </c>
      <c r="U28" s="113">
        <f t="shared" si="16"/>
        <v>7576</v>
      </c>
      <c r="V28" s="86">
        <f t="shared" si="16"/>
        <v>7576</v>
      </c>
      <c r="W28" s="113">
        <f t="shared" si="16"/>
        <v>7576</v>
      </c>
      <c r="X28" s="86">
        <f t="shared" si="16"/>
        <v>7576</v>
      </c>
      <c r="Y28" s="113">
        <f t="shared" si="16"/>
        <v>7576</v>
      </c>
      <c r="Z28" s="86">
        <f t="shared" si="16"/>
        <v>7576</v>
      </c>
    </row>
    <row r="29" spans="1:27" ht="14.45" hidden="1" customHeight="1" x14ac:dyDescent="0.25">
      <c r="A29" s="261"/>
      <c r="B29" s="84" t="s">
        <v>91</v>
      </c>
      <c r="C29" s="113">
        <f>Gov.Tax.Calcs!$C$15</f>
        <v>1</v>
      </c>
      <c r="D29" s="86">
        <f>Gov.Tax.Calcs!$C$15</f>
        <v>1</v>
      </c>
      <c r="E29" s="113">
        <f>Gov.Tax.Calcs!$C$15</f>
        <v>1</v>
      </c>
      <c r="F29" s="86">
        <f>Gov.Tax.Calcs!$C$15</f>
        <v>1</v>
      </c>
      <c r="G29" s="113">
        <f>Gov.Tax.Calcs!$C$15</f>
        <v>1</v>
      </c>
      <c r="H29" s="86">
        <f>Gov.Tax.Calcs!$C$15</f>
        <v>1</v>
      </c>
      <c r="I29" s="113">
        <f>Gov.Tax.Calcs!$C$15</f>
        <v>1</v>
      </c>
      <c r="J29" s="86">
        <f>Gov.Tax.Calcs!$C$15</f>
        <v>1</v>
      </c>
      <c r="K29" s="113">
        <f>Gov.Tax.Calcs!$C$15</f>
        <v>1</v>
      </c>
      <c r="L29" s="86">
        <f>Gov.Tax.Calcs!$C$15</f>
        <v>1</v>
      </c>
      <c r="M29" s="113">
        <f>Gov.Tax.Calcs!$C$15</f>
        <v>1</v>
      </c>
      <c r="N29" s="86">
        <f>Gov.Tax.Calcs!$C$15</f>
        <v>1</v>
      </c>
      <c r="O29" s="113">
        <f>Gov.Tax.Calcs!$C$15</f>
        <v>1</v>
      </c>
      <c r="P29" s="86">
        <f>Gov.Tax.Calcs!$C$15</f>
        <v>1</v>
      </c>
      <c r="Q29" s="113">
        <f>Gov.Tax.Calcs!$C$15</f>
        <v>1</v>
      </c>
      <c r="R29" s="86">
        <f>Gov.Tax.Calcs!$C$15</f>
        <v>1</v>
      </c>
      <c r="S29" s="113">
        <f>Gov.Tax.Calcs!$C$15</f>
        <v>1</v>
      </c>
      <c r="T29" s="86">
        <f>Gov.Tax.Calcs!$C$15</f>
        <v>1</v>
      </c>
      <c r="U29" s="113">
        <f>Gov.Tax.Calcs!$C$15</f>
        <v>1</v>
      </c>
      <c r="V29" s="86">
        <f>Gov.Tax.Calcs!$C$15</f>
        <v>1</v>
      </c>
      <c r="W29" s="113">
        <f>Gov.Tax.Calcs!$C$15</f>
        <v>1</v>
      </c>
      <c r="X29" s="86">
        <f>Gov.Tax.Calcs!$C$15</f>
        <v>1</v>
      </c>
      <c r="Y29" s="113">
        <f>Gov.Tax.Calcs!$C$15</f>
        <v>1</v>
      </c>
      <c r="Z29" s="86">
        <f>Gov.Tax.Calcs!$C$15</f>
        <v>1</v>
      </c>
    </row>
    <row r="30" spans="1:27" ht="14.45" hidden="1" customHeight="1" x14ac:dyDescent="0.25">
      <c r="A30" s="261"/>
      <c r="B30" s="84" t="s">
        <v>92</v>
      </c>
      <c r="C30" s="113">
        <f t="shared" ref="C30:Z30" si="17">VLOOKUP(C29,CLAIM_CODE_TABLE,3,FALSE)</f>
        <v>1745.25</v>
      </c>
      <c r="D30" s="86">
        <f t="shared" si="17"/>
        <v>1745.25</v>
      </c>
      <c r="E30" s="113">
        <f t="shared" si="17"/>
        <v>1745.25</v>
      </c>
      <c r="F30" s="86">
        <f t="shared" si="17"/>
        <v>1745.25</v>
      </c>
      <c r="G30" s="113">
        <f t="shared" si="17"/>
        <v>1745.25</v>
      </c>
      <c r="H30" s="86">
        <f t="shared" si="17"/>
        <v>1745.25</v>
      </c>
      <c r="I30" s="113">
        <f t="shared" si="17"/>
        <v>1745.25</v>
      </c>
      <c r="J30" s="86">
        <f t="shared" si="17"/>
        <v>1745.25</v>
      </c>
      <c r="K30" s="113">
        <f t="shared" si="17"/>
        <v>1745.25</v>
      </c>
      <c r="L30" s="86">
        <f t="shared" si="17"/>
        <v>1745.25</v>
      </c>
      <c r="M30" s="113">
        <f t="shared" si="17"/>
        <v>1745.25</v>
      </c>
      <c r="N30" s="86">
        <f t="shared" si="17"/>
        <v>1745.25</v>
      </c>
      <c r="O30" s="113">
        <f t="shared" si="17"/>
        <v>1745.25</v>
      </c>
      <c r="P30" s="86">
        <f t="shared" si="17"/>
        <v>1745.25</v>
      </c>
      <c r="Q30" s="113">
        <f t="shared" si="17"/>
        <v>1745.25</v>
      </c>
      <c r="R30" s="86">
        <f t="shared" si="17"/>
        <v>1745.25</v>
      </c>
      <c r="S30" s="113">
        <f t="shared" si="17"/>
        <v>1745.25</v>
      </c>
      <c r="T30" s="86">
        <f t="shared" si="17"/>
        <v>1745.25</v>
      </c>
      <c r="U30" s="113">
        <f t="shared" si="17"/>
        <v>1745.25</v>
      </c>
      <c r="V30" s="86">
        <f t="shared" si="17"/>
        <v>1745.25</v>
      </c>
      <c r="W30" s="113">
        <f t="shared" si="17"/>
        <v>1745.25</v>
      </c>
      <c r="X30" s="86">
        <f t="shared" si="17"/>
        <v>1745.25</v>
      </c>
      <c r="Y30" s="113">
        <f t="shared" si="17"/>
        <v>1745.25</v>
      </c>
      <c r="Z30" s="86">
        <f t="shared" si="17"/>
        <v>1745.25</v>
      </c>
    </row>
    <row r="31" spans="1:27" ht="14.45" hidden="1" customHeight="1" x14ac:dyDescent="0.25">
      <c r="A31" s="261"/>
      <c r="B31" s="84" t="s">
        <v>93</v>
      </c>
      <c r="C31" s="113">
        <f t="shared" ref="C31:Z31" si="18" xml:space="preserve"> 15% * (MAX_ANNUAL_CPP + MAX_ANNUAL_EI)</f>
        <v>510.04349999999999</v>
      </c>
      <c r="D31" s="86">
        <f t="shared" si="18"/>
        <v>510.04349999999999</v>
      </c>
      <c r="E31" s="113">
        <f t="shared" si="18"/>
        <v>510.04349999999999</v>
      </c>
      <c r="F31" s="86">
        <f t="shared" si="18"/>
        <v>510.04349999999999</v>
      </c>
      <c r="G31" s="113">
        <f t="shared" si="18"/>
        <v>510.04349999999999</v>
      </c>
      <c r="H31" s="86">
        <f t="shared" si="18"/>
        <v>510.04349999999999</v>
      </c>
      <c r="I31" s="113">
        <f t="shared" si="18"/>
        <v>510.04349999999999</v>
      </c>
      <c r="J31" s="86">
        <f t="shared" si="18"/>
        <v>510.04349999999999</v>
      </c>
      <c r="K31" s="113">
        <f t="shared" si="18"/>
        <v>510.04349999999999</v>
      </c>
      <c r="L31" s="86">
        <f t="shared" si="18"/>
        <v>510.04349999999999</v>
      </c>
      <c r="M31" s="113">
        <f t="shared" si="18"/>
        <v>510.04349999999999</v>
      </c>
      <c r="N31" s="86">
        <f t="shared" si="18"/>
        <v>510.04349999999999</v>
      </c>
      <c r="O31" s="113">
        <f t="shared" si="18"/>
        <v>510.04349999999999</v>
      </c>
      <c r="P31" s="86">
        <f t="shared" si="18"/>
        <v>510.04349999999999</v>
      </c>
      <c r="Q31" s="113">
        <f t="shared" si="18"/>
        <v>510.04349999999999</v>
      </c>
      <c r="R31" s="86">
        <f t="shared" si="18"/>
        <v>510.04349999999999</v>
      </c>
      <c r="S31" s="113">
        <f t="shared" si="18"/>
        <v>510.04349999999999</v>
      </c>
      <c r="T31" s="86">
        <f t="shared" si="18"/>
        <v>510.04349999999999</v>
      </c>
      <c r="U31" s="113">
        <f t="shared" si="18"/>
        <v>510.04349999999999</v>
      </c>
      <c r="V31" s="86">
        <f t="shared" si="18"/>
        <v>510.04349999999999</v>
      </c>
      <c r="W31" s="113">
        <f t="shared" si="18"/>
        <v>510.04349999999999</v>
      </c>
      <c r="X31" s="86">
        <f t="shared" si="18"/>
        <v>510.04349999999999</v>
      </c>
      <c r="Y31" s="113">
        <f t="shared" si="18"/>
        <v>510.04349999999999</v>
      </c>
      <c r="Z31" s="86">
        <f t="shared" si="18"/>
        <v>510.04349999999999</v>
      </c>
    </row>
    <row r="32" spans="1:27" ht="14.45" hidden="1" customHeight="1" x14ac:dyDescent="0.25">
      <c r="A32" s="261"/>
      <c r="B32" s="84" t="s">
        <v>95</v>
      </c>
      <c r="C32" s="113">
        <f t="shared" ref="C32:Z32" si="19">15% * CANADA_EMP_CREDIT</f>
        <v>176.7</v>
      </c>
      <c r="D32" s="86">
        <f t="shared" si="19"/>
        <v>176.7</v>
      </c>
      <c r="E32" s="113">
        <f t="shared" si="19"/>
        <v>176.7</v>
      </c>
      <c r="F32" s="86">
        <f t="shared" si="19"/>
        <v>176.7</v>
      </c>
      <c r="G32" s="113">
        <f t="shared" si="19"/>
        <v>176.7</v>
      </c>
      <c r="H32" s="86">
        <f t="shared" si="19"/>
        <v>176.7</v>
      </c>
      <c r="I32" s="113">
        <f t="shared" si="19"/>
        <v>176.7</v>
      </c>
      <c r="J32" s="86">
        <f t="shared" si="19"/>
        <v>176.7</v>
      </c>
      <c r="K32" s="113">
        <f t="shared" si="19"/>
        <v>176.7</v>
      </c>
      <c r="L32" s="86">
        <f t="shared" si="19"/>
        <v>176.7</v>
      </c>
      <c r="M32" s="113">
        <f t="shared" si="19"/>
        <v>176.7</v>
      </c>
      <c r="N32" s="86">
        <f t="shared" si="19"/>
        <v>176.7</v>
      </c>
      <c r="O32" s="113">
        <f t="shared" si="19"/>
        <v>176.7</v>
      </c>
      <c r="P32" s="86">
        <f t="shared" si="19"/>
        <v>176.7</v>
      </c>
      <c r="Q32" s="113">
        <f t="shared" si="19"/>
        <v>176.7</v>
      </c>
      <c r="R32" s="86">
        <f t="shared" si="19"/>
        <v>176.7</v>
      </c>
      <c r="S32" s="113">
        <f t="shared" si="19"/>
        <v>176.7</v>
      </c>
      <c r="T32" s="86">
        <f t="shared" si="19"/>
        <v>176.7</v>
      </c>
      <c r="U32" s="113">
        <f t="shared" si="19"/>
        <v>176.7</v>
      </c>
      <c r="V32" s="86">
        <f t="shared" si="19"/>
        <v>176.7</v>
      </c>
      <c r="W32" s="113">
        <f t="shared" si="19"/>
        <v>176.7</v>
      </c>
      <c r="X32" s="86">
        <f t="shared" si="19"/>
        <v>176.7</v>
      </c>
      <c r="Y32" s="113">
        <f t="shared" si="19"/>
        <v>176.7</v>
      </c>
      <c r="Z32" s="86">
        <f t="shared" si="19"/>
        <v>176.7</v>
      </c>
    </row>
    <row r="33" spans="1:27" x14ac:dyDescent="0.25">
      <c r="A33" s="261"/>
      <c r="B33" s="84" t="s">
        <v>9</v>
      </c>
      <c r="C33" s="113">
        <f t="shared" ref="C33:Z33" si="20">ROUND(((C27 * C26) - C28 - C30 - C31 - C32) / MRU_J_R,2)</f>
        <v>530.99</v>
      </c>
      <c r="D33" s="86">
        <f t="shared" si="20"/>
        <v>635.64</v>
      </c>
      <c r="E33" s="113">
        <f t="shared" si="20"/>
        <v>582.99</v>
      </c>
      <c r="F33" s="86">
        <f t="shared" si="20"/>
        <v>572.62</v>
      </c>
      <c r="G33" s="113">
        <f t="shared" si="20"/>
        <v>625.57000000000005</v>
      </c>
      <c r="H33" s="86">
        <f t="shared" si="20"/>
        <v>613.23</v>
      </c>
      <c r="I33" s="113">
        <f t="shared" si="20"/>
        <v>625.57000000000005</v>
      </c>
      <c r="J33" s="86">
        <f t="shared" si="20"/>
        <v>613.23</v>
      </c>
      <c r="K33" s="113">
        <f t="shared" si="20"/>
        <v>625.57000000000005</v>
      </c>
      <c r="L33" s="86">
        <f t="shared" si="20"/>
        <v>504.15</v>
      </c>
      <c r="M33" s="113">
        <f t="shared" si="20"/>
        <v>513.89</v>
      </c>
      <c r="N33" s="86">
        <f t="shared" si="20"/>
        <v>504.15</v>
      </c>
      <c r="O33" s="113">
        <f t="shared" si="20"/>
        <v>513.89</v>
      </c>
      <c r="P33" s="86">
        <f t="shared" si="20"/>
        <v>504.15</v>
      </c>
      <c r="Q33" s="113">
        <f t="shared" si="20"/>
        <v>513.89</v>
      </c>
      <c r="R33" s="86">
        <f t="shared" si="20"/>
        <v>504.15</v>
      </c>
      <c r="S33" s="113">
        <f t="shared" si="20"/>
        <v>853.92</v>
      </c>
      <c r="T33" s="86">
        <f t="shared" si="20"/>
        <v>841.58</v>
      </c>
      <c r="U33" s="113">
        <f t="shared" si="20"/>
        <v>853.92</v>
      </c>
      <c r="V33" s="86">
        <f t="shared" si="20"/>
        <v>841.58</v>
      </c>
      <c r="W33" s="113">
        <f t="shared" si="20"/>
        <v>853.92</v>
      </c>
      <c r="X33" s="86">
        <f t="shared" si="20"/>
        <v>841.58</v>
      </c>
      <c r="Y33" s="113">
        <f t="shared" si="20"/>
        <v>853.92</v>
      </c>
      <c r="Z33" s="86">
        <f t="shared" si="20"/>
        <v>841.58</v>
      </c>
      <c r="AA33" s="3">
        <f>SUM(C33:Z33)</f>
        <v>15765.679999999998</v>
      </c>
    </row>
    <row r="34" spans="1:27" ht="14.45" hidden="1" customHeight="1" x14ac:dyDescent="0.25">
      <c r="A34" s="261"/>
      <c r="B34" s="84" t="s">
        <v>96</v>
      </c>
      <c r="C34" s="113">
        <f>C26</f>
        <v>86345.711999999985</v>
      </c>
      <c r="D34" s="86">
        <f t="shared" ref="D34:Z34" si="21">D26</f>
        <v>97166.39999999998</v>
      </c>
      <c r="E34" s="113">
        <f t="shared" si="21"/>
        <v>92306.59199999999</v>
      </c>
      <c r="F34" s="86">
        <f t="shared" si="21"/>
        <v>91218.959999999992</v>
      </c>
      <c r="G34" s="113">
        <f t="shared" si="21"/>
        <v>96237.263999999996</v>
      </c>
      <c r="H34" s="86">
        <f t="shared" si="21"/>
        <v>95097.840000000011</v>
      </c>
      <c r="I34" s="113">
        <f t="shared" si="21"/>
        <v>96237.263999999996</v>
      </c>
      <c r="J34" s="86">
        <f t="shared" si="21"/>
        <v>95097.840000000011</v>
      </c>
      <c r="K34" s="113">
        <f t="shared" si="21"/>
        <v>96237.263999999996</v>
      </c>
      <c r="L34" s="86">
        <f t="shared" si="21"/>
        <v>83203.44</v>
      </c>
      <c r="M34" s="113">
        <f t="shared" si="21"/>
        <v>84342.864000000001</v>
      </c>
      <c r="N34" s="86">
        <f t="shared" si="21"/>
        <v>83203.44</v>
      </c>
      <c r="O34" s="113">
        <f t="shared" si="21"/>
        <v>84342.864000000001</v>
      </c>
      <c r="P34" s="86">
        <f t="shared" si="21"/>
        <v>83203.44</v>
      </c>
      <c r="Q34" s="113">
        <f t="shared" si="21"/>
        <v>84342.864000000001</v>
      </c>
      <c r="R34" s="86">
        <f t="shared" si="21"/>
        <v>83203.44</v>
      </c>
      <c r="S34" s="113">
        <f t="shared" si="21"/>
        <v>117315.984</v>
      </c>
      <c r="T34" s="86">
        <f t="shared" si="21"/>
        <v>116176.56000000001</v>
      </c>
      <c r="U34" s="113">
        <f t="shared" si="21"/>
        <v>117315.984</v>
      </c>
      <c r="V34" s="86">
        <f t="shared" si="21"/>
        <v>116176.56000000001</v>
      </c>
      <c r="W34" s="113">
        <f t="shared" si="21"/>
        <v>117315.984</v>
      </c>
      <c r="X34" s="86">
        <f t="shared" si="21"/>
        <v>116176.56000000001</v>
      </c>
      <c r="Y34" s="113">
        <f t="shared" si="21"/>
        <v>117315.984</v>
      </c>
      <c r="Z34" s="86">
        <f t="shared" si="21"/>
        <v>116176.56000000001</v>
      </c>
    </row>
    <row r="35" spans="1:27" ht="16.899999999999999" hidden="1" customHeight="1" x14ac:dyDescent="0.25">
      <c r="A35" s="261"/>
      <c r="B35" s="84" t="s">
        <v>97</v>
      </c>
      <c r="C35" s="113">
        <f t="shared" ref="C35:Z35" si="22">VLOOKUP(C34,AB_RATE_TABLE,2,TRUE)</f>
        <v>0.1</v>
      </c>
      <c r="D35" s="86">
        <f t="shared" si="22"/>
        <v>0.1</v>
      </c>
      <c r="E35" s="113">
        <f t="shared" si="22"/>
        <v>0.1</v>
      </c>
      <c r="F35" s="86">
        <f t="shared" si="22"/>
        <v>0.1</v>
      </c>
      <c r="G35" s="113">
        <f t="shared" si="22"/>
        <v>0.1</v>
      </c>
      <c r="H35" s="86">
        <f t="shared" si="22"/>
        <v>0.1</v>
      </c>
      <c r="I35" s="113">
        <f t="shared" si="22"/>
        <v>0.1</v>
      </c>
      <c r="J35" s="86">
        <f t="shared" si="22"/>
        <v>0.1</v>
      </c>
      <c r="K35" s="113">
        <f t="shared" si="22"/>
        <v>0.1</v>
      </c>
      <c r="L35" s="86">
        <f t="shared" si="22"/>
        <v>0.1</v>
      </c>
      <c r="M35" s="113">
        <f t="shared" si="22"/>
        <v>0.1</v>
      </c>
      <c r="N35" s="86">
        <f t="shared" si="22"/>
        <v>0.1</v>
      </c>
      <c r="O35" s="113">
        <f t="shared" si="22"/>
        <v>0.1</v>
      </c>
      <c r="P35" s="86">
        <f t="shared" si="22"/>
        <v>0.1</v>
      </c>
      <c r="Q35" s="113">
        <f t="shared" si="22"/>
        <v>0.1</v>
      </c>
      <c r="R35" s="86">
        <f t="shared" si="22"/>
        <v>0.1</v>
      </c>
      <c r="S35" s="113">
        <f t="shared" si="22"/>
        <v>0.1</v>
      </c>
      <c r="T35" s="86">
        <f t="shared" si="22"/>
        <v>0.1</v>
      </c>
      <c r="U35" s="113">
        <f t="shared" si="22"/>
        <v>0.1</v>
      </c>
      <c r="V35" s="86">
        <f t="shared" si="22"/>
        <v>0.1</v>
      </c>
      <c r="W35" s="113">
        <f t="shared" si="22"/>
        <v>0.1</v>
      </c>
      <c r="X35" s="86">
        <f t="shared" si="22"/>
        <v>0.1</v>
      </c>
      <c r="Y35" s="113">
        <f t="shared" si="22"/>
        <v>0.1</v>
      </c>
      <c r="Z35" s="86">
        <f t="shared" si="22"/>
        <v>0.1</v>
      </c>
    </row>
    <row r="36" spans="1:27" ht="16.899999999999999" hidden="1" customHeight="1" x14ac:dyDescent="0.25">
      <c r="A36" s="261"/>
      <c r="B36" s="84" t="s">
        <v>98</v>
      </c>
      <c r="C36" s="113">
        <f t="shared" ref="C36:Z36" si="23">VLOOKUP(C34,AB_RATE_TABLE,3,TRUE)</f>
        <v>0</v>
      </c>
      <c r="D36" s="86">
        <f t="shared" si="23"/>
        <v>0</v>
      </c>
      <c r="E36" s="113">
        <f t="shared" si="23"/>
        <v>0</v>
      </c>
      <c r="F36" s="86">
        <f t="shared" si="23"/>
        <v>0</v>
      </c>
      <c r="G36" s="113">
        <f t="shared" si="23"/>
        <v>0</v>
      </c>
      <c r="H36" s="86">
        <f t="shared" si="23"/>
        <v>0</v>
      </c>
      <c r="I36" s="113">
        <f t="shared" si="23"/>
        <v>0</v>
      </c>
      <c r="J36" s="86">
        <f t="shared" si="23"/>
        <v>0</v>
      </c>
      <c r="K36" s="113">
        <f t="shared" si="23"/>
        <v>0</v>
      </c>
      <c r="L36" s="86">
        <f t="shared" si="23"/>
        <v>0</v>
      </c>
      <c r="M36" s="113">
        <f t="shared" si="23"/>
        <v>0</v>
      </c>
      <c r="N36" s="86">
        <f t="shared" si="23"/>
        <v>0</v>
      </c>
      <c r="O36" s="113">
        <f t="shared" si="23"/>
        <v>0</v>
      </c>
      <c r="P36" s="86">
        <f t="shared" si="23"/>
        <v>0</v>
      </c>
      <c r="Q36" s="113">
        <f t="shared" si="23"/>
        <v>0</v>
      </c>
      <c r="R36" s="86">
        <f t="shared" si="23"/>
        <v>0</v>
      </c>
      <c r="S36" s="113">
        <f t="shared" si="23"/>
        <v>0</v>
      </c>
      <c r="T36" s="86">
        <f t="shared" si="23"/>
        <v>0</v>
      </c>
      <c r="U36" s="113">
        <f t="shared" si="23"/>
        <v>0</v>
      </c>
      <c r="V36" s="86">
        <f t="shared" si="23"/>
        <v>0</v>
      </c>
      <c r="W36" s="113">
        <f t="shared" si="23"/>
        <v>0</v>
      </c>
      <c r="X36" s="86">
        <f t="shared" si="23"/>
        <v>0</v>
      </c>
      <c r="Y36" s="113">
        <f t="shared" si="23"/>
        <v>0</v>
      </c>
      <c r="Z36" s="86">
        <f t="shared" si="23"/>
        <v>0</v>
      </c>
    </row>
    <row r="37" spans="1:27" ht="16.899999999999999" hidden="1" customHeight="1" x14ac:dyDescent="0.25">
      <c r="A37" s="261"/>
      <c r="B37" s="84" t="s">
        <v>99</v>
      </c>
      <c r="C37" s="113">
        <f>Gov.Tax.Calcs!$C$16</f>
        <v>1</v>
      </c>
      <c r="D37" s="86">
        <f>Gov.Tax.Calcs!$C$16</f>
        <v>1</v>
      </c>
      <c r="E37" s="113">
        <f>Gov.Tax.Calcs!$C$16</f>
        <v>1</v>
      </c>
      <c r="F37" s="86">
        <f>Gov.Tax.Calcs!$C$16</f>
        <v>1</v>
      </c>
      <c r="G37" s="113">
        <f>Gov.Tax.Calcs!$C$16</f>
        <v>1</v>
      </c>
      <c r="H37" s="86">
        <f>Gov.Tax.Calcs!$C$16</f>
        <v>1</v>
      </c>
      <c r="I37" s="113">
        <f>Gov.Tax.Calcs!$C$16</f>
        <v>1</v>
      </c>
      <c r="J37" s="86">
        <f>Gov.Tax.Calcs!$C$16</f>
        <v>1</v>
      </c>
      <c r="K37" s="113">
        <f>Gov.Tax.Calcs!$C$16</f>
        <v>1</v>
      </c>
      <c r="L37" s="86">
        <f>Gov.Tax.Calcs!$C$16</f>
        <v>1</v>
      </c>
      <c r="M37" s="113">
        <f>Gov.Tax.Calcs!$C$16</f>
        <v>1</v>
      </c>
      <c r="N37" s="86">
        <f>Gov.Tax.Calcs!$C$16</f>
        <v>1</v>
      </c>
      <c r="O37" s="113">
        <f>Gov.Tax.Calcs!$C$16</f>
        <v>1</v>
      </c>
      <c r="P37" s="86">
        <f>Gov.Tax.Calcs!$C$16</f>
        <v>1</v>
      </c>
      <c r="Q37" s="113">
        <f>Gov.Tax.Calcs!$C$16</f>
        <v>1</v>
      </c>
      <c r="R37" s="86">
        <f>Gov.Tax.Calcs!$C$16</f>
        <v>1</v>
      </c>
      <c r="S37" s="113">
        <f>Gov.Tax.Calcs!$C$16</f>
        <v>1</v>
      </c>
      <c r="T37" s="86">
        <f>Gov.Tax.Calcs!$C$16</f>
        <v>1</v>
      </c>
      <c r="U37" s="113">
        <f>Gov.Tax.Calcs!$C$16</f>
        <v>1</v>
      </c>
      <c r="V37" s="86">
        <f>Gov.Tax.Calcs!$C$16</f>
        <v>1</v>
      </c>
      <c r="W37" s="113">
        <f>Gov.Tax.Calcs!$C$16</f>
        <v>1</v>
      </c>
      <c r="X37" s="86">
        <f>Gov.Tax.Calcs!$C$16</f>
        <v>1</v>
      </c>
      <c r="Y37" s="113">
        <f>Gov.Tax.Calcs!$C$16</f>
        <v>1</v>
      </c>
      <c r="Z37" s="86">
        <f>Gov.Tax.Calcs!$C$16</f>
        <v>1</v>
      </c>
    </row>
    <row r="38" spans="1:27" ht="16.899999999999999" hidden="1" customHeight="1" x14ac:dyDescent="0.25">
      <c r="A38" s="261"/>
      <c r="B38" s="84" t="s">
        <v>100</v>
      </c>
      <c r="C38" s="113">
        <f t="shared" ref="C38:Z38" si="24">VLOOKUP(C37,CLAIM_CODE_TABLE,5,FALSE)</f>
        <v>1869</v>
      </c>
      <c r="D38" s="86">
        <f t="shared" si="24"/>
        <v>1869</v>
      </c>
      <c r="E38" s="113">
        <f t="shared" si="24"/>
        <v>1869</v>
      </c>
      <c r="F38" s="86">
        <f t="shared" si="24"/>
        <v>1869</v>
      </c>
      <c r="G38" s="113">
        <f t="shared" si="24"/>
        <v>1869</v>
      </c>
      <c r="H38" s="86">
        <f t="shared" si="24"/>
        <v>1869</v>
      </c>
      <c r="I38" s="113">
        <f t="shared" si="24"/>
        <v>1869</v>
      </c>
      <c r="J38" s="86">
        <f t="shared" si="24"/>
        <v>1869</v>
      </c>
      <c r="K38" s="113">
        <f t="shared" si="24"/>
        <v>1869</v>
      </c>
      <c r="L38" s="86">
        <f t="shared" si="24"/>
        <v>1869</v>
      </c>
      <c r="M38" s="113">
        <f t="shared" si="24"/>
        <v>1869</v>
      </c>
      <c r="N38" s="86">
        <f t="shared" si="24"/>
        <v>1869</v>
      </c>
      <c r="O38" s="113">
        <f t="shared" si="24"/>
        <v>1869</v>
      </c>
      <c r="P38" s="86">
        <f t="shared" si="24"/>
        <v>1869</v>
      </c>
      <c r="Q38" s="113">
        <f t="shared" si="24"/>
        <v>1869</v>
      </c>
      <c r="R38" s="86">
        <f t="shared" si="24"/>
        <v>1869</v>
      </c>
      <c r="S38" s="113">
        <f t="shared" si="24"/>
        <v>1869</v>
      </c>
      <c r="T38" s="86">
        <f t="shared" si="24"/>
        <v>1869</v>
      </c>
      <c r="U38" s="113">
        <f t="shared" si="24"/>
        <v>1869</v>
      </c>
      <c r="V38" s="86">
        <f t="shared" si="24"/>
        <v>1869</v>
      </c>
      <c r="W38" s="113">
        <f t="shared" si="24"/>
        <v>1869</v>
      </c>
      <c r="X38" s="86">
        <f t="shared" si="24"/>
        <v>1869</v>
      </c>
      <c r="Y38" s="113">
        <f t="shared" si="24"/>
        <v>1869</v>
      </c>
      <c r="Z38" s="86">
        <f t="shared" si="24"/>
        <v>1869</v>
      </c>
    </row>
    <row r="39" spans="1:27" ht="16.899999999999999" hidden="1" customHeight="1" x14ac:dyDescent="0.25">
      <c r="A39" s="261"/>
      <c r="B39" s="84" t="s">
        <v>101</v>
      </c>
      <c r="C39" s="113">
        <f t="shared" ref="C39:Z39" si="25" xml:space="preserve"> 10% * (MAX_ANNUAL_CPP + MAX_ANNUAL_EI)</f>
        <v>340.029</v>
      </c>
      <c r="D39" s="86">
        <f t="shared" si="25"/>
        <v>340.029</v>
      </c>
      <c r="E39" s="113">
        <f t="shared" si="25"/>
        <v>340.029</v>
      </c>
      <c r="F39" s="86">
        <f t="shared" si="25"/>
        <v>340.029</v>
      </c>
      <c r="G39" s="113">
        <f t="shared" si="25"/>
        <v>340.029</v>
      </c>
      <c r="H39" s="86">
        <f t="shared" si="25"/>
        <v>340.029</v>
      </c>
      <c r="I39" s="113">
        <f t="shared" si="25"/>
        <v>340.029</v>
      </c>
      <c r="J39" s="86">
        <f t="shared" si="25"/>
        <v>340.029</v>
      </c>
      <c r="K39" s="113">
        <f t="shared" si="25"/>
        <v>340.029</v>
      </c>
      <c r="L39" s="86">
        <f t="shared" si="25"/>
        <v>340.029</v>
      </c>
      <c r="M39" s="113">
        <f t="shared" si="25"/>
        <v>340.029</v>
      </c>
      <c r="N39" s="86">
        <f t="shared" si="25"/>
        <v>340.029</v>
      </c>
      <c r="O39" s="113">
        <f t="shared" si="25"/>
        <v>340.029</v>
      </c>
      <c r="P39" s="86">
        <f t="shared" si="25"/>
        <v>340.029</v>
      </c>
      <c r="Q39" s="113">
        <f t="shared" si="25"/>
        <v>340.029</v>
      </c>
      <c r="R39" s="86">
        <f t="shared" si="25"/>
        <v>340.029</v>
      </c>
      <c r="S39" s="113">
        <f t="shared" si="25"/>
        <v>340.029</v>
      </c>
      <c r="T39" s="86">
        <f t="shared" si="25"/>
        <v>340.029</v>
      </c>
      <c r="U39" s="113">
        <f t="shared" si="25"/>
        <v>340.029</v>
      </c>
      <c r="V39" s="86">
        <f t="shared" si="25"/>
        <v>340.029</v>
      </c>
      <c r="W39" s="113">
        <f t="shared" si="25"/>
        <v>340.029</v>
      </c>
      <c r="X39" s="86">
        <f t="shared" si="25"/>
        <v>340.029</v>
      </c>
      <c r="Y39" s="113">
        <f t="shared" si="25"/>
        <v>340.029</v>
      </c>
      <c r="Z39" s="86">
        <f t="shared" si="25"/>
        <v>340.029</v>
      </c>
    </row>
    <row r="40" spans="1:27" ht="16.899999999999999" customHeight="1" x14ac:dyDescent="0.25">
      <c r="A40" s="261"/>
      <c r="B40" s="84" t="s">
        <v>10</v>
      </c>
      <c r="C40" s="113">
        <f t="shared" ref="C40:Z40" si="26">ROUND(( (C34 * C35) -C38 - C39) / MRU_J_R,2)</f>
        <v>267.73</v>
      </c>
      <c r="D40" s="86">
        <f t="shared" si="26"/>
        <v>312.82</v>
      </c>
      <c r="E40" s="113">
        <f t="shared" si="26"/>
        <v>292.57</v>
      </c>
      <c r="F40" s="86">
        <f t="shared" si="26"/>
        <v>288.04000000000002</v>
      </c>
      <c r="G40" s="113">
        <f t="shared" si="26"/>
        <v>308.95</v>
      </c>
      <c r="H40" s="86">
        <f t="shared" si="26"/>
        <v>304.2</v>
      </c>
      <c r="I40" s="113">
        <f t="shared" si="26"/>
        <v>308.95</v>
      </c>
      <c r="J40" s="86">
        <f t="shared" si="26"/>
        <v>304.2</v>
      </c>
      <c r="K40" s="113">
        <f t="shared" si="26"/>
        <v>308.95</v>
      </c>
      <c r="L40" s="86">
        <f t="shared" si="26"/>
        <v>254.64</v>
      </c>
      <c r="M40" s="113">
        <f t="shared" si="26"/>
        <v>259.39</v>
      </c>
      <c r="N40" s="86">
        <f t="shared" si="26"/>
        <v>254.64</v>
      </c>
      <c r="O40" s="113">
        <f t="shared" si="26"/>
        <v>259.39</v>
      </c>
      <c r="P40" s="86">
        <f t="shared" si="26"/>
        <v>254.64</v>
      </c>
      <c r="Q40" s="113">
        <f t="shared" si="26"/>
        <v>259.39</v>
      </c>
      <c r="R40" s="86">
        <f t="shared" si="26"/>
        <v>254.64</v>
      </c>
      <c r="S40" s="113">
        <f t="shared" si="26"/>
        <v>396.77</v>
      </c>
      <c r="T40" s="86">
        <f t="shared" si="26"/>
        <v>392.03</v>
      </c>
      <c r="U40" s="113">
        <f t="shared" si="26"/>
        <v>396.77</v>
      </c>
      <c r="V40" s="86">
        <f t="shared" si="26"/>
        <v>392.03</v>
      </c>
      <c r="W40" s="113">
        <f t="shared" si="26"/>
        <v>396.77</v>
      </c>
      <c r="X40" s="86">
        <f t="shared" si="26"/>
        <v>392.03</v>
      </c>
      <c r="Y40" s="113">
        <f t="shared" si="26"/>
        <v>396.77</v>
      </c>
      <c r="Z40" s="86">
        <f t="shared" si="26"/>
        <v>392.03</v>
      </c>
      <c r="AA40" s="3">
        <f>SUM(C40:Z40)</f>
        <v>7648.3399999999974</v>
      </c>
    </row>
    <row r="41" spans="1:27" ht="16.899999999999999" customHeight="1" x14ac:dyDescent="0.25">
      <c r="A41" s="261"/>
      <c r="B41" s="84" t="s">
        <v>11</v>
      </c>
      <c r="C41" s="113">
        <f>MRU.Staff.Constants!B8 * C1</f>
        <v>14.1</v>
      </c>
      <c r="D41" s="86">
        <f>MRU.Staff.Constants!C8 * D1</f>
        <v>0</v>
      </c>
      <c r="E41" s="113">
        <f>MRU.Staff.Constants!D8 * E1</f>
        <v>14.1</v>
      </c>
      <c r="F41" s="86">
        <f>MRU.Staff.Constants!E8 * F1</f>
        <v>0</v>
      </c>
      <c r="G41" s="113">
        <f>MRU.Staff.Constants!F8 * G1</f>
        <v>14.1</v>
      </c>
      <c r="H41" s="86">
        <f>MRU.Staff.Constants!G8 * H1</f>
        <v>0</v>
      </c>
      <c r="I41" s="113">
        <f>MRU.Staff.Constants!H8 * I1</f>
        <v>14.1</v>
      </c>
      <c r="J41" s="86">
        <f>MRU.Staff.Constants!I8 * J1</f>
        <v>0</v>
      </c>
      <c r="K41" s="113">
        <f>MRU.Staff.Constants!J8 * K1</f>
        <v>14.1</v>
      </c>
      <c r="L41" s="86">
        <f>MRU.Staff.Constants!K8 * L1</f>
        <v>0</v>
      </c>
      <c r="M41" s="113">
        <f>MRU.Staff.Constants!L8 * M1</f>
        <v>14.1</v>
      </c>
      <c r="N41" s="86">
        <f>MRU.Staff.Constants!M8 * N1</f>
        <v>0</v>
      </c>
      <c r="O41" s="113">
        <f>MRU.Staff.Constants!N8 * O1</f>
        <v>14.1</v>
      </c>
      <c r="P41" s="86">
        <f>MRU.Staff.Constants!O8 * P1</f>
        <v>0</v>
      </c>
      <c r="Q41" s="113">
        <f>MRU.Staff.Constants!P8 * Q1</f>
        <v>14.1</v>
      </c>
      <c r="R41" s="86">
        <f>MRU.Staff.Constants!Q8 * R1</f>
        <v>0</v>
      </c>
      <c r="S41" s="113">
        <f>MRU.Staff.Constants!R8 * S1</f>
        <v>14.1</v>
      </c>
      <c r="T41" s="86">
        <f>MRU.Staff.Constants!S8 * T1</f>
        <v>0</v>
      </c>
      <c r="U41" s="113">
        <f>MRU.Staff.Constants!T8 * U1</f>
        <v>14.1</v>
      </c>
      <c r="V41" s="86">
        <f>MRU.Staff.Constants!U8 * V1</f>
        <v>0</v>
      </c>
      <c r="W41" s="113">
        <f>MRU.Staff.Constants!V8 * W1</f>
        <v>14.1</v>
      </c>
      <c r="X41" s="86">
        <f>MRU.Staff.Constants!W8 * X1</f>
        <v>0</v>
      </c>
      <c r="Y41" s="113">
        <f>MRU.Staff.Constants!X8 * Y1</f>
        <v>14.1</v>
      </c>
      <c r="Z41" s="86">
        <f>MRU.Staff.Constants!Y8 * Z1</f>
        <v>0</v>
      </c>
    </row>
    <row r="42" spans="1:27" ht="16.899999999999999" customHeight="1" x14ac:dyDescent="0.25">
      <c r="A42" s="261"/>
      <c r="B42" s="84" t="s">
        <v>12</v>
      </c>
      <c r="C42" s="113">
        <f>MRU.Staff.Constants!B9 * C1</f>
        <v>12.1</v>
      </c>
      <c r="D42" s="86">
        <f>MRU.Staff.Constants!C9 * D1</f>
        <v>0</v>
      </c>
      <c r="E42" s="113">
        <f>MRU.Staff.Constants!D9 * E1</f>
        <v>12.1</v>
      </c>
      <c r="F42" s="86">
        <f>MRU.Staff.Constants!E9 * F1</f>
        <v>0</v>
      </c>
      <c r="G42" s="113">
        <f>MRU.Staff.Constants!F9 * G1</f>
        <v>12.1</v>
      </c>
      <c r="H42" s="86">
        <f>MRU.Staff.Constants!G9 * H1</f>
        <v>0</v>
      </c>
      <c r="I42" s="113">
        <f>MRU.Staff.Constants!H9 * I1</f>
        <v>12.1</v>
      </c>
      <c r="J42" s="86">
        <f>MRU.Staff.Constants!I9 * J1</f>
        <v>0</v>
      </c>
      <c r="K42" s="113">
        <f>MRU.Staff.Constants!J9 * K1</f>
        <v>12.1</v>
      </c>
      <c r="L42" s="86">
        <f>MRU.Staff.Constants!K9 * L1</f>
        <v>0</v>
      </c>
      <c r="M42" s="113">
        <f>MRU.Staff.Constants!L9 * M1</f>
        <v>12.1</v>
      </c>
      <c r="N42" s="86">
        <f>MRU.Staff.Constants!M9 * N1</f>
        <v>0</v>
      </c>
      <c r="O42" s="113">
        <f>MRU.Staff.Constants!N9 * O1</f>
        <v>12.1</v>
      </c>
      <c r="P42" s="86">
        <f>MRU.Staff.Constants!O9 * P1</f>
        <v>0</v>
      </c>
      <c r="Q42" s="113">
        <f>MRU.Staff.Constants!P9 * Q1</f>
        <v>12.1</v>
      </c>
      <c r="R42" s="86">
        <f>MRU.Staff.Constants!Q9 * R1</f>
        <v>0</v>
      </c>
      <c r="S42" s="113">
        <f>MRU.Staff.Constants!R9 * S1</f>
        <v>12.1</v>
      </c>
      <c r="T42" s="86">
        <f>MRU.Staff.Constants!S9 * T1</f>
        <v>0</v>
      </c>
      <c r="U42" s="113">
        <f>MRU.Staff.Constants!T9 * U1</f>
        <v>12.1</v>
      </c>
      <c r="V42" s="86">
        <f>MRU.Staff.Constants!U9 * V1</f>
        <v>0</v>
      </c>
      <c r="W42" s="113">
        <f>MRU.Staff.Constants!V9 * W1</f>
        <v>12.1</v>
      </c>
      <c r="X42" s="86">
        <f>MRU.Staff.Constants!W9 * X1</f>
        <v>0</v>
      </c>
      <c r="Y42" s="113">
        <f>MRU.Staff.Constants!X9 * Y1</f>
        <v>12.1</v>
      </c>
      <c r="Z42" s="86">
        <f>MRU.Staff.Constants!Y9 * Z1</f>
        <v>0</v>
      </c>
    </row>
    <row r="43" spans="1:27" ht="16.899999999999999" customHeight="1" x14ac:dyDescent="0.25">
      <c r="A43" s="261"/>
      <c r="B43" s="84" t="s">
        <v>13</v>
      </c>
      <c r="C43" s="113">
        <f>MRU.Staff.Constants!B10 * C1</f>
        <v>67.08</v>
      </c>
      <c r="D43" s="86">
        <f>MRU.Staff.Constants!C10 * D1</f>
        <v>0</v>
      </c>
      <c r="E43" s="113">
        <f>MRU.Staff.Constants!D10 * E1</f>
        <v>67.08</v>
      </c>
      <c r="F43" s="86">
        <f>MRU.Staff.Constants!E10 * F1</f>
        <v>0</v>
      </c>
      <c r="G43" s="113">
        <f>MRU.Staff.Constants!F10 * G1</f>
        <v>67.08</v>
      </c>
      <c r="H43" s="86">
        <f>MRU.Staff.Constants!G10 * H1</f>
        <v>0</v>
      </c>
      <c r="I43" s="113">
        <f>MRU.Staff.Constants!H10 * I1</f>
        <v>67.08</v>
      </c>
      <c r="J43" s="86">
        <f>MRU.Staff.Constants!I10 * J1</f>
        <v>0</v>
      </c>
      <c r="K43" s="113">
        <f>MRU.Staff.Constants!J10 * K1</f>
        <v>67.08</v>
      </c>
      <c r="L43" s="86">
        <f>MRU.Staff.Constants!K10 * L1</f>
        <v>0</v>
      </c>
      <c r="M43" s="113">
        <f>MRU.Staff.Constants!L10 * M1</f>
        <v>67.08</v>
      </c>
      <c r="N43" s="86">
        <f>MRU.Staff.Constants!M10 * N1</f>
        <v>0</v>
      </c>
      <c r="O43" s="113">
        <f>MRU.Staff.Constants!N10 * O1</f>
        <v>67.08</v>
      </c>
      <c r="P43" s="86">
        <f>MRU.Staff.Constants!O10 * P1</f>
        <v>0</v>
      </c>
      <c r="Q43" s="113">
        <f>MRU.Staff.Constants!P10 * Q1</f>
        <v>67.08</v>
      </c>
      <c r="R43" s="86">
        <f>MRU.Staff.Constants!Q10 * R1</f>
        <v>0</v>
      </c>
      <c r="S43" s="113">
        <f>MRU.Staff.Constants!R10 * S1</f>
        <v>67.08</v>
      </c>
      <c r="T43" s="86">
        <f>MRU.Staff.Constants!S10 * T1</f>
        <v>0</v>
      </c>
      <c r="U43" s="113">
        <f>MRU.Staff.Constants!T10 * U1</f>
        <v>67.08</v>
      </c>
      <c r="V43" s="86">
        <f>MRU.Staff.Constants!U10 * V1</f>
        <v>0</v>
      </c>
      <c r="W43" s="113">
        <f>MRU.Staff.Constants!V10 * W1</f>
        <v>67.08</v>
      </c>
      <c r="X43" s="86">
        <f>MRU.Staff.Constants!W10 * X1</f>
        <v>0</v>
      </c>
      <c r="Y43" s="113">
        <f>MRU.Staff.Constants!X10 * Y1</f>
        <v>67.08</v>
      </c>
      <c r="Z43" s="86">
        <f>MRU.Staff.Constants!Y10 * Z1</f>
        <v>0</v>
      </c>
    </row>
    <row r="44" spans="1:27" ht="16.899999999999999" customHeight="1" x14ac:dyDescent="0.25">
      <c r="A44" s="261"/>
      <c r="B44" s="84" t="s">
        <v>14</v>
      </c>
      <c r="C44" s="113">
        <f>ROUND(MRU.Staff.Constants!B11 * C1,2)</f>
        <v>42.26</v>
      </c>
      <c r="D44" s="86">
        <f>ROUND(MRU.Staff.Constants!C11 * D1,2)</f>
        <v>0</v>
      </c>
      <c r="E44" s="113">
        <f>ROUND(MRU.Staff.Constants!D11 * E1,2)</f>
        <v>42.26</v>
      </c>
      <c r="F44" s="86">
        <f>ROUND(MRU.Staff.Constants!E11 * F1,2)</f>
        <v>0</v>
      </c>
      <c r="G44" s="113">
        <f>ROUND(MRU.Staff.Constants!F11 * G1,2)</f>
        <v>42.26</v>
      </c>
      <c r="H44" s="86">
        <f>ROUND(MRU.Staff.Constants!G11 * H1,2)</f>
        <v>0</v>
      </c>
      <c r="I44" s="113">
        <f>ROUND(MRU.Staff.Constants!H11 * I1,2)</f>
        <v>42.26</v>
      </c>
      <c r="J44" s="86">
        <f>ROUND(MRU.Staff.Constants!I11 * J1,2)</f>
        <v>0</v>
      </c>
      <c r="K44" s="113">
        <f>ROUND(MRU.Staff.Constants!J11 * K1,2)</f>
        <v>42.26</v>
      </c>
      <c r="L44" s="86">
        <f>ROUND(MRU.Staff.Constants!K11 * L1,2)</f>
        <v>0</v>
      </c>
      <c r="M44" s="113">
        <f>ROUND(MRU.Staff.Constants!L11 * M1,2)</f>
        <v>42.26</v>
      </c>
      <c r="N44" s="86">
        <f>ROUND(MRU.Staff.Constants!M11 * N1,2)</f>
        <v>0</v>
      </c>
      <c r="O44" s="113">
        <f>ROUND(MRU.Staff.Constants!N11 * O1,2)</f>
        <v>42.26</v>
      </c>
      <c r="P44" s="86">
        <f>ROUND(MRU.Staff.Constants!O11 * P1,2)</f>
        <v>0</v>
      </c>
      <c r="Q44" s="113">
        <f>ROUND(MRU.Staff.Constants!P11 * Q1,2)</f>
        <v>42.26</v>
      </c>
      <c r="R44" s="86">
        <f>ROUND(MRU.Staff.Constants!Q11 * R1,2)</f>
        <v>0</v>
      </c>
      <c r="S44" s="113">
        <f>ROUND(MRU.Staff.Constants!R11 * S1,2)</f>
        <v>42.26</v>
      </c>
      <c r="T44" s="86">
        <f>ROUND(MRU.Staff.Constants!S11 * T1,2)</f>
        <v>0</v>
      </c>
      <c r="U44" s="113">
        <f>ROUND(MRU.Staff.Constants!T11 * U1,2)</f>
        <v>42.26</v>
      </c>
      <c r="V44" s="86">
        <f>ROUND(MRU.Staff.Constants!U11 * V1,2)</f>
        <v>0</v>
      </c>
      <c r="W44" s="113">
        <f>ROUND(MRU.Staff.Constants!V11 * W1,2)</f>
        <v>42.26</v>
      </c>
      <c r="X44" s="86">
        <f>ROUND(MRU.Staff.Constants!W11 * X1,2)</f>
        <v>0</v>
      </c>
      <c r="Y44" s="113">
        <f>ROUND(MRU.Staff.Constants!X11 * Y1,2)</f>
        <v>42.26</v>
      </c>
      <c r="Z44" s="86">
        <f>ROUND(MRU.Staff.Constants!Y11 * Z1,2)</f>
        <v>0</v>
      </c>
    </row>
    <row r="45" spans="1:27" ht="16.899999999999999" customHeight="1" x14ac:dyDescent="0.25">
      <c r="A45" s="261"/>
      <c r="B45" s="84" t="s">
        <v>15</v>
      </c>
      <c r="C45" s="113">
        <f>ROUND(C4 * 2 * MRU.Staff.Constants!B12 * C1,2)</f>
        <v>157.43</v>
      </c>
      <c r="D45" s="86">
        <f>ROUND(D4 * 2 * MRU.Staff.Constants!C12 * D1,2)</f>
        <v>0</v>
      </c>
      <c r="E45" s="113">
        <f>ROUND(E4 * 2 * MRU.Staff.Constants!D12 * E1,2)</f>
        <v>157.43</v>
      </c>
      <c r="F45" s="86">
        <f>ROUND(F4 * 2 * MRU.Staff.Constants!E12 * F1,2)</f>
        <v>0</v>
      </c>
      <c r="G45" s="113">
        <f>ROUND(G4 * 2 * MRU.Staff.Constants!F12 * G1,2)</f>
        <v>165.33</v>
      </c>
      <c r="H45" s="86">
        <f>ROUND(H4 * 2 * MRU.Staff.Constants!G12 * H1,2)</f>
        <v>0</v>
      </c>
      <c r="I45" s="113">
        <f>ROUND(I4 * 2 * MRU.Staff.Constants!H12 * I1,2)</f>
        <v>165.33</v>
      </c>
      <c r="J45" s="86">
        <f>ROUND(J4 * 2 * MRU.Staff.Constants!I12 * J1,2)</f>
        <v>0</v>
      </c>
      <c r="K45" s="113">
        <f>ROUND(K4 * 2 * MRU.Staff.Constants!J12 * K1,2)</f>
        <v>165.33</v>
      </c>
      <c r="L45" s="86">
        <f>ROUND(L4 * 2 * MRU.Staff.Constants!K12 * L1,2)</f>
        <v>0</v>
      </c>
      <c r="M45" s="113">
        <f>ROUND(M4 * 2 * MRU.Staff.Constants!L12 * M1,2)</f>
        <v>165.33</v>
      </c>
      <c r="N45" s="86">
        <f>ROUND(N4 * 2 * MRU.Staff.Constants!M12 * N1,2)</f>
        <v>0</v>
      </c>
      <c r="O45" s="113">
        <f>ROUND(O4 * 2 * MRU.Staff.Constants!N12 * O1,2)</f>
        <v>165.33</v>
      </c>
      <c r="P45" s="86">
        <f>ROUND(P4 * 2 * MRU.Staff.Constants!O12 * P1,2)</f>
        <v>0</v>
      </c>
      <c r="Q45" s="113">
        <f>ROUND(Q4 * 2 * MRU.Staff.Constants!P12 * Q1,2)</f>
        <v>165.33</v>
      </c>
      <c r="R45" s="86">
        <f>ROUND(R4 * 2 * MRU.Staff.Constants!Q12 * R1,2)</f>
        <v>0</v>
      </c>
      <c r="S45" s="113">
        <f>ROUND(S4 * 2 * MRU.Staff.Constants!R12 * S1,2)</f>
        <v>165.33</v>
      </c>
      <c r="T45" s="86">
        <f>ROUND(T4 * 2 * MRU.Staff.Constants!S12 * T1,2)</f>
        <v>0</v>
      </c>
      <c r="U45" s="113">
        <f>ROUND(U4 * 2 * MRU.Staff.Constants!T12 * U1,2)</f>
        <v>165.33</v>
      </c>
      <c r="V45" s="86">
        <f>ROUND(V4 * 2 * MRU.Staff.Constants!U12 * V1,2)</f>
        <v>0</v>
      </c>
      <c r="W45" s="113">
        <f>ROUND(W4 * 2 * MRU.Staff.Constants!V12 * W1,2)</f>
        <v>165.33</v>
      </c>
      <c r="X45" s="86">
        <f>ROUND(X4 * 2 * MRU.Staff.Constants!W12 * X1,2)</f>
        <v>0</v>
      </c>
      <c r="Y45" s="113">
        <f>ROUND(Y4 * 2 * MRU.Staff.Constants!X12 * Y1,2)</f>
        <v>165.33</v>
      </c>
      <c r="Z45" s="86">
        <f>ROUND(Z4 * 2 * MRU.Staff.Constants!Y12 * Z1,2)</f>
        <v>0</v>
      </c>
    </row>
    <row r="46" spans="1:27" ht="16.899999999999999" customHeight="1" x14ac:dyDescent="0.25">
      <c r="A46" s="261"/>
      <c r="B46" s="84" t="s">
        <v>16</v>
      </c>
      <c r="C46" s="115">
        <f>MRU.Staff.Constants!B13/2 * C1</f>
        <v>48.5</v>
      </c>
      <c r="D46" s="88">
        <f>MRU.Staff.Constants!C13/2</f>
        <v>48.5</v>
      </c>
      <c r="E46" s="115">
        <f>MRU.Staff.Constants!D13/2</f>
        <v>48.5</v>
      </c>
      <c r="F46" s="88">
        <f>MRU.Staff.Constants!E13/2</f>
        <v>48.5</v>
      </c>
      <c r="G46" s="115">
        <f>MRU.Staff.Constants!F13/2</f>
        <v>48.5</v>
      </c>
      <c r="H46" s="88">
        <f>MRU.Staff.Constants!G13/2</f>
        <v>48.5</v>
      </c>
      <c r="I46" s="115">
        <f>MRU.Staff.Constants!H13/2</f>
        <v>48.5</v>
      </c>
      <c r="J46" s="88">
        <f>MRU.Staff.Constants!I13/2</f>
        <v>48.5</v>
      </c>
      <c r="K46" s="115">
        <f>MRU.Staff.Constants!J13/2</f>
        <v>48.5</v>
      </c>
      <c r="L46" s="88">
        <f>MRU.Staff.Constants!K13/2</f>
        <v>48.5</v>
      </c>
      <c r="M46" s="115">
        <f>MRU.Staff.Constants!L13/2</f>
        <v>48.5</v>
      </c>
      <c r="N46" s="88">
        <f>MRU.Staff.Constants!M13/2</f>
        <v>48.5</v>
      </c>
      <c r="O46" s="138">
        <f>MRU.Staff.Constants!N13/2</f>
        <v>50</v>
      </c>
      <c r="P46" s="88">
        <f>MRU.Staff.Constants!O13/2</f>
        <v>50</v>
      </c>
      <c r="Q46" s="115">
        <f>MRU.Staff.Constants!P13/2</f>
        <v>50</v>
      </c>
      <c r="R46" s="88">
        <f>MRU.Staff.Constants!Q13/2</f>
        <v>50</v>
      </c>
      <c r="S46" s="115">
        <f>MRU.Staff.Constants!R13/2</f>
        <v>50</v>
      </c>
      <c r="T46" s="88">
        <f>MRU.Staff.Constants!S13/2</f>
        <v>50</v>
      </c>
      <c r="U46" s="115">
        <f>MRU.Staff.Constants!T13/2</f>
        <v>50</v>
      </c>
      <c r="V46" s="88">
        <f>MRU.Staff.Constants!U13/2</f>
        <v>50</v>
      </c>
      <c r="W46" s="115">
        <f>MRU.Staff.Constants!V13/2</f>
        <v>50</v>
      </c>
      <c r="X46" s="88">
        <f>MRU.Staff.Constants!W13/2</f>
        <v>50</v>
      </c>
      <c r="Y46" s="115">
        <f>MRU.Staff.Constants!X13/2</f>
        <v>50</v>
      </c>
      <c r="Z46" s="88">
        <f>MRU.Staff.Constants!Y13/2</f>
        <v>50</v>
      </c>
    </row>
    <row r="47" spans="1:27" ht="16.899999999999999" customHeight="1" x14ac:dyDescent="0.25">
      <c r="A47" s="261"/>
      <c r="B47" s="89" t="s">
        <v>58</v>
      </c>
      <c r="C47" s="115">
        <v>0</v>
      </c>
      <c r="D47" s="88">
        <v>0</v>
      </c>
      <c r="E47" s="115">
        <v>0</v>
      </c>
      <c r="F47" s="88">
        <v>0</v>
      </c>
      <c r="G47" s="115">
        <v>0</v>
      </c>
      <c r="H47" s="88">
        <v>0</v>
      </c>
      <c r="I47" s="115">
        <v>0</v>
      </c>
      <c r="J47" s="88">
        <v>0</v>
      </c>
      <c r="K47" s="115">
        <v>0</v>
      </c>
      <c r="L47" s="88">
        <v>0</v>
      </c>
      <c r="M47" s="115">
        <v>0</v>
      </c>
      <c r="N47" s="88">
        <v>0</v>
      </c>
      <c r="O47" s="115">
        <v>0</v>
      </c>
      <c r="P47" s="88">
        <v>0</v>
      </c>
      <c r="Q47" s="115">
        <v>0</v>
      </c>
      <c r="R47" s="88">
        <v>0</v>
      </c>
      <c r="S47" s="115">
        <v>0</v>
      </c>
      <c r="T47" s="88">
        <v>0</v>
      </c>
      <c r="U47" s="115">
        <v>0</v>
      </c>
      <c r="V47" s="88">
        <v>0</v>
      </c>
      <c r="W47" s="115">
        <v>0</v>
      </c>
      <c r="X47" s="88">
        <v>0</v>
      </c>
      <c r="Y47" s="115">
        <v>0</v>
      </c>
      <c r="Z47" s="88">
        <v>0</v>
      </c>
    </row>
    <row r="48" spans="1:27" ht="16.899999999999999" customHeight="1" thickBot="1" x14ac:dyDescent="0.3">
      <c r="A48" s="262"/>
      <c r="B48" s="98"/>
      <c r="C48" s="116">
        <f>SUM(C11,C12,C13,C19,C25,C33,C40,C41,C42,C43,C44,C45,C46,C47)</f>
        <v>1879.0499999999997</v>
      </c>
      <c r="D48" s="106">
        <f t="shared" ref="D48:Z48" si="27">SUM(D11,D12,D13,D19,D25,D33,D40,D41,D42,D43,D44,D45,D46,D47)</f>
        <v>1770.9599999999998</v>
      </c>
      <c r="E48" s="116">
        <f t="shared" si="27"/>
        <v>1974.2999999999997</v>
      </c>
      <c r="F48" s="106">
        <f t="shared" si="27"/>
        <v>1664.19</v>
      </c>
      <c r="G48" s="116">
        <f t="shared" si="27"/>
        <v>2081.9199999999996</v>
      </c>
      <c r="H48" s="106">
        <f t="shared" si="27"/>
        <v>1761.61</v>
      </c>
      <c r="I48" s="116">
        <f t="shared" si="27"/>
        <v>2081.9199999999996</v>
      </c>
      <c r="J48" s="106">
        <f t="shared" si="27"/>
        <v>1761.61</v>
      </c>
      <c r="K48" s="116">
        <f t="shared" si="27"/>
        <v>2081.9199999999996</v>
      </c>
      <c r="L48" s="106">
        <f t="shared" si="27"/>
        <v>1565.02</v>
      </c>
      <c r="M48" s="116">
        <f t="shared" si="27"/>
        <v>1882.7299999999998</v>
      </c>
      <c r="N48" s="106">
        <f t="shared" si="27"/>
        <v>1563.4899999999998</v>
      </c>
      <c r="O48" s="116">
        <f t="shared" si="27"/>
        <v>1720.7599999999995</v>
      </c>
      <c r="P48" s="106">
        <f t="shared" si="27"/>
        <v>1312.48</v>
      </c>
      <c r="Q48" s="116">
        <f t="shared" si="27"/>
        <v>1627.8399999999995</v>
      </c>
      <c r="R48" s="106">
        <f t="shared" si="27"/>
        <v>1312.48</v>
      </c>
      <c r="S48" s="116">
        <f t="shared" si="27"/>
        <v>2119.1299999999997</v>
      </c>
      <c r="T48" s="106">
        <f t="shared" si="27"/>
        <v>1801.18</v>
      </c>
      <c r="U48" s="116">
        <f t="shared" si="27"/>
        <v>2119.1299999999997</v>
      </c>
      <c r="V48" s="106">
        <f t="shared" si="27"/>
        <v>1801.18</v>
      </c>
      <c r="W48" s="139">
        <f t="shared" si="27"/>
        <v>2119.1299999999997</v>
      </c>
      <c r="X48" s="91">
        <f t="shared" si="27"/>
        <v>1801.18</v>
      </c>
      <c r="Y48" s="139">
        <f t="shared" si="27"/>
        <v>2119.1299999999997</v>
      </c>
      <c r="Z48" s="91">
        <f t="shared" si="27"/>
        <v>1801.18</v>
      </c>
    </row>
    <row r="49" spans="1:27" ht="16.899999999999999" customHeight="1" x14ac:dyDescent="0.25">
      <c r="A49" s="263" t="s">
        <v>20</v>
      </c>
      <c r="B49" s="92" t="s">
        <v>17</v>
      </c>
      <c r="C49" s="117">
        <f>(ROUNDUP(3 * C4 * MRU_J_R,  -3) / 1000) * MRU.Staff.Constants!B14 *C1</f>
        <v>4.0949999999999998</v>
      </c>
      <c r="D49" s="94">
        <f>(ROUNDUP(3 * D4 * MRU_J_R,  -3) / 1000) * MRU.Staff.Constants!C14 *D1</f>
        <v>0</v>
      </c>
      <c r="E49" s="117">
        <f>(ROUNDUP(3 * E4 * MRU_J_R,  -3) / 1000) * MRU.Staff.Constants!D14 *E1</f>
        <v>4.0949999999999998</v>
      </c>
      <c r="F49" s="94">
        <f>(ROUNDUP(3 * F4 * MRU_J_R,  -3) / 1000) * MRU.Staff.Constants!E14 *F1</f>
        <v>0</v>
      </c>
      <c r="G49" s="117">
        <f>(ROUNDUP(3 * G4 * MRU_J_R,  -3) / 1000) * MRU.Staff.Constants!F14 *G1</f>
        <v>4.29</v>
      </c>
      <c r="H49" s="94">
        <f>(ROUNDUP(3 * H4 * MRU_J_R,  -3) / 1000) * MRU.Staff.Constants!G14 *H1</f>
        <v>0</v>
      </c>
      <c r="I49" s="117">
        <f>(ROUNDUP(3 * I4 * MRU_J_R,  -3) / 1000) * MRU.Staff.Constants!H14 *I1</f>
        <v>4.29</v>
      </c>
      <c r="J49" s="94">
        <f>(ROUNDUP(3 * J4 * MRU_J_R,  -3) / 1000) * MRU.Staff.Constants!I14 *J1</f>
        <v>0</v>
      </c>
      <c r="K49" s="117">
        <f>(ROUNDUP(3 * K4 * MRU_J_R,  -3) / 1000) * MRU.Staff.Constants!J14 *K1</f>
        <v>4.29</v>
      </c>
      <c r="L49" s="94">
        <f>(ROUNDUP(3 * L4 * MRU_J_R,  -3) / 1000) * MRU.Staff.Constants!K14 *L1</f>
        <v>0</v>
      </c>
      <c r="M49" s="117">
        <f>(ROUNDUP(3 * M4 * MRU_J_R,  -3) / 1000) * MRU.Staff.Constants!L14 *M1</f>
        <v>4.29</v>
      </c>
      <c r="N49" s="94">
        <f>(ROUNDUP(3 * N4 * MRU_J_R,  -3) / 1000) * MRU.Staff.Constants!M14 *N1</f>
        <v>0</v>
      </c>
      <c r="O49" s="117">
        <f>(ROUNDUP(3 * O4 * MRU_J_R,  -3) / 1000) * MRU.Staff.Constants!N14 *O1</f>
        <v>4.29</v>
      </c>
      <c r="P49" s="94">
        <f>(ROUNDUP(3 * P4 * MRU_J_R,  -3) / 1000) * MRU.Staff.Constants!O14 *P1</f>
        <v>0</v>
      </c>
      <c r="Q49" s="117">
        <f>(ROUNDUP(3 * Q4 * MRU_J_R,  -3) / 1000) * MRU.Staff.Constants!P14 *Q1</f>
        <v>4.29</v>
      </c>
      <c r="R49" s="94">
        <f>(ROUNDUP(3 * R4 * MRU_J_R,  -3) / 1000) * MRU.Staff.Constants!Q14 *R1</f>
        <v>0</v>
      </c>
      <c r="S49" s="117">
        <f>(ROUNDUP(3 * S4 * MRU_J_R,  -3) / 1000) * MRU.Staff.Constants!R14 *S1</f>
        <v>4.29</v>
      </c>
      <c r="T49" s="94">
        <f>(ROUNDUP(3 * T4 * MRU_J_R,  -3) / 1000) * MRU.Staff.Constants!S14 *T1</f>
        <v>0</v>
      </c>
      <c r="U49" s="117">
        <f>(ROUNDUP(3 * U4 * MRU_J_R,  -3) / 1000) * MRU.Staff.Constants!T14 *U1</f>
        <v>4.29</v>
      </c>
      <c r="V49" s="94">
        <f>(ROUNDUP(3 * V4 * MRU_J_R,  -3) / 1000) * MRU.Staff.Constants!U14 *V1</f>
        <v>0</v>
      </c>
      <c r="W49" s="117">
        <f>(ROUNDUP(3 * W4 * MRU_J_R,  -3) / 1000) * MRU.Staff.Constants!V14 *W1</f>
        <v>4.29</v>
      </c>
      <c r="X49" s="94">
        <f>(ROUNDUP(3 * X4 * MRU_J_R,  -3) / 1000) * MRU.Staff.Constants!W14 *X1</f>
        <v>0</v>
      </c>
      <c r="Y49" s="117">
        <f>(ROUNDUP(3 * Y4 * MRU_J_R,  -3) / 1000) * MRU.Staff.Constants!X14 *Y1</f>
        <v>4.29</v>
      </c>
      <c r="Z49" s="94">
        <f>(ROUNDUP(3 * Z4 * MRU_J_R,  -3) / 1000) * MRU.Staff.Constants!Y14 *Z1</f>
        <v>0</v>
      </c>
    </row>
    <row r="50" spans="1:27" ht="16.899999999999999" customHeight="1" x14ac:dyDescent="0.25">
      <c r="A50" s="264"/>
      <c r="B50" s="95" t="s">
        <v>18</v>
      </c>
      <c r="C50" s="118">
        <f>(ROUNDUP(3 *C4 * MRU_J_R,  -3) / 1000) * MRU.Staff.Constants!B15 * C1</f>
        <v>41.222999999999999</v>
      </c>
      <c r="D50" s="97">
        <f>(ROUNDUP(3 *D4 * MRU_J_R,  -3) / 1000) * MRU.Staff.Constants!C15 * D1</f>
        <v>0</v>
      </c>
      <c r="E50" s="118">
        <f>(ROUNDUP(3 *E4 * MRU_J_R,  -3) / 1000) * MRU.Staff.Constants!D15 * E1</f>
        <v>41.222999999999999</v>
      </c>
      <c r="F50" s="97">
        <f>(ROUNDUP(3 *F4 * MRU_J_R,  -3) / 1000) * MRU.Staff.Constants!E15 * F1</f>
        <v>0</v>
      </c>
      <c r="G50" s="118">
        <f>(ROUNDUP(3 *G4 * MRU_J_R,  -3) / 1000) * MRU.Staff.Constants!F15 * G1</f>
        <v>43.186</v>
      </c>
      <c r="H50" s="97">
        <f>(ROUNDUP(3 *H4 * MRU_J_R,  -3) / 1000) * MRU.Staff.Constants!G15 * H1</f>
        <v>0</v>
      </c>
      <c r="I50" s="118">
        <f>(ROUNDUP(3 *I4 * MRU_J_R,  -3) / 1000) * MRU.Staff.Constants!H15 * I1</f>
        <v>43.186</v>
      </c>
      <c r="J50" s="97">
        <f>(ROUNDUP(3 *J4 * MRU_J_R,  -3) / 1000) * MRU.Staff.Constants!I15 * J1</f>
        <v>0</v>
      </c>
      <c r="K50" s="118">
        <f>(ROUNDUP(3 *K4 * MRU_J_R,  -3) / 1000) * MRU.Staff.Constants!J15 * K1</f>
        <v>43.186</v>
      </c>
      <c r="L50" s="97">
        <f>(ROUNDUP(3 *L4 * MRU_J_R,  -3) / 1000) * MRU.Staff.Constants!K15 * L1</f>
        <v>0</v>
      </c>
      <c r="M50" s="118">
        <f>(ROUNDUP(3 *M4 * MRU_J_R,  -3) / 1000) * MRU.Staff.Constants!L15 * M1</f>
        <v>43.186</v>
      </c>
      <c r="N50" s="97">
        <f>(ROUNDUP(3 *N4 * MRU_J_R,  -3) / 1000) * MRU.Staff.Constants!M15 * N1</f>
        <v>0</v>
      </c>
      <c r="O50" s="118">
        <f>(ROUNDUP(3 *O4 * MRU_J_R,  -3) / 1000) * MRU.Staff.Constants!N15 * O1</f>
        <v>43.186</v>
      </c>
      <c r="P50" s="97">
        <f>(ROUNDUP(3 *P4 * MRU_J_R,  -3) / 1000) * MRU.Staff.Constants!O15 * P1</f>
        <v>0</v>
      </c>
      <c r="Q50" s="118">
        <f>(ROUNDUP(3 *Q4 * MRU_J_R,  -3) / 1000) * MRU.Staff.Constants!P15 * Q1</f>
        <v>43.186</v>
      </c>
      <c r="R50" s="97">
        <f>(ROUNDUP(3 *R4 * MRU_J_R,  -3) / 1000) * MRU.Staff.Constants!Q15 * R1</f>
        <v>0</v>
      </c>
      <c r="S50" s="118">
        <f>(ROUNDUP(3 *S4 * MRU_J_R,  -3) / 1000) * MRU.Staff.Constants!R15 * S1</f>
        <v>43.186</v>
      </c>
      <c r="T50" s="97">
        <f>(ROUNDUP(3 *T4 * MRU_J_R,  -3) / 1000) * MRU.Staff.Constants!S15 * T1</f>
        <v>0</v>
      </c>
      <c r="U50" s="118">
        <f>(ROUNDUP(3 *U4 * MRU_J_R,  -3) / 1000) * MRU.Staff.Constants!T15 * U1</f>
        <v>43.186</v>
      </c>
      <c r="V50" s="97">
        <f>(ROUNDUP(3 *V4 * MRU_J_R,  -3) / 1000) * MRU.Staff.Constants!U15 * V1</f>
        <v>0</v>
      </c>
      <c r="W50" s="118">
        <f>(ROUNDUP(3 *W4 * MRU_J_R,  -3) / 1000) * MRU.Staff.Constants!V15 * W1</f>
        <v>43.186</v>
      </c>
      <c r="X50" s="97">
        <f>(ROUNDUP(3 *X4 * MRU_J_R,  -3) / 1000) * MRU.Staff.Constants!W15 * X1</f>
        <v>0</v>
      </c>
      <c r="Y50" s="118">
        <f>(ROUNDUP(3 *Y4 * MRU_J_R,  -3) / 1000) * MRU.Staff.Constants!X15 * Y1</f>
        <v>43.186</v>
      </c>
      <c r="Z50" s="97">
        <f>(ROUNDUP(3 *Z4 * MRU_J_R,  -3) / 1000) * MRU.Staff.Constants!Y15 * Z1</f>
        <v>0</v>
      </c>
    </row>
    <row r="51" spans="1:27" ht="16.899999999999999" customHeight="1" thickBot="1" x14ac:dyDescent="0.3">
      <c r="A51" s="265"/>
      <c r="B51" s="103"/>
      <c r="C51" s="144">
        <f>SUM(C49:C50)</f>
        <v>45.317999999999998</v>
      </c>
      <c r="D51" s="105">
        <f t="shared" ref="D51:Z51" si="28">SUM(D49:D50)</f>
        <v>0</v>
      </c>
      <c r="E51" s="145">
        <f t="shared" si="28"/>
        <v>45.317999999999998</v>
      </c>
      <c r="F51" s="105">
        <f t="shared" si="28"/>
        <v>0</v>
      </c>
      <c r="G51" s="145">
        <f t="shared" si="28"/>
        <v>47.475999999999999</v>
      </c>
      <c r="H51" s="105">
        <f t="shared" si="28"/>
        <v>0</v>
      </c>
      <c r="I51" s="145">
        <f t="shared" si="28"/>
        <v>47.475999999999999</v>
      </c>
      <c r="J51" s="105">
        <f t="shared" si="28"/>
        <v>0</v>
      </c>
      <c r="K51" s="145">
        <f t="shared" si="28"/>
        <v>47.475999999999999</v>
      </c>
      <c r="L51" s="105">
        <f t="shared" si="28"/>
        <v>0</v>
      </c>
      <c r="M51" s="145">
        <f t="shared" si="28"/>
        <v>47.475999999999999</v>
      </c>
      <c r="N51" s="105">
        <f t="shared" si="28"/>
        <v>0</v>
      </c>
      <c r="O51" s="145">
        <f t="shared" si="28"/>
        <v>47.475999999999999</v>
      </c>
      <c r="P51" s="105">
        <f t="shared" si="28"/>
        <v>0</v>
      </c>
      <c r="Q51" s="145">
        <f t="shared" si="28"/>
        <v>47.475999999999999</v>
      </c>
      <c r="R51" s="105">
        <f t="shared" si="28"/>
        <v>0</v>
      </c>
      <c r="S51" s="145">
        <f t="shared" si="28"/>
        <v>47.475999999999999</v>
      </c>
      <c r="T51" s="105">
        <f t="shared" si="28"/>
        <v>0</v>
      </c>
      <c r="U51" s="145">
        <f t="shared" si="28"/>
        <v>47.475999999999999</v>
      </c>
      <c r="V51" s="105">
        <f t="shared" si="28"/>
        <v>0</v>
      </c>
      <c r="W51" s="145">
        <f t="shared" si="28"/>
        <v>47.475999999999999</v>
      </c>
      <c r="X51" s="105">
        <f t="shared" si="28"/>
        <v>0</v>
      </c>
      <c r="Y51" s="145">
        <f t="shared" si="28"/>
        <v>47.475999999999999</v>
      </c>
      <c r="Z51" s="105">
        <f t="shared" si="28"/>
        <v>0</v>
      </c>
      <c r="AA51" s="3">
        <f>SUM(C51:Z51)</f>
        <v>565.39599999999996</v>
      </c>
    </row>
    <row r="52" spans="1:27" x14ac:dyDescent="0.25">
      <c r="A52" s="107"/>
      <c r="B52" s="129"/>
      <c r="C52" s="107"/>
      <c r="D52" s="73"/>
      <c r="E52" s="107"/>
      <c r="F52" s="73"/>
      <c r="G52" s="107"/>
      <c r="H52" s="73"/>
      <c r="I52" s="107"/>
      <c r="J52" s="73"/>
      <c r="K52" s="107" t="s">
        <v>59</v>
      </c>
      <c r="L52" s="73"/>
      <c r="M52" s="107"/>
      <c r="N52" s="73"/>
      <c r="O52" s="107"/>
      <c r="P52" s="73"/>
      <c r="Q52" s="107"/>
      <c r="R52" s="73"/>
      <c r="S52" s="107"/>
      <c r="T52" s="73"/>
      <c r="U52" s="107"/>
      <c r="V52" s="73"/>
      <c r="W52" s="107"/>
      <c r="X52" s="73"/>
      <c r="Y52" s="107"/>
      <c r="Z52" s="73"/>
    </row>
    <row r="53" spans="1:27" x14ac:dyDescent="0.25">
      <c r="A53" s="119"/>
      <c r="B53" s="130" t="s">
        <v>102</v>
      </c>
      <c r="C53" s="120">
        <f>C8-C48</f>
        <v>2151.9599999999996</v>
      </c>
      <c r="D53" s="121">
        <f t="shared" ref="D53:Z53" si="29">D8-D48</f>
        <v>2760.6699999999992</v>
      </c>
      <c r="E53" s="120">
        <f t="shared" si="29"/>
        <v>2307.02</v>
      </c>
      <c r="F53" s="121">
        <f t="shared" si="29"/>
        <v>2617.1299999999997</v>
      </c>
      <c r="G53" s="120">
        <f t="shared" si="29"/>
        <v>2389.190000000001</v>
      </c>
      <c r="H53" s="121">
        <f t="shared" si="29"/>
        <v>2709.5000000000009</v>
      </c>
      <c r="I53" s="120">
        <f t="shared" si="29"/>
        <v>2389.190000000001</v>
      </c>
      <c r="J53" s="121">
        <f t="shared" si="29"/>
        <v>2709.5000000000009</v>
      </c>
      <c r="K53" s="120">
        <f t="shared" si="29"/>
        <v>2389.190000000001</v>
      </c>
      <c r="L53" s="121">
        <f t="shared" si="29"/>
        <v>2405.48</v>
      </c>
      <c r="M53" s="120">
        <f t="shared" si="29"/>
        <v>2087.7700000000004</v>
      </c>
      <c r="N53" s="121">
        <f t="shared" si="29"/>
        <v>2407.0100000000002</v>
      </c>
      <c r="O53" s="120">
        <f t="shared" si="29"/>
        <v>2249.7400000000007</v>
      </c>
      <c r="P53" s="121">
        <f t="shared" si="29"/>
        <v>2658.02</v>
      </c>
      <c r="Q53" s="120">
        <f t="shared" si="29"/>
        <v>2342.6600000000008</v>
      </c>
      <c r="R53" s="121">
        <f t="shared" si="29"/>
        <v>2658.02</v>
      </c>
      <c r="S53" s="120">
        <f t="shared" si="29"/>
        <v>3239.1300000000006</v>
      </c>
      <c r="T53" s="121">
        <f t="shared" si="29"/>
        <v>3557.08</v>
      </c>
      <c r="U53" s="120">
        <f t="shared" si="29"/>
        <v>3239.1300000000006</v>
      </c>
      <c r="V53" s="121">
        <f t="shared" si="29"/>
        <v>3557.08</v>
      </c>
      <c r="W53" s="120">
        <f t="shared" si="29"/>
        <v>3239.1300000000006</v>
      </c>
      <c r="X53" s="121">
        <f t="shared" si="29"/>
        <v>3557.08</v>
      </c>
      <c r="Y53" s="120">
        <f t="shared" si="29"/>
        <v>3239.1300000000006</v>
      </c>
      <c r="Z53" s="121">
        <f t="shared" si="29"/>
        <v>3557.08</v>
      </c>
      <c r="AA53" s="3">
        <f>SUM(C53:Z53)</f>
        <v>66416.89</v>
      </c>
    </row>
    <row r="54" spans="1:27" x14ac:dyDescent="0.25">
      <c r="A54" s="119"/>
      <c r="B54" s="130" t="s">
        <v>119</v>
      </c>
      <c r="C54" s="120">
        <f>C53+C46</f>
        <v>2200.4599999999996</v>
      </c>
      <c r="D54" s="121">
        <f t="shared" ref="D54:Z54" si="30">D53+D46</f>
        <v>2809.1699999999992</v>
      </c>
      <c r="E54" s="120">
        <f t="shared" si="30"/>
        <v>2355.52</v>
      </c>
      <c r="F54" s="121">
        <f t="shared" si="30"/>
        <v>2665.6299999999997</v>
      </c>
      <c r="G54" s="120">
        <f t="shared" si="30"/>
        <v>2437.690000000001</v>
      </c>
      <c r="H54" s="121">
        <f t="shared" si="30"/>
        <v>2758.0000000000009</v>
      </c>
      <c r="I54" s="120">
        <f t="shared" si="30"/>
        <v>2437.690000000001</v>
      </c>
      <c r="J54" s="121">
        <f t="shared" si="30"/>
        <v>2758.0000000000009</v>
      </c>
      <c r="K54" s="120">
        <f t="shared" si="30"/>
        <v>2437.690000000001</v>
      </c>
      <c r="L54" s="121">
        <f t="shared" si="30"/>
        <v>2453.98</v>
      </c>
      <c r="M54" s="120">
        <f t="shared" si="30"/>
        <v>2136.2700000000004</v>
      </c>
      <c r="N54" s="121">
        <f t="shared" si="30"/>
        <v>2455.5100000000002</v>
      </c>
      <c r="O54" s="120">
        <f t="shared" si="30"/>
        <v>2299.7400000000007</v>
      </c>
      <c r="P54" s="121">
        <f t="shared" si="30"/>
        <v>2708.02</v>
      </c>
      <c r="Q54" s="120">
        <f t="shared" si="30"/>
        <v>2392.6600000000008</v>
      </c>
      <c r="R54" s="121">
        <f t="shared" si="30"/>
        <v>2708.02</v>
      </c>
      <c r="S54" s="120">
        <f t="shared" si="30"/>
        <v>3289.1300000000006</v>
      </c>
      <c r="T54" s="121">
        <f t="shared" si="30"/>
        <v>3607.08</v>
      </c>
      <c r="U54" s="120">
        <f t="shared" si="30"/>
        <v>3289.1300000000006</v>
      </c>
      <c r="V54" s="121">
        <f t="shared" si="30"/>
        <v>3607.08</v>
      </c>
      <c r="W54" s="120">
        <f t="shared" si="30"/>
        <v>3289.1300000000006</v>
      </c>
      <c r="X54" s="121">
        <f t="shared" si="30"/>
        <v>3607.08</v>
      </c>
      <c r="Y54" s="120">
        <f t="shared" si="30"/>
        <v>3289.1300000000006</v>
      </c>
      <c r="Z54" s="121">
        <f t="shared" si="30"/>
        <v>3607.08</v>
      </c>
      <c r="AA54" s="3">
        <f>SUM(C54:Z54)</f>
        <v>67598.89</v>
      </c>
    </row>
    <row r="55" spans="1:27" x14ac:dyDescent="0.25">
      <c r="A55" s="119"/>
      <c r="B55" s="130" t="s">
        <v>103</v>
      </c>
      <c r="C55" s="119">
        <v>2151.9499999999998</v>
      </c>
      <c r="D55" s="76">
        <v>2760.67</v>
      </c>
      <c r="E55" s="119">
        <v>2307.02</v>
      </c>
      <c r="F55" s="76">
        <v>2617.13</v>
      </c>
      <c r="G55" s="119">
        <v>2389.1999999999998</v>
      </c>
      <c r="H55" s="76">
        <v>2709.51</v>
      </c>
      <c r="I55" s="119">
        <v>2389.1999999999998</v>
      </c>
      <c r="J55" s="76">
        <v>2709.51</v>
      </c>
      <c r="K55" s="119">
        <v>2389.1999999999998</v>
      </c>
      <c r="L55" s="76"/>
      <c r="M55" s="119"/>
      <c r="N55" s="76"/>
      <c r="O55" s="119"/>
      <c r="P55" s="76"/>
      <c r="Q55" s="119"/>
      <c r="R55" s="76"/>
      <c r="S55" s="119"/>
      <c r="T55" s="76"/>
      <c r="U55" s="119"/>
      <c r="V55" s="76"/>
      <c r="W55" s="119"/>
      <c r="X55" s="76"/>
      <c r="Y55" s="119"/>
      <c r="Z55" s="76"/>
      <c r="AA55" s="3">
        <f>SUM(C55:Z55)</f>
        <v>22423.390000000003</v>
      </c>
    </row>
    <row r="56" spans="1:27" ht="15.75" thickBot="1" x14ac:dyDescent="0.3">
      <c r="A56" s="127"/>
      <c r="B56" s="90" t="s">
        <v>104</v>
      </c>
      <c r="C56" s="122">
        <f>IF(C55=0,0,C55-C53)</f>
        <v>-9.9999999997635314E-3</v>
      </c>
      <c r="D56" s="123">
        <f t="shared" ref="D56:Z56" si="31">IF(D55=0,0,D55-D53)</f>
        <v>9.0949470177292824E-13</v>
      </c>
      <c r="E56" s="122">
        <f t="shared" si="31"/>
        <v>0</v>
      </c>
      <c r="F56" s="123">
        <f t="shared" si="31"/>
        <v>4.5474735088646412E-13</v>
      </c>
      <c r="G56" s="122">
        <f t="shared" si="31"/>
        <v>9.9999999988540367E-3</v>
      </c>
      <c r="H56" s="123">
        <f t="shared" si="31"/>
        <v>9.999999999308784E-3</v>
      </c>
      <c r="I56" s="122">
        <f t="shared" si="31"/>
        <v>9.9999999988540367E-3</v>
      </c>
      <c r="J56" s="123">
        <f t="shared" si="31"/>
        <v>9.999999999308784E-3</v>
      </c>
      <c r="K56" s="122">
        <f t="shared" si="31"/>
        <v>9.9999999988540367E-3</v>
      </c>
      <c r="L56" s="123">
        <f t="shared" si="31"/>
        <v>0</v>
      </c>
      <c r="M56" s="122">
        <f t="shared" si="31"/>
        <v>0</v>
      </c>
      <c r="N56" s="123">
        <f t="shared" si="31"/>
        <v>0</v>
      </c>
      <c r="O56" s="122">
        <f t="shared" si="31"/>
        <v>0</v>
      </c>
      <c r="P56" s="123">
        <f t="shared" si="31"/>
        <v>0</v>
      </c>
      <c r="Q56" s="122">
        <f t="shared" si="31"/>
        <v>0</v>
      </c>
      <c r="R56" s="123">
        <f t="shared" si="31"/>
        <v>0</v>
      </c>
      <c r="S56" s="122">
        <f t="shared" si="31"/>
        <v>0</v>
      </c>
      <c r="T56" s="123">
        <f t="shared" si="31"/>
        <v>0</v>
      </c>
      <c r="U56" s="122">
        <f t="shared" si="31"/>
        <v>0</v>
      </c>
      <c r="V56" s="123">
        <f t="shared" si="31"/>
        <v>0</v>
      </c>
      <c r="W56" s="122">
        <f t="shared" si="31"/>
        <v>0</v>
      </c>
      <c r="X56" s="123">
        <f t="shared" si="31"/>
        <v>0</v>
      </c>
      <c r="Y56" s="122">
        <f t="shared" si="31"/>
        <v>0</v>
      </c>
      <c r="Z56" s="123">
        <f t="shared" si="31"/>
        <v>0</v>
      </c>
    </row>
  </sheetData>
  <mergeCells count="15">
    <mergeCell ref="A49:A51"/>
    <mergeCell ref="A4:A8"/>
    <mergeCell ref="C2:D2"/>
    <mergeCell ref="E2:F2"/>
    <mergeCell ref="G2:H2"/>
    <mergeCell ref="A11:A48"/>
    <mergeCell ref="U2:V2"/>
    <mergeCell ref="W2:X2"/>
    <mergeCell ref="Y2:Z2"/>
    <mergeCell ref="I2:J2"/>
    <mergeCell ref="K2:L2"/>
    <mergeCell ref="M2:N2"/>
    <mergeCell ref="O2:P2"/>
    <mergeCell ref="Q2:R2"/>
    <mergeCell ref="S2:T2"/>
  </mergeCells>
  <pageMargins left="0.7" right="0.7" top="0.75" bottom="0.75" header="0.3" footer="0.3"/>
  <pageSetup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5"/>
  <sheetViews>
    <sheetView zoomScaleNormal="100" workbookViewId="0">
      <pane xSplit="2" ySplit="2" topLeftCell="M3" activePane="bottomRight" state="frozen"/>
      <selection pane="topRight" activeCell="C1" sqref="C1"/>
      <selection pane="bottomLeft" activeCell="A3" sqref="A3"/>
      <selection pane="bottomRight" activeCell="S1" sqref="S1:T1048576"/>
    </sheetView>
  </sheetViews>
  <sheetFormatPr defaultRowHeight="15" x14ac:dyDescent="0.25"/>
  <cols>
    <col min="1" max="1" width="11" customWidth="1"/>
    <col min="2" max="2" width="26.28515625" customWidth="1"/>
    <col min="3" max="26" width="13.42578125" customWidth="1"/>
    <col min="27" max="27" width="9.28515625" bestFit="1" customWidth="1"/>
  </cols>
  <sheetData>
    <row r="1" spans="1:27" x14ac:dyDescent="0.25">
      <c r="A1" t="s">
        <v>125</v>
      </c>
      <c r="C1" s="107">
        <v>1</v>
      </c>
      <c r="D1" s="73">
        <v>0</v>
      </c>
      <c r="E1" s="107">
        <v>1</v>
      </c>
      <c r="F1" s="73">
        <v>0</v>
      </c>
      <c r="G1" s="107">
        <v>1</v>
      </c>
      <c r="H1" s="73">
        <v>0</v>
      </c>
      <c r="I1" s="107">
        <v>1</v>
      </c>
      <c r="J1" s="73">
        <v>0</v>
      </c>
      <c r="K1" s="107">
        <v>1</v>
      </c>
      <c r="L1" s="73">
        <v>0</v>
      </c>
      <c r="M1" s="107">
        <v>1</v>
      </c>
      <c r="N1" s="73">
        <v>0</v>
      </c>
      <c r="O1" s="107">
        <v>1</v>
      </c>
      <c r="P1" s="73">
        <v>0</v>
      </c>
      <c r="Q1" s="107">
        <v>1</v>
      </c>
      <c r="R1" s="73">
        <v>0</v>
      </c>
      <c r="S1" s="107">
        <v>1</v>
      </c>
      <c r="T1" s="73">
        <v>0</v>
      </c>
      <c r="U1" s="107">
        <v>1</v>
      </c>
      <c r="V1" s="73">
        <v>0</v>
      </c>
      <c r="W1" s="107">
        <v>1</v>
      </c>
      <c r="X1" s="73">
        <v>0</v>
      </c>
      <c r="Y1" s="107">
        <v>1</v>
      </c>
      <c r="Z1" s="73">
        <v>0</v>
      </c>
    </row>
    <row r="2" spans="1:27" s="1" customFormat="1" ht="21" x14ac:dyDescent="0.25">
      <c r="A2" s="1">
        <v>24</v>
      </c>
      <c r="C2" s="255" t="s">
        <v>21</v>
      </c>
      <c r="D2" s="256"/>
      <c r="E2" s="255" t="s">
        <v>22</v>
      </c>
      <c r="F2" s="256"/>
      <c r="G2" s="255" t="s">
        <v>23</v>
      </c>
      <c r="H2" s="256"/>
      <c r="I2" s="255" t="s">
        <v>24</v>
      </c>
      <c r="J2" s="256"/>
      <c r="K2" s="255" t="s">
        <v>25</v>
      </c>
      <c r="L2" s="256"/>
      <c r="M2" s="255" t="s">
        <v>26</v>
      </c>
      <c r="N2" s="256"/>
      <c r="O2" s="255" t="s">
        <v>27</v>
      </c>
      <c r="P2" s="256"/>
      <c r="Q2" s="255" t="s">
        <v>28</v>
      </c>
      <c r="R2" s="256"/>
      <c r="S2" s="255" t="s">
        <v>29</v>
      </c>
      <c r="T2" s="256"/>
      <c r="U2" s="255" t="s">
        <v>30</v>
      </c>
      <c r="V2" s="256"/>
      <c r="W2" s="255" t="s">
        <v>31</v>
      </c>
      <c r="X2" s="256"/>
      <c r="Y2" s="255" t="s">
        <v>32</v>
      </c>
      <c r="Z2" s="256"/>
    </row>
    <row r="3" spans="1:27" s="1" customFormat="1" ht="15.75" thickBot="1" x14ac:dyDescent="0.3">
      <c r="C3" s="108">
        <v>1</v>
      </c>
      <c r="D3" s="109">
        <v>2</v>
      </c>
      <c r="E3" s="108">
        <v>3</v>
      </c>
      <c r="F3" s="109">
        <v>4</v>
      </c>
      <c r="G3" s="108">
        <v>5</v>
      </c>
      <c r="H3" s="109">
        <v>6</v>
      </c>
      <c r="I3" s="108">
        <v>7</v>
      </c>
      <c r="J3" s="109">
        <v>8</v>
      </c>
      <c r="K3" s="108">
        <v>9</v>
      </c>
      <c r="L3" s="109">
        <v>10</v>
      </c>
      <c r="M3" s="108">
        <v>11</v>
      </c>
      <c r="N3" s="109">
        <v>12</v>
      </c>
      <c r="O3" s="108">
        <v>13</v>
      </c>
      <c r="P3" s="109">
        <v>14</v>
      </c>
      <c r="Q3" s="108">
        <v>15</v>
      </c>
      <c r="R3" s="109">
        <v>16</v>
      </c>
      <c r="S3" s="108">
        <v>17</v>
      </c>
      <c r="T3" s="109">
        <v>18</v>
      </c>
      <c r="U3" s="108">
        <v>19</v>
      </c>
      <c r="V3" s="109">
        <v>20</v>
      </c>
      <c r="W3" s="108">
        <v>21</v>
      </c>
      <c r="X3" s="109">
        <v>22</v>
      </c>
      <c r="Y3" s="108">
        <v>23</v>
      </c>
      <c r="Z3" s="109">
        <v>24</v>
      </c>
    </row>
    <row r="4" spans="1:27" ht="16.899999999999999" customHeight="1" x14ac:dyDescent="0.25">
      <c r="A4" s="257" t="s">
        <v>3</v>
      </c>
      <c r="B4" s="71" t="s">
        <v>0</v>
      </c>
      <c r="C4" s="110">
        <v>0</v>
      </c>
      <c r="D4" s="77">
        <v>0</v>
      </c>
      <c r="E4" s="110">
        <v>0</v>
      </c>
      <c r="F4" s="77">
        <v>0</v>
      </c>
      <c r="G4" s="110">
        <v>0</v>
      </c>
      <c r="H4" s="77">
        <v>0</v>
      </c>
      <c r="I4" s="110">
        <v>0</v>
      </c>
      <c r="J4" s="77">
        <v>0</v>
      </c>
      <c r="K4" s="110">
        <v>0</v>
      </c>
      <c r="L4" s="77">
        <v>0</v>
      </c>
      <c r="M4" s="110">
        <v>0</v>
      </c>
      <c r="N4" s="77">
        <v>0</v>
      </c>
      <c r="O4" s="110">
        <v>0</v>
      </c>
      <c r="P4" s="77">
        <v>0</v>
      </c>
      <c r="Q4" s="110">
        <v>0</v>
      </c>
      <c r="R4" s="77">
        <v>0</v>
      </c>
      <c r="S4" s="110">
        <v>0</v>
      </c>
      <c r="T4" s="77">
        <v>0</v>
      </c>
      <c r="U4" s="110">
        <v>0</v>
      </c>
      <c r="V4" s="77">
        <v>0</v>
      </c>
      <c r="W4" s="110">
        <v>0</v>
      </c>
      <c r="X4" s="77">
        <v>0</v>
      </c>
      <c r="Y4" s="110">
        <v>0</v>
      </c>
      <c r="Z4" s="77">
        <v>0</v>
      </c>
    </row>
    <row r="5" spans="1:27" ht="16.899999999999999" customHeight="1" x14ac:dyDescent="0.25">
      <c r="A5" s="258"/>
      <c r="B5" s="74" t="s">
        <v>1</v>
      </c>
      <c r="C5" s="111">
        <f>ROUND((LEC_HRS_PER_WK_WINT_N * MRU.Faculty.Constants!B5*MRU.Faculty.Constants!B8),2)</f>
        <v>1782.24</v>
      </c>
      <c r="D5" s="79">
        <f>ROUND((LEC_HRS_PER_WK_WINT_N * MRU.Faculty.Constants!C5*MRU.Faculty.Constants!C8),2)</f>
        <v>1782.24</v>
      </c>
      <c r="E5" s="111">
        <f>ROUND((LEC_HRS_PER_WK_WINT_N * MRU.Faculty.Constants!D5*MRU.Faculty.Constants!D8),2)</f>
        <v>1782.24</v>
      </c>
      <c r="F5" s="79">
        <f>ROUND((LEC_HRS_PER_WK_WINT_N * MRU.Faculty.Constants!E5*MRU.Faculty.Constants!E8),2)</f>
        <v>1782.24</v>
      </c>
      <c r="G5" s="111">
        <f>ROUND((LEC_HRS_PER_WK_WINT_N * MRU.Faculty.Constants!F5*MRU.Faculty.Constants!F8),2)</f>
        <v>1782.24</v>
      </c>
      <c r="H5" s="79">
        <f>ROUND((LEC_HRS_PER_WK_WINT_N * MRU.Faculty.Constants!G5*MRU.Faculty.Constants!G8),2)</f>
        <v>1782.24</v>
      </c>
      <c r="I5" s="111">
        <f>ROUND((LEC_HRS_PER_WK_WINT_N * MRU.Faculty.Constants!H5*MRU.Faculty.Constants!H8),2)</f>
        <v>1782.24</v>
      </c>
      <c r="J5" s="79">
        <f>ROUND((LEC_HRS_PER_WK_WINT_N * MRU.Faculty.Constants!I5*MRU.Faculty.Constants!I8),2)</f>
        <v>1782.24</v>
      </c>
      <c r="K5" s="111">
        <f>ROUND((LEC_HRS_PER_WK_SPR_N * MRU.Faculty.Constants!J5*MRU.Faculty.Constants!J8),2)</f>
        <v>0</v>
      </c>
      <c r="L5" s="79">
        <f>ROUND((LEC_HRS_PER_WK_SPR_N * MRU.Faculty.Constants!K5*MRU.Faculty.Constants!K8),2)</f>
        <v>0</v>
      </c>
      <c r="M5" s="111">
        <f>ROUND((LEC_HRS_PER_WK_SPR_N * MRU.Faculty.Constants!L5*MRU.Faculty.Constants!L8),2)</f>
        <v>0</v>
      </c>
      <c r="N5" s="79">
        <f>ROUND((LEC_HRS_PER_WK_SPR_N * MRU.Faculty.Constants!M5*MRU.Faculty.Constants!M8),2)</f>
        <v>0</v>
      </c>
      <c r="O5" s="125">
        <v>0</v>
      </c>
      <c r="P5" s="78">
        <v>0</v>
      </c>
      <c r="Q5" s="125">
        <v>0</v>
      </c>
      <c r="R5" s="78">
        <v>0</v>
      </c>
      <c r="S5" s="111">
        <f>ROUND((LEC_HRS_PER_WK_FALL_N * MRU.Faculty.Constants!R5*MRU.Faculty.Constants!R8),2)</f>
        <v>1595.3</v>
      </c>
      <c r="T5" s="79">
        <f>ROUND((LEC_HRS_PER_WK_FALL_N * MRU.Faculty.Constants!S5*MRU.Faculty.Constants!S8),2)</f>
        <v>1595.3</v>
      </c>
      <c r="U5" s="111">
        <f>ROUND((LEC_HRS_PER_WK_FALL_N * MRU.Faculty.Constants!T5*MRU.Faculty.Constants!T8),2)</f>
        <v>1595.3</v>
      </c>
      <c r="V5" s="79">
        <f>ROUND((LEC_HRS_PER_WK_FALL_N * MRU.Faculty.Constants!U5*MRU.Faculty.Constants!U8),2)</f>
        <v>1595.3</v>
      </c>
      <c r="W5" s="111">
        <f>ROUND((LEC_HRS_PER_WK_FALL_N * MRU.Faculty.Constants!V5*MRU.Faculty.Constants!V8),2)</f>
        <v>1595.3</v>
      </c>
      <c r="X5" s="79">
        <f>ROUND((LEC_HRS_PER_WK_FALL_N * MRU.Faculty.Constants!W5*MRU.Faculty.Constants!W8),2)</f>
        <v>1595.3</v>
      </c>
      <c r="Y5" s="111">
        <f>ROUND((LEC_HRS_PER_WK_FALL_N * MRU.Faculty.Constants!X5*MRU.Faculty.Constants!X8),2)</f>
        <v>1595.3</v>
      </c>
      <c r="Z5" s="79">
        <f>ROUND((LEC_HRS_PER_WK_FALL_N * MRU.Faculty.Constants!Y5*MRU.Faculty.Constants!Y8),2)</f>
        <v>1595.3</v>
      </c>
    </row>
    <row r="6" spans="1:27" ht="16.899999999999999" customHeight="1" x14ac:dyDescent="0.25">
      <c r="A6" s="258"/>
      <c r="B6" s="74" t="s">
        <v>2</v>
      </c>
      <c r="C6" s="111">
        <f>ROUND(C5*MRU.Faculty.Constants!B7,2)</f>
        <v>142.58000000000001</v>
      </c>
      <c r="D6" s="79">
        <f>ROUND(D5*MRU.Faculty.Constants!C7,2)</f>
        <v>142.58000000000001</v>
      </c>
      <c r="E6" s="111">
        <f>ROUND(E5*MRU.Faculty.Constants!D7,2)</f>
        <v>142.58000000000001</v>
      </c>
      <c r="F6" s="79">
        <f>ROUND(F5*MRU.Faculty.Constants!E7,2)</f>
        <v>142.58000000000001</v>
      </c>
      <c r="G6" s="111">
        <f>ROUND(G5*MRU.Faculty.Constants!F7,2)</f>
        <v>142.58000000000001</v>
      </c>
      <c r="H6" s="79">
        <f>ROUND(H5*MRU.Faculty.Constants!G7,2)</f>
        <v>142.58000000000001</v>
      </c>
      <c r="I6" s="111">
        <f>ROUND(I5*MRU.Faculty.Constants!H7,2)</f>
        <v>142.58000000000001</v>
      </c>
      <c r="J6" s="79">
        <f>ROUND(J5*MRU.Faculty.Constants!I7,2)</f>
        <v>142.58000000000001</v>
      </c>
      <c r="K6" s="111">
        <f>ROUND(K5*MRU.Faculty.Constants!J7,2)</f>
        <v>0</v>
      </c>
      <c r="L6" s="79">
        <f>ROUND(L5*MRU.Faculty.Constants!K7,2)</f>
        <v>0</v>
      </c>
      <c r="M6" s="111">
        <f>ROUND(M5*MRU.Faculty.Constants!L7,2)</f>
        <v>0</v>
      </c>
      <c r="N6" s="79">
        <f>ROUND(N5*MRU.Faculty.Constants!M7,2)</f>
        <v>0</v>
      </c>
      <c r="O6" s="111">
        <f>ROUND(O5*MRU.Faculty.Constants!N7,2)</f>
        <v>0</v>
      </c>
      <c r="P6" s="79">
        <f>ROUND(P5*MRU.Faculty.Constants!O7,2)</f>
        <v>0</v>
      </c>
      <c r="Q6" s="111">
        <f>ROUND(Q5*MRU.Faculty.Constants!P7,2)</f>
        <v>0</v>
      </c>
      <c r="R6" s="79">
        <f>ROUND(R5*MRU.Faculty.Constants!Q7,2)</f>
        <v>0</v>
      </c>
      <c r="S6" s="111">
        <f>ROUND(S5*MRU.Faculty.Constants!R7,2)</f>
        <v>127.62</v>
      </c>
      <c r="T6" s="79">
        <f>ROUND(T5*MRU.Faculty.Constants!S7,2)</f>
        <v>127.62</v>
      </c>
      <c r="U6" s="111">
        <f>ROUND(U5*MRU.Faculty.Constants!T7,2)</f>
        <v>127.62</v>
      </c>
      <c r="V6" s="79">
        <f>ROUND(V5*MRU.Faculty.Constants!U7,2)</f>
        <v>127.62</v>
      </c>
      <c r="W6" s="111">
        <f>ROUND(W5*MRU.Faculty.Constants!V7,2)</f>
        <v>127.62</v>
      </c>
      <c r="X6" s="79">
        <f>ROUND(X5*MRU.Faculty.Constants!W7,2)</f>
        <v>127.62</v>
      </c>
      <c r="Y6" s="111">
        <f>ROUND(Y5*MRU.Faculty.Constants!X7,2)</f>
        <v>127.62</v>
      </c>
      <c r="Z6" s="79">
        <f>ROUND(Z5*MRU.Faculty.Constants!Y7,2)</f>
        <v>127.62</v>
      </c>
    </row>
    <row r="7" spans="1:27" ht="16.899999999999999" customHeight="1" x14ac:dyDescent="0.25">
      <c r="A7" s="258"/>
      <c r="B7" s="80" t="s">
        <v>58</v>
      </c>
      <c r="C7" s="111">
        <v>0</v>
      </c>
      <c r="D7" s="79">
        <v>0</v>
      </c>
      <c r="E7" s="111">
        <v>0</v>
      </c>
      <c r="F7" s="79">
        <v>0</v>
      </c>
      <c r="G7" s="111">
        <v>0</v>
      </c>
      <c r="H7" s="79">
        <v>0</v>
      </c>
      <c r="I7" s="111">
        <v>0</v>
      </c>
      <c r="J7" s="79">
        <v>0</v>
      </c>
      <c r="K7" s="111">
        <v>0</v>
      </c>
      <c r="L7" s="79">
        <v>0</v>
      </c>
      <c r="M7" s="111">
        <v>0</v>
      </c>
      <c r="N7" s="79">
        <v>0</v>
      </c>
      <c r="O7" s="111">
        <v>0</v>
      </c>
      <c r="P7" s="79">
        <v>0</v>
      </c>
      <c r="Q7" s="111">
        <v>0</v>
      </c>
      <c r="R7" s="79">
        <v>0</v>
      </c>
      <c r="S7" s="111">
        <v>0</v>
      </c>
      <c r="T7" s="79">
        <v>0</v>
      </c>
      <c r="U7" s="111">
        <v>0</v>
      </c>
      <c r="V7" s="79">
        <v>0</v>
      </c>
      <c r="W7" s="111">
        <v>0</v>
      </c>
      <c r="X7" s="79">
        <v>0</v>
      </c>
      <c r="Y7" s="111">
        <v>0</v>
      </c>
      <c r="Z7" s="79">
        <v>0</v>
      </c>
    </row>
    <row r="8" spans="1:27" ht="16.899999999999999" customHeight="1" thickBot="1" x14ac:dyDescent="0.3">
      <c r="A8" s="259"/>
      <c r="B8" s="100"/>
      <c r="C8" s="112">
        <f t="shared" ref="C8:Z8" si="0">SUM(C4:C7)</f>
        <v>1924.82</v>
      </c>
      <c r="D8" s="102">
        <f t="shared" si="0"/>
        <v>1924.82</v>
      </c>
      <c r="E8" s="112">
        <f t="shared" si="0"/>
        <v>1924.82</v>
      </c>
      <c r="F8" s="102">
        <f t="shared" si="0"/>
        <v>1924.82</v>
      </c>
      <c r="G8" s="112">
        <f t="shared" si="0"/>
        <v>1924.82</v>
      </c>
      <c r="H8" s="102">
        <f t="shared" si="0"/>
        <v>1924.82</v>
      </c>
      <c r="I8" s="112">
        <f t="shared" si="0"/>
        <v>1924.82</v>
      </c>
      <c r="J8" s="102">
        <f t="shared" si="0"/>
        <v>1924.82</v>
      </c>
      <c r="K8" s="112">
        <f t="shared" si="0"/>
        <v>0</v>
      </c>
      <c r="L8" s="102">
        <f t="shared" si="0"/>
        <v>0</v>
      </c>
      <c r="M8" s="112">
        <f t="shared" si="0"/>
        <v>0</v>
      </c>
      <c r="N8" s="102">
        <f t="shared" si="0"/>
        <v>0</v>
      </c>
      <c r="O8" s="112">
        <f t="shared" si="0"/>
        <v>0</v>
      </c>
      <c r="P8" s="102">
        <f t="shared" si="0"/>
        <v>0</v>
      </c>
      <c r="Q8" s="112">
        <f t="shared" si="0"/>
        <v>0</v>
      </c>
      <c r="R8" s="102">
        <f t="shared" si="0"/>
        <v>0</v>
      </c>
      <c r="S8" s="112">
        <f t="shared" si="0"/>
        <v>1722.92</v>
      </c>
      <c r="T8" s="102">
        <f t="shared" si="0"/>
        <v>1722.92</v>
      </c>
      <c r="U8" s="112">
        <f t="shared" si="0"/>
        <v>1722.92</v>
      </c>
      <c r="V8" s="102">
        <f t="shared" si="0"/>
        <v>1722.92</v>
      </c>
      <c r="W8" s="112">
        <f t="shared" si="0"/>
        <v>1722.92</v>
      </c>
      <c r="X8" s="102">
        <f t="shared" si="0"/>
        <v>1722.92</v>
      </c>
      <c r="Y8" s="112">
        <f t="shared" si="0"/>
        <v>1722.92</v>
      </c>
      <c r="Z8" s="102">
        <f t="shared" si="0"/>
        <v>1722.92</v>
      </c>
      <c r="AA8" s="3">
        <f>SUM(C8:Z8)</f>
        <v>29181.919999999991</v>
      </c>
    </row>
    <row r="9" spans="1:27" ht="16.899999999999999" hidden="1" customHeight="1" x14ac:dyDescent="0.25">
      <c r="A9" s="29"/>
      <c r="B9" s="30" t="s">
        <v>105</v>
      </c>
      <c r="C9" s="113">
        <v>0</v>
      </c>
      <c r="D9" s="86">
        <v>0</v>
      </c>
      <c r="E9" s="113">
        <v>0</v>
      </c>
      <c r="F9" s="86">
        <v>0</v>
      </c>
      <c r="G9" s="113">
        <v>0</v>
      </c>
      <c r="H9" s="86">
        <v>0</v>
      </c>
      <c r="I9" s="113">
        <v>0</v>
      </c>
      <c r="J9" s="86">
        <v>0</v>
      </c>
      <c r="K9" s="113">
        <v>0</v>
      </c>
      <c r="L9" s="86">
        <v>0</v>
      </c>
      <c r="M9" s="113">
        <v>0</v>
      </c>
      <c r="N9" s="86">
        <v>0</v>
      </c>
      <c r="O9" s="113">
        <v>0</v>
      </c>
      <c r="P9" s="86">
        <v>0</v>
      </c>
      <c r="Q9" s="113">
        <v>0</v>
      </c>
      <c r="R9" s="86">
        <v>0</v>
      </c>
      <c r="S9" s="113">
        <v>0</v>
      </c>
      <c r="T9" s="86">
        <v>0</v>
      </c>
      <c r="U9" s="113">
        <v>0</v>
      </c>
      <c r="V9" s="86">
        <v>0</v>
      </c>
      <c r="W9" s="113">
        <v>0</v>
      </c>
      <c r="X9" s="86">
        <v>0</v>
      </c>
      <c r="Y9" s="113">
        <v>0</v>
      </c>
      <c r="Z9" s="86">
        <v>0</v>
      </c>
    </row>
    <row r="10" spans="1:27" ht="16.899999999999999" hidden="1" customHeight="1" x14ac:dyDescent="0.25">
      <c r="A10" s="29"/>
      <c r="B10" s="30" t="s">
        <v>106</v>
      </c>
      <c r="C10" s="113">
        <v>0</v>
      </c>
      <c r="D10" s="86">
        <v>0</v>
      </c>
      <c r="E10" s="113">
        <v>0</v>
      </c>
      <c r="F10" s="86">
        <v>0</v>
      </c>
      <c r="G10" s="113">
        <v>0</v>
      </c>
      <c r="H10" s="86">
        <v>0</v>
      </c>
      <c r="I10" s="113">
        <v>0</v>
      </c>
      <c r="J10" s="86">
        <v>0</v>
      </c>
      <c r="K10" s="113">
        <v>0</v>
      </c>
      <c r="L10" s="86">
        <v>0</v>
      </c>
      <c r="M10" s="113">
        <v>0</v>
      </c>
      <c r="N10" s="86">
        <v>0</v>
      </c>
      <c r="O10" s="113">
        <v>0</v>
      </c>
      <c r="P10" s="86">
        <v>0</v>
      </c>
      <c r="Q10" s="113">
        <v>0</v>
      </c>
      <c r="R10" s="86">
        <v>0</v>
      </c>
      <c r="S10" s="113">
        <v>0</v>
      </c>
      <c r="T10" s="86">
        <v>0</v>
      </c>
      <c r="U10" s="113">
        <v>0</v>
      </c>
      <c r="V10" s="86">
        <v>0</v>
      </c>
      <c r="W10" s="113">
        <v>0</v>
      </c>
      <c r="X10" s="86">
        <v>0</v>
      </c>
      <c r="Y10" s="113">
        <v>0</v>
      </c>
      <c r="Z10" s="86">
        <v>0</v>
      </c>
    </row>
    <row r="11" spans="1:27" ht="16.899999999999999" customHeight="1" x14ac:dyDescent="0.25">
      <c r="A11" s="260" t="s">
        <v>19</v>
      </c>
      <c r="B11" s="81" t="s">
        <v>6</v>
      </c>
      <c r="C11" s="114">
        <f t="shared" ref="C11:Z11" si="1">ROUND((C9+C10)/MRU_N_R,2)</f>
        <v>0</v>
      </c>
      <c r="D11" s="83">
        <f t="shared" si="1"/>
        <v>0</v>
      </c>
      <c r="E11" s="114">
        <f t="shared" si="1"/>
        <v>0</v>
      </c>
      <c r="F11" s="83">
        <f t="shared" si="1"/>
        <v>0</v>
      </c>
      <c r="G11" s="114">
        <f t="shared" si="1"/>
        <v>0</v>
      </c>
      <c r="H11" s="83">
        <f t="shared" si="1"/>
        <v>0</v>
      </c>
      <c r="I11" s="114">
        <f t="shared" si="1"/>
        <v>0</v>
      </c>
      <c r="J11" s="83">
        <f t="shared" si="1"/>
        <v>0</v>
      </c>
      <c r="K11" s="114">
        <f t="shared" si="1"/>
        <v>0</v>
      </c>
      <c r="L11" s="83">
        <f t="shared" si="1"/>
        <v>0</v>
      </c>
      <c r="M11" s="114">
        <f t="shared" si="1"/>
        <v>0</v>
      </c>
      <c r="N11" s="83">
        <f t="shared" si="1"/>
        <v>0</v>
      </c>
      <c r="O11" s="114">
        <f t="shared" si="1"/>
        <v>0</v>
      </c>
      <c r="P11" s="83">
        <f t="shared" si="1"/>
        <v>0</v>
      </c>
      <c r="Q11" s="114">
        <f t="shared" si="1"/>
        <v>0</v>
      </c>
      <c r="R11" s="83">
        <f t="shared" si="1"/>
        <v>0</v>
      </c>
      <c r="S11" s="114">
        <f t="shared" si="1"/>
        <v>0</v>
      </c>
      <c r="T11" s="83">
        <f t="shared" si="1"/>
        <v>0</v>
      </c>
      <c r="U11" s="114">
        <f t="shared" si="1"/>
        <v>0</v>
      </c>
      <c r="V11" s="83">
        <f t="shared" si="1"/>
        <v>0</v>
      </c>
      <c r="W11" s="114">
        <f t="shared" si="1"/>
        <v>0</v>
      </c>
      <c r="X11" s="83">
        <f t="shared" si="1"/>
        <v>0</v>
      </c>
      <c r="Y11" s="114">
        <f t="shared" si="1"/>
        <v>0</v>
      </c>
      <c r="Z11" s="83">
        <f t="shared" si="1"/>
        <v>0</v>
      </c>
      <c r="AA11" s="3">
        <f>SUM(C11:Z11)</f>
        <v>0</v>
      </c>
    </row>
    <row r="12" spans="1:27" ht="16.899999999999999" customHeight="1" x14ac:dyDescent="0.25">
      <c r="A12" s="261"/>
      <c r="B12" s="84" t="s">
        <v>4</v>
      </c>
      <c r="C12" s="113">
        <v>0</v>
      </c>
      <c r="D12" s="86">
        <v>0</v>
      </c>
      <c r="E12" s="113">
        <v>0</v>
      </c>
      <c r="F12" s="86">
        <v>0</v>
      </c>
      <c r="G12" s="113">
        <v>0</v>
      </c>
      <c r="H12" s="86">
        <v>0</v>
      </c>
      <c r="I12" s="113">
        <v>0</v>
      </c>
      <c r="J12" s="86">
        <v>0</v>
      </c>
      <c r="K12" s="113">
        <v>0</v>
      </c>
      <c r="L12" s="86">
        <v>0</v>
      </c>
      <c r="M12" s="113">
        <v>0</v>
      </c>
      <c r="N12" s="86">
        <v>0</v>
      </c>
      <c r="O12" s="113">
        <v>0</v>
      </c>
      <c r="P12" s="86">
        <v>0</v>
      </c>
      <c r="Q12" s="113">
        <v>0</v>
      </c>
      <c r="R12" s="86">
        <v>0</v>
      </c>
      <c r="S12" s="113">
        <v>0</v>
      </c>
      <c r="T12" s="86">
        <v>0</v>
      </c>
      <c r="U12" s="113">
        <v>0</v>
      </c>
      <c r="V12" s="86">
        <v>0</v>
      </c>
      <c r="W12" s="113">
        <v>0</v>
      </c>
      <c r="X12" s="86">
        <v>0</v>
      </c>
      <c r="Y12" s="113">
        <v>0</v>
      </c>
      <c r="Z12" s="86">
        <v>0</v>
      </c>
    </row>
    <row r="13" spans="1:27" ht="16.899999999999999" customHeight="1" x14ac:dyDescent="0.25">
      <c r="A13" s="261"/>
      <c r="B13" s="84" t="s">
        <v>5</v>
      </c>
      <c r="C13" s="113">
        <f>ROUND((C5+C6)*MRU.Faculty.Constants!B6,2)</f>
        <v>19.25</v>
      </c>
      <c r="D13" s="86">
        <f>ROUND((D5+D6)*MRU.Faculty.Constants!C6,2)</f>
        <v>19.25</v>
      </c>
      <c r="E13" s="113">
        <f>ROUND((E5+E6)*MRU.Faculty.Constants!D6,2)</f>
        <v>19.25</v>
      </c>
      <c r="F13" s="86">
        <f>ROUND((F5+F6)*MRU.Faculty.Constants!E6,2)</f>
        <v>19.25</v>
      </c>
      <c r="G13" s="113">
        <f>ROUND((G5+G6)*MRU.Faculty.Constants!F6,2)</f>
        <v>19.25</v>
      </c>
      <c r="H13" s="86">
        <f>ROUND((H5+H6)*MRU.Faculty.Constants!G6,2)</f>
        <v>19.25</v>
      </c>
      <c r="I13" s="113">
        <f>ROUND((I5+I6)*MRU.Faculty.Constants!H6,2)</f>
        <v>19.25</v>
      </c>
      <c r="J13" s="86">
        <f>ROUND((J5+J6)*MRU.Faculty.Constants!I6,2)</f>
        <v>19.25</v>
      </c>
      <c r="K13" s="113">
        <f>ROUND((K5+K6)*MRU.Faculty.Constants!J6,2)</f>
        <v>0</v>
      </c>
      <c r="L13" s="86">
        <f>ROUND((L5+L6)*MRU.Faculty.Constants!K6,2)</f>
        <v>0</v>
      </c>
      <c r="M13" s="113">
        <f>ROUND((M5+M6)*MRU.Faculty.Constants!L6,2)</f>
        <v>0</v>
      </c>
      <c r="N13" s="86">
        <f>ROUND((N5+N6)*MRU.Faculty.Constants!M6,2)</f>
        <v>0</v>
      </c>
      <c r="O13" s="113">
        <f>ROUND((O5+O6)*MRU.Faculty.Constants!N6,2)</f>
        <v>0</v>
      </c>
      <c r="P13" s="86">
        <f>ROUND((P5+P6)*MRU.Faculty.Constants!O6,2)</f>
        <v>0</v>
      </c>
      <c r="Q13" s="113">
        <f>ROUND((Q5+Q6)*MRU.Faculty.Constants!P6,2)</f>
        <v>0</v>
      </c>
      <c r="R13" s="86">
        <f>ROUND((R5+R6)*MRU.Faculty.Constants!Q6,2)</f>
        <v>0</v>
      </c>
      <c r="S13" s="113">
        <f>ROUND((S5+S6)*MRU.Faculty.Constants!R6,2)</f>
        <v>17.23</v>
      </c>
      <c r="T13" s="86">
        <f>ROUND((T5+T6)*MRU.Faculty.Constants!S6,2)</f>
        <v>17.23</v>
      </c>
      <c r="U13" s="113">
        <f>ROUND((U5+U6)*MRU.Faculty.Constants!T6,2)</f>
        <v>17.23</v>
      </c>
      <c r="V13" s="86">
        <f>ROUND((V5+V6)*MRU.Faculty.Constants!U6,2)</f>
        <v>17.23</v>
      </c>
      <c r="W13" s="113">
        <f>ROUND((W5+W6)*MRU.Faculty.Constants!V6,2)</f>
        <v>17.23</v>
      </c>
      <c r="X13" s="86">
        <f>ROUND((X5+X6)*MRU.Faculty.Constants!W6,2)</f>
        <v>17.23</v>
      </c>
      <c r="Y13" s="113">
        <f>ROUND((Y5+Y6)*MRU.Faculty.Constants!X6,2)</f>
        <v>17.23</v>
      </c>
      <c r="Z13" s="86">
        <f>ROUND((Z5+Z6)*MRU.Faculty.Constants!Y6,2)</f>
        <v>17.23</v>
      </c>
      <c r="AA13" s="3">
        <f>SUM(C13:Z13)</f>
        <v>291.83999999999997</v>
      </c>
    </row>
    <row r="14" spans="1:27" ht="16.899999999999999" hidden="1" customHeight="1" x14ac:dyDescent="0.25">
      <c r="A14" s="261"/>
      <c r="B14" s="84" t="s">
        <v>63</v>
      </c>
      <c r="C14" s="113">
        <v>0</v>
      </c>
      <c r="D14" s="86">
        <f t="shared" ref="D14:Z14" si="2">C14+C19</f>
        <v>88.06</v>
      </c>
      <c r="E14" s="113">
        <f t="shared" si="2"/>
        <v>176.12</v>
      </c>
      <c r="F14" s="86">
        <f t="shared" si="2"/>
        <v>264.18</v>
      </c>
      <c r="G14" s="113">
        <f t="shared" si="2"/>
        <v>352.24</v>
      </c>
      <c r="H14" s="86">
        <f t="shared" si="2"/>
        <v>440.3</v>
      </c>
      <c r="I14" s="113">
        <f t="shared" si="2"/>
        <v>528.36</v>
      </c>
      <c r="J14" s="86">
        <f t="shared" si="2"/>
        <v>616.42000000000007</v>
      </c>
      <c r="K14" s="113">
        <f t="shared" si="2"/>
        <v>704.48</v>
      </c>
      <c r="L14" s="86">
        <f t="shared" si="2"/>
        <v>704.48</v>
      </c>
      <c r="M14" s="113">
        <f t="shared" si="2"/>
        <v>704.48</v>
      </c>
      <c r="N14" s="86">
        <f t="shared" si="2"/>
        <v>704.48</v>
      </c>
      <c r="O14" s="113">
        <f t="shared" si="2"/>
        <v>704.48</v>
      </c>
      <c r="P14" s="86">
        <f t="shared" si="2"/>
        <v>704.48</v>
      </c>
      <c r="Q14" s="113">
        <f t="shared" si="2"/>
        <v>704.48</v>
      </c>
      <c r="R14" s="86">
        <f t="shared" si="2"/>
        <v>704.48</v>
      </c>
      <c r="S14" s="113">
        <f t="shared" si="2"/>
        <v>704.48</v>
      </c>
      <c r="T14" s="86">
        <f t="shared" si="2"/>
        <v>782.55</v>
      </c>
      <c r="U14" s="113">
        <f t="shared" si="2"/>
        <v>860.61999999999989</v>
      </c>
      <c r="V14" s="86">
        <f t="shared" si="2"/>
        <v>938.68999999999983</v>
      </c>
      <c r="W14" s="113">
        <f t="shared" si="2"/>
        <v>1016.7599999999998</v>
      </c>
      <c r="X14" s="86">
        <f t="shared" si="2"/>
        <v>1094.8299999999997</v>
      </c>
      <c r="Y14" s="113">
        <f t="shared" si="2"/>
        <v>1172.8999999999996</v>
      </c>
      <c r="Z14" s="86">
        <f t="shared" si="2"/>
        <v>1250.9699999999996</v>
      </c>
    </row>
    <row r="15" spans="1:27" ht="16.899999999999999" hidden="1" customHeight="1" x14ac:dyDescent="0.25">
      <c r="A15" s="261"/>
      <c r="B15" s="84" t="s">
        <v>66</v>
      </c>
      <c r="C15" s="113">
        <f t="shared" ref="C15:Z15" si="3">C8+C51</f>
        <v>1924.82</v>
      </c>
      <c r="D15" s="86">
        <f t="shared" si="3"/>
        <v>1924.82</v>
      </c>
      <c r="E15" s="113">
        <f t="shared" si="3"/>
        <v>1924.82</v>
      </c>
      <c r="F15" s="86">
        <f t="shared" si="3"/>
        <v>1924.82</v>
      </c>
      <c r="G15" s="113">
        <f t="shared" si="3"/>
        <v>1924.82</v>
      </c>
      <c r="H15" s="86">
        <f t="shared" si="3"/>
        <v>1924.82</v>
      </c>
      <c r="I15" s="113">
        <f t="shared" si="3"/>
        <v>1924.82</v>
      </c>
      <c r="J15" s="86">
        <f t="shared" si="3"/>
        <v>1924.82</v>
      </c>
      <c r="K15" s="113">
        <f t="shared" si="3"/>
        <v>0</v>
      </c>
      <c r="L15" s="86">
        <f t="shared" si="3"/>
        <v>0</v>
      </c>
      <c r="M15" s="113">
        <f t="shared" si="3"/>
        <v>0</v>
      </c>
      <c r="N15" s="86">
        <f t="shared" si="3"/>
        <v>0</v>
      </c>
      <c r="O15" s="113">
        <f t="shared" si="3"/>
        <v>0</v>
      </c>
      <c r="P15" s="86">
        <f t="shared" si="3"/>
        <v>0</v>
      </c>
      <c r="Q15" s="113">
        <f t="shared" si="3"/>
        <v>0</v>
      </c>
      <c r="R15" s="86">
        <f t="shared" si="3"/>
        <v>0</v>
      </c>
      <c r="S15" s="113">
        <f t="shared" si="3"/>
        <v>1722.92</v>
      </c>
      <c r="T15" s="86">
        <f t="shared" si="3"/>
        <v>1722.92</v>
      </c>
      <c r="U15" s="113">
        <f t="shared" si="3"/>
        <v>1722.92</v>
      </c>
      <c r="V15" s="86">
        <f t="shared" si="3"/>
        <v>1722.92</v>
      </c>
      <c r="W15" s="113">
        <f t="shared" si="3"/>
        <v>1722.92</v>
      </c>
      <c r="X15" s="86">
        <f t="shared" si="3"/>
        <v>1722.92</v>
      </c>
      <c r="Y15" s="113">
        <f t="shared" si="3"/>
        <v>1722.92</v>
      </c>
      <c r="Z15" s="86">
        <f t="shared" si="3"/>
        <v>1722.92</v>
      </c>
    </row>
    <row r="16" spans="1:27" ht="16.899999999999999" hidden="1" customHeight="1" x14ac:dyDescent="0.25">
      <c r="A16" s="261"/>
      <c r="B16" s="84" t="s">
        <v>64</v>
      </c>
      <c r="C16" s="113">
        <f t="shared" ref="C16:Z16" si="4">MAX_ANNUAL_CPP-C14</f>
        <v>2564.1</v>
      </c>
      <c r="D16" s="86">
        <f t="shared" si="4"/>
        <v>2476.04</v>
      </c>
      <c r="E16" s="113">
        <f t="shared" si="4"/>
        <v>2387.98</v>
      </c>
      <c r="F16" s="86">
        <f t="shared" si="4"/>
        <v>2299.92</v>
      </c>
      <c r="G16" s="113">
        <f t="shared" si="4"/>
        <v>2211.8599999999997</v>
      </c>
      <c r="H16" s="86">
        <f t="shared" si="4"/>
        <v>2123.7999999999997</v>
      </c>
      <c r="I16" s="113">
        <f t="shared" si="4"/>
        <v>2035.7399999999998</v>
      </c>
      <c r="J16" s="86">
        <f t="shared" si="4"/>
        <v>1947.6799999999998</v>
      </c>
      <c r="K16" s="113">
        <f t="shared" si="4"/>
        <v>1859.62</v>
      </c>
      <c r="L16" s="86">
        <f t="shared" si="4"/>
        <v>1859.62</v>
      </c>
      <c r="M16" s="113">
        <f t="shared" si="4"/>
        <v>1859.62</v>
      </c>
      <c r="N16" s="86">
        <f t="shared" si="4"/>
        <v>1859.62</v>
      </c>
      <c r="O16" s="113">
        <f t="shared" si="4"/>
        <v>1859.62</v>
      </c>
      <c r="P16" s="86">
        <f t="shared" si="4"/>
        <v>1859.62</v>
      </c>
      <c r="Q16" s="113">
        <f t="shared" si="4"/>
        <v>1859.62</v>
      </c>
      <c r="R16" s="86">
        <f t="shared" si="4"/>
        <v>1859.62</v>
      </c>
      <c r="S16" s="113">
        <f t="shared" si="4"/>
        <v>1859.62</v>
      </c>
      <c r="T16" s="86">
        <f t="shared" si="4"/>
        <v>1781.55</v>
      </c>
      <c r="U16" s="113">
        <f t="shared" si="4"/>
        <v>1703.48</v>
      </c>
      <c r="V16" s="86">
        <f t="shared" si="4"/>
        <v>1625.41</v>
      </c>
      <c r="W16" s="113">
        <f t="shared" si="4"/>
        <v>1547.3400000000001</v>
      </c>
      <c r="X16" s="86">
        <f t="shared" si="4"/>
        <v>1469.2700000000002</v>
      </c>
      <c r="Y16" s="113">
        <f t="shared" si="4"/>
        <v>1391.2000000000003</v>
      </c>
      <c r="Z16" s="86">
        <f t="shared" si="4"/>
        <v>1313.1300000000003</v>
      </c>
    </row>
    <row r="17" spans="1:27" ht="16.899999999999999" hidden="1" customHeight="1" x14ac:dyDescent="0.25">
      <c r="A17" s="261"/>
      <c r="B17" s="84" t="s">
        <v>65</v>
      </c>
      <c r="C17" s="113">
        <f t="shared" ref="C17:Z17" si="5">CPP_RATE * (C15 - (3500 / MRU_N_R) )</f>
        <v>88.059840000000008</v>
      </c>
      <c r="D17" s="86">
        <f t="shared" si="5"/>
        <v>88.059840000000008</v>
      </c>
      <c r="E17" s="113">
        <f t="shared" si="5"/>
        <v>88.059840000000008</v>
      </c>
      <c r="F17" s="86">
        <f t="shared" si="5"/>
        <v>88.059840000000008</v>
      </c>
      <c r="G17" s="113">
        <f t="shared" si="5"/>
        <v>88.059840000000008</v>
      </c>
      <c r="H17" s="86">
        <f t="shared" si="5"/>
        <v>88.059840000000008</v>
      </c>
      <c r="I17" s="113">
        <f t="shared" si="5"/>
        <v>88.059840000000008</v>
      </c>
      <c r="J17" s="86">
        <f t="shared" si="5"/>
        <v>88.059840000000008</v>
      </c>
      <c r="K17" s="113">
        <f t="shared" si="5"/>
        <v>-7.2187500000000009</v>
      </c>
      <c r="L17" s="86">
        <f t="shared" si="5"/>
        <v>-7.2187500000000009</v>
      </c>
      <c r="M17" s="113">
        <f t="shared" si="5"/>
        <v>-7.2187500000000009</v>
      </c>
      <c r="N17" s="86">
        <f t="shared" si="5"/>
        <v>-7.2187500000000009</v>
      </c>
      <c r="O17" s="113">
        <f t="shared" si="5"/>
        <v>-7.2187500000000009</v>
      </c>
      <c r="P17" s="86">
        <f t="shared" si="5"/>
        <v>-7.2187500000000009</v>
      </c>
      <c r="Q17" s="113">
        <f t="shared" si="5"/>
        <v>-7.2187500000000009</v>
      </c>
      <c r="R17" s="86">
        <f t="shared" si="5"/>
        <v>-7.2187500000000009</v>
      </c>
      <c r="S17" s="113">
        <f t="shared" si="5"/>
        <v>78.065790000000007</v>
      </c>
      <c r="T17" s="86">
        <f t="shared" si="5"/>
        <v>78.065790000000007</v>
      </c>
      <c r="U17" s="113">
        <f t="shared" si="5"/>
        <v>78.065790000000007</v>
      </c>
      <c r="V17" s="86">
        <f t="shared" si="5"/>
        <v>78.065790000000007</v>
      </c>
      <c r="W17" s="113">
        <f t="shared" si="5"/>
        <v>78.065790000000007</v>
      </c>
      <c r="X17" s="86">
        <f t="shared" si="5"/>
        <v>78.065790000000007</v>
      </c>
      <c r="Y17" s="113">
        <f t="shared" si="5"/>
        <v>78.065790000000007</v>
      </c>
      <c r="Z17" s="86">
        <f t="shared" si="5"/>
        <v>78.065790000000007</v>
      </c>
    </row>
    <row r="18" spans="1:27" ht="16.899999999999999" hidden="1" customHeight="1" x14ac:dyDescent="0.25">
      <c r="A18" s="261"/>
      <c r="B18" s="84" t="s">
        <v>67</v>
      </c>
      <c r="C18" s="113">
        <f>MIN(C16,C17)</f>
        <v>88.059840000000008</v>
      </c>
      <c r="D18" s="86">
        <f t="shared" ref="D18:Z18" si="6">MIN(D16,D17)</f>
        <v>88.059840000000008</v>
      </c>
      <c r="E18" s="113">
        <f t="shared" si="6"/>
        <v>88.059840000000008</v>
      </c>
      <c r="F18" s="86">
        <f t="shared" si="6"/>
        <v>88.059840000000008</v>
      </c>
      <c r="G18" s="113">
        <f t="shared" si="6"/>
        <v>88.059840000000008</v>
      </c>
      <c r="H18" s="86">
        <f t="shared" si="6"/>
        <v>88.059840000000008</v>
      </c>
      <c r="I18" s="113">
        <f t="shared" si="6"/>
        <v>88.059840000000008</v>
      </c>
      <c r="J18" s="86">
        <f t="shared" si="6"/>
        <v>88.059840000000008</v>
      </c>
      <c r="K18" s="113">
        <f t="shared" si="6"/>
        <v>-7.2187500000000009</v>
      </c>
      <c r="L18" s="86">
        <f t="shared" si="6"/>
        <v>-7.2187500000000009</v>
      </c>
      <c r="M18" s="113">
        <f t="shared" si="6"/>
        <v>-7.2187500000000009</v>
      </c>
      <c r="N18" s="86">
        <f t="shared" si="6"/>
        <v>-7.2187500000000009</v>
      </c>
      <c r="O18" s="113">
        <f t="shared" si="6"/>
        <v>-7.2187500000000009</v>
      </c>
      <c r="P18" s="86">
        <f t="shared" si="6"/>
        <v>-7.2187500000000009</v>
      </c>
      <c r="Q18" s="113">
        <f t="shared" si="6"/>
        <v>-7.2187500000000009</v>
      </c>
      <c r="R18" s="86">
        <f t="shared" si="6"/>
        <v>-7.2187500000000009</v>
      </c>
      <c r="S18" s="113">
        <f t="shared" si="6"/>
        <v>78.065790000000007</v>
      </c>
      <c r="T18" s="86">
        <f t="shared" si="6"/>
        <v>78.065790000000007</v>
      </c>
      <c r="U18" s="113">
        <f t="shared" si="6"/>
        <v>78.065790000000007</v>
      </c>
      <c r="V18" s="86">
        <f t="shared" si="6"/>
        <v>78.065790000000007</v>
      </c>
      <c r="W18" s="113">
        <f t="shared" si="6"/>
        <v>78.065790000000007</v>
      </c>
      <c r="X18" s="86">
        <f t="shared" si="6"/>
        <v>78.065790000000007</v>
      </c>
      <c r="Y18" s="113">
        <f t="shared" si="6"/>
        <v>78.065790000000007</v>
      </c>
      <c r="Z18" s="86">
        <f t="shared" si="6"/>
        <v>78.065790000000007</v>
      </c>
    </row>
    <row r="19" spans="1:27" ht="16.899999999999999" customHeight="1" x14ac:dyDescent="0.25">
      <c r="A19" s="261"/>
      <c r="B19" s="84" t="s">
        <v>7</v>
      </c>
      <c r="C19" s="113">
        <f t="shared" ref="C19:Z19" si="7">IF(C18 &lt; 0, 0, ROUND(C18,2))</f>
        <v>88.06</v>
      </c>
      <c r="D19" s="86">
        <f t="shared" si="7"/>
        <v>88.06</v>
      </c>
      <c r="E19" s="113">
        <f t="shared" si="7"/>
        <v>88.06</v>
      </c>
      <c r="F19" s="86">
        <f t="shared" si="7"/>
        <v>88.06</v>
      </c>
      <c r="G19" s="113">
        <f t="shared" si="7"/>
        <v>88.06</v>
      </c>
      <c r="H19" s="86">
        <f t="shared" si="7"/>
        <v>88.06</v>
      </c>
      <c r="I19" s="113">
        <f t="shared" si="7"/>
        <v>88.06</v>
      </c>
      <c r="J19" s="86">
        <f t="shared" si="7"/>
        <v>88.06</v>
      </c>
      <c r="K19" s="113">
        <f t="shared" si="7"/>
        <v>0</v>
      </c>
      <c r="L19" s="86">
        <f t="shared" si="7"/>
        <v>0</v>
      </c>
      <c r="M19" s="113">
        <f t="shared" si="7"/>
        <v>0</v>
      </c>
      <c r="N19" s="86">
        <f t="shared" si="7"/>
        <v>0</v>
      </c>
      <c r="O19" s="113">
        <f t="shared" si="7"/>
        <v>0</v>
      </c>
      <c r="P19" s="86">
        <f t="shared" si="7"/>
        <v>0</v>
      </c>
      <c r="Q19" s="113">
        <f t="shared" si="7"/>
        <v>0</v>
      </c>
      <c r="R19" s="86">
        <f t="shared" si="7"/>
        <v>0</v>
      </c>
      <c r="S19" s="113">
        <f t="shared" si="7"/>
        <v>78.069999999999993</v>
      </c>
      <c r="T19" s="86">
        <f t="shared" si="7"/>
        <v>78.069999999999993</v>
      </c>
      <c r="U19" s="113">
        <f t="shared" si="7"/>
        <v>78.069999999999993</v>
      </c>
      <c r="V19" s="86">
        <f t="shared" si="7"/>
        <v>78.069999999999993</v>
      </c>
      <c r="W19" s="113">
        <f t="shared" si="7"/>
        <v>78.069999999999993</v>
      </c>
      <c r="X19" s="86">
        <f t="shared" si="7"/>
        <v>78.069999999999993</v>
      </c>
      <c r="Y19" s="113">
        <f t="shared" si="7"/>
        <v>78.069999999999993</v>
      </c>
      <c r="Z19" s="86">
        <f t="shared" si="7"/>
        <v>78.069999999999993</v>
      </c>
      <c r="AA19" s="3">
        <f>SUM(C19:Z19)</f>
        <v>1329.0399999999995</v>
      </c>
    </row>
    <row r="20" spans="1:27" ht="16.899999999999999" hidden="1" customHeight="1" x14ac:dyDescent="0.25">
      <c r="A20" s="261"/>
      <c r="B20" s="84" t="s">
        <v>69</v>
      </c>
      <c r="C20" s="113">
        <v>0</v>
      </c>
      <c r="D20" s="86">
        <f t="shared" ref="D20:Z20" si="8">C20+C25</f>
        <v>31.37</v>
      </c>
      <c r="E20" s="113">
        <f t="shared" si="8"/>
        <v>62.74</v>
      </c>
      <c r="F20" s="86">
        <f t="shared" si="8"/>
        <v>94.11</v>
      </c>
      <c r="G20" s="113">
        <f t="shared" si="8"/>
        <v>125.48</v>
      </c>
      <c r="H20" s="86">
        <f t="shared" si="8"/>
        <v>156.85</v>
      </c>
      <c r="I20" s="113">
        <f t="shared" si="8"/>
        <v>188.22</v>
      </c>
      <c r="J20" s="86">
        <f t="shared" si="8"/>
        <v>219.59</v>
      </c>
      <c r="K20" s="113">
        <f t="shared" si="8"/>
        <v>250.96</v>
      </c>
      <c r="L20" s="86">
        <f t="shared" si="8"/>
        <v>250.96</v>
      </c>
      <c r="M20" s="113">
        <f t="shared" si="8"/>
        <v>250.96</v>
      </c>
      <c r="N20" s="86">
        <f t="shared" si="8"/>
        <v>250.96</v>
      </c>
      <c r="O20" s="113">
        <f t="shared" si="8"/>
        <v>250.96</v>
      </c>
      <c r="P20" s="86">
        <f t="shared" si="8"/>
        <v>250.96</v>
      </c>
      <c r="Q20" s="113">
        <f t="shared" si="8"/>
        <v>250.96</v>
      </c>
      <c r="R20" s="86">
        <f t="shared" si="8"/>
        <v>250.96</v>
      </c>
      <c r="S20" s="113">
        <f t="shared" si="8"/>
        <v>250.96</v>
      </c>
      <c r="T20" s="86">
        <f t="shared" si="8"/>
        <v>279.04000000000002</v>
      </c>
      <c r="U20" s="113">
        <f t="shared" si="8"/>
        <v>307.12</v>
      </c>
      <c r="V20" s="86">
        <f t="shared" si="8"/>
        <v>335.2</v>
      </c>
      <c r="W20" s="113">
        <f t="shared" si="8"/>
        <v>363.28</v>
      </c>
      <c r="X20" s="86">
        <f t="shared" si="8"/>
        <v>391.35999999999996</v>
      </c>
      <c r="Y20" s="113">
        <f t="shared" si="8"/>
        <v>419.43999999999994</v>
      </c>
      <c r="Z20" s="86">
        <f t="shared" si="8"/>
        <v>447.51999999999992</v>
      </c>
    </row>
    <row r="21" spans="1:27" ht="16.899999999999999" hidden="1" customHeight="1" x14ac:dyDescent="0.25">
      <c r="A21" s="261"/>
      <c r="B21" s="84" t="s">
        <v>70</v>
      </c>
      <c r="C21" s="113">
        <f>C8</f>
        <v>1924.82</v>
      </c>
      <c r="D21" s="86">
        <f t="shared" ref="D21:Z21" si="9">D8</f>
        <v>1924.82</v>
      </c>
      <c r="E21" s="113">
        <f t="shared" si="9"/>
        <v>1924.82</v>
      </c>
      <c r="F21" s="86">
        <f t="shared" si="9"/>
        <v>1924.82</v>
      </c>
      <c r="G21" s="113">
        <f t="shared" si="9"/>
        <v>1924.82</v>
      </c>
      <c r="H21" s="86">
        <f t="shared" si="9"/>
        <v>1924.82</v>
      </c>
      <c r="I21" s="113">
        <f t="shared" si="9"/>
        <v>1924.82</v>
      </c>
      <c r="J21" s="86">
        <f t="shared" si="9"/>
        <v>1924.82</v>
      </c>
      <c r="K21" s="113">
        <f t="shared" si="9"/>
        <v>0</v>
      </c>
      <c r="L21" s="86">
        <f t="shared" si="9"/>
        <v>0</v>
      </c>
      <c r="M21" s="113">
        <f t="shared" si="9"/>
        <v>0</v>
      </c>
      <c r="N21" s="86">
        <f t="shared" si="9"/>
        <v>0</v>
      </c>
      <c r="O21" s="113">
        <f t="shared" si="9"/>
        <v>0</v>
      </c>
      <c r="P21" s="86">
        <f t="shared" si="9"/>
        <v>0</v>
      </c>
      <c r="Q21" s="113">
        <f t="shared" si="9"/>
        <v>0</v>
      </c>
      <c r="R21" s="86">
        <f t="shared" si="9"/>
        <v>0</v>
      </c>
      <c r="S21" s="113">
        <f t="shared" si="9"/>
        <v>1722.92</v>
      </c>
      <c r="T21" s="86">
        <f t="shared" si="9"/>
        <v>1722.92</v>
      </c>
      <c r="U21" s="113">
        <f t="shared" si="9"/>
        <v>1722.92</v>
      </c>
      <c r="V21" s="86">
        <f t="shared" si="9"/>
        <v>1722.92</v>
      </c>
      <c r="W21" s="113">
        <f t="shared" si="9"/>
        <v>1722.92</v>
      </c>
      <c r="X21" s="86">
        <f t="shared" si="9"/>
        <v>1722.92</v>
      </c>
      <c r="Y21" s="113">
        <f t="shared" si="9"/>
        <v>1722.92</v>
      </c>
      <c r="Z21" s="86">
        <f t="shared" si="9"/>
        <v>1722.92</v>
      </c>
    </row>
    <row r="22" spans="1:27" ht="16.899999999999999" hidden="1" customHeight="1" x14ac:dyDescent="0.25">
      <c r="A22" s="261"/>
      <c r="B22" s="84" t="s">
        <v>71</v>
      </c>
      <c r="C22" s="113">
        <f t="shared" ref="C22:Z22" si="10">MAX_ANNUAL_EI-C20</f>
        <v>836.19</v>
      </c>
      <c r="D22" s="86">
        <f t="shared" si="10"/>
        <v>804.82</v>
      </c>
      <c r="E22" s="113">
        <f t="shared" si="10"/>
        <v>773.45</v>
      </c>
      <c r="F22" s="86">
        <f t="shared" si="10"/>
        <v>742.08</v>
      </c>
      <c r="G22" s="113">
        <f t="shared" si="10"/>
        <v>710.71</v>
      </c>
      <c r="H22" s="86">
        <f t="shared" si="10"/>
        <v>679.34</v>
      </c>
      <c r="I22" s="113">
        <f t="shared" si="10"/>
        <v>647.97</v>
      </c>
      <c r="J22" s="86">
        <f t="shared" si="10"/>
        <v>616.6</v>
      </c>
      <c r="K22" s="113">
        <f t="shared" si="10"/>
        <v>585.23</v>
      </c>
      <c r="L22" s="86">
        <f t="shared" si="10"/>
        <v>585.23</v>
      </c>
      <c r="M22" s="113">
        <f t="shared" si="10"/>
        <v>585.23</v>
      </c>
      <c r="N22" s="86">
        <f t="shared" si="10"/>
        <v>585.23</v>
      </c>
      <c r="O22" s="113">
        <f t="shared" si="10"/>
        <v>585.23</v>
      </c>
      <c r="P22" s="86">
        <f t="shared" si="10"/>
        <v>585.23</v>
      </c>
      <c r="Q22" s="113">
        <f t="shared" si="10"/>
        <v>585.23</v>
      </c>
      <c r="R22" s="86">
        <f t="shared" si="10"/>
        <v>585.23</v>
      </c>
      <c r="S22" s="113">
        <f t="shared" si="10"/>
        <v>585.23</v>
      </c>
      <c r="T22" s="86">
        <f t="shared" si="10"/>
        <v>557.15000000000009</v>
      </c>
      <c r="U22" s="113">
        <f t="shared" si="10"/>
        <v>529.07000000000005</v>
      </c>
      <c r="V22" s="86">
        <f t="shared" si="10"/>
        <v>500.99000000000007</v>
      </c>
      <c r="W22" s="113">
        <f t="shared" si="10"/>
        <v>472.91000000000008</v>
      </c>
      <c r="X22" s="86">
        <f t="shared" si="10"/>
        <v>444.8300000000001</v>
      </c>
      <c r="Y22" s="113">
        <f t="shared" si="10"/>
        <v>416.75000000000011</v>
      </c>
      <c r="Z22" s="86">
        <f t="shared" si="10"/>
        <v>388.67000000000013</v>
      </c>
    </row>
    <row r="23" spans="1:27" ht="16.899999999999999" hidden="1" customHeight="1" x14ac:dyDescent="0.25">
      <c r="A23" s="261"/>
      <c r="B23" s="84" t="s">
        <v>72</v>
      </c>
      <c r="C23" s="113">
        <f t="shared" ref="C23:Z23" si="11">EI_RATE * C21</f>
        <v>31.374565999999994</v>
      </c>
      <c r="D23" s="86">
        <f t="shared" si="11"/>
        <v>31.374565999999994</v>
      </c>
      <c r="E23" s="113">
        <f t="shared" si="11"/>
        <v>31.374565999999994</v>
      </c>
      <c r="F23" s="86">
        <f t="shared" si="11"/>
        <v>31.374565999999994</v>
      </c>
      <c r="G23" s="113">
        <f t="shared" si="11"/>
        <v>31.374565999999994</v>
      </c>
      <c r="H23" s="86">
        <f t="shared" si="11"/>
        <v>31.374565999999994</v>
      </c>
      <c r="I23" s="113">
        <f t="shared" si="11"/>
        <v>31.374565999999994</v>
      </c>
      <c r="J23" s="86">
        <f t="shared" si="11"/>
        <v>31.374565999999994</v>
      </c>
      <c r="K23" s="113">
        <f t="shared" si="11"/>
        <v>0</v>
      </c>
      <c r="L23" s="86">
        <f t="shared" si="11"/>
        <v>0</v>
      </c>
      <c r="M23" s="113">
        <f t="shared" si="11"/>
        <v>0</v>
      </c>
      <c r="N23" s="86">
        <f t="shared" si="11"/>
        <v>0</v>
      </c>
      <c r="O23" s="113">
        <f t="shared" si="11"/>
        <v>0</v>
      </c>
      <c r="P23" s="86">
        <f t="shared" si="11"/>
        <v>0</v>
      </c>
      <c r="Q23" s="113">
        <f t="shared" si="11"/>
        <v>0</v>
      </c>
      <c r="R23" s="86">
        <f t="shared" si="11"/>
        <v>0</v>
      </c>
      <c r="S23" s="113">
        <f t="shared" si="11"/>
        <v>28.083596</v>
      </c>
      <c r="T23" s="86">
        <f t="shared" si="11"/>
        <v>28.083596</v>
      </c>
      <c r="U23" s="113">
        <f t="shared" si="11"/>
        <v>28.083596</v>
      </c>
      <c r="V23" s="86">
        <f t="shared" si="11"/>
        <v>28.083596</v>
      </c>
      <c r="W23" s="113">
        <f t="shared" si="11"/>
        <v>28.083596</v>
      </c>
      <c r="X23" s="86">
        <f t="shared" si="11"/>
        <v>28.083596</v>
      </c>
      <c r="Y23" s="113">
        <f t="shared" si="11"/>
        <v>28.083596</v>
      </c>
      <c r="Z23" s="86">
        <f t="shared" si="11"/>
        <v>28.083596</v>
      </c>
    </row>
    <row r="24" spans="1:27" ht="16.899999999999999" hidden="1" customHeight="1" x14ac:dyDescent="0.25">
      <c r="A24" s="261"/>
      <c r="B24" s="84" t="s">
        <v>73</v>
      </c>
      <c r="C24" s="113">
        <f>MIN(C22:C23)</f>
        <v>31.374565999999994</v>
      </c>
      <c r="D24" s="86">
        <f t="shared" ref="D24:Z24" si="12">MIN(D22:D23)</f>
        <v>31.374565999999994</v>
      </c>
      <c r="E24" s="113">
        <f t="shared" si="12"/>
        <v>31.374565999999994</v>
      </c>
      <c r="F24" s="86">
        <f t="shared" si="12"/>
        <v>31.374565999999994</v>
      </c>
      <c r="G24" s="113">
        <f t="shared" si="12"/>
        <v>31.374565999999994</v>
      </c>
      <c r="H24" s="86">
        <f t="shared" si="12"/>
        <v>31.374565999999994</v>
      </c>
      <c r="I24" s="113">
        <f t="shared" si="12"/>
        <v>31.374565999999994</v>
      </c>
      <c r="J24" s="86">
        <f t="shared" si="12"/>
        <v>31.374565999999994</v>
      </c>
      <c r="K24" s="113">
        <f t="shared" si="12"/>
        <v>0</v>
      </c>
      <c r="L24" s="86">
        <f t="shared" si="12"/>
        <v>0</v>
      </c>
      <c r="M24" s="113">
        <f t="shared" si="12"/>
        <v>0</v>
      </c>
      <c r="N24" s="86">
        <f t="shared" si="12"/>
        <v>0</v>
      </c>
      <c r="O24" s="113">
        <f t="shared" si="12"/>
        <v>0</v>
      </c>
      <c r="P24" s="86">
        <f t="shared" si="12"/>
        <v>0</v>
      </c>
      <c r="Q24" s="113">
        <f t="shared" si="12"/>
        <v>0</v>
      </c>
      <c r="R24" s="86">
        <f t="shared" si="12"/>
        <v>0</v>
      </c>
      <c r="S24" s="113">
        <f t="shared" si="12"/>
        <v>28.083596</v>
      </c>
      <c r="T24" s="86">
        <f t="shared" si="12"/>
        <v>28.083596</v>
      </c>
      <c r="U24" s="113">
        <f t="shared" si="12"/>
        <v>28.083596</v>
      </c>
      <c r="V24" s="86">
        <f t="shared" si="12"/>
        <v>28.083596</v>
      </c>
      <c r="W24" s="113">
        <f t="shared" si="12"/>
        <v>28.083596</v>
      </c>
      <c r="X24" s="86">
        <f t="shared" si="12"/>
        <v>28.083596</v>
      </c>
      <c r="Y24" s="113">
        <f t="shared" si="12"/>
        <v>28.083596</v>
      </c>
      <c r="Z24" s="86">
        <f t="shared" si="12"/>
        <v>28.083596</v>
      </c>
    </row>
    <row r="25" spans="1:27" x14ac:dyDescent="0.25">
      <c r="A25" s="261"/>
      <c r="B25" s="84" t="s">
        <v>8</v>
      </c>
      <c r="C25" s="113">
        <f t="shared" ref="C25:Z25" si="13">IF(C24&lt;0,0,ROUND(C24,2))</f>
        <v>31.37</v>
      </c>
      <c r="D25" s="86">
        <f t="shared" si="13"/>
        <v>31.37</v>
      </c>
      <c r="E25" s="113">
        <f t="shared" si="13"/>
        <v>31.37</v>
      </c>
      <c r="F25" s="86">
        <f t="shared" si="13"/>
        <v>31.37</v>
      </c>
      <c r="G25" s="113">
        <f t="shared" si="13"/>
        <v>31.37</v>
      </c>
      <c r="H25" s="86">
        <f t="shared" si="13"/>
        <v>31.37</v>
      </c>
      <c r="I25" s="113">
        <f t="shared" si="13"/>
        <v>31.37</v>
      </c>
      <c r="J25" s="86">
        <f t="shared" si="13"/>
        <v>31.37</v>
      </c>
      <c r="K25" s="113">
        <f t="shared" si="13"/>
        <v>0</v>
      </c>
      <c r="L25" s="86">
        <f t="shared" si="13"/>
        <v>0</v>
      </c>
      <c r="M25" s="113">
        <f t="shared" si="13"/>
        <v>0</v>
      </c>
      <c r="N25" s="86">
        <f t="shared" si="13"/>
        <v>0</v>
      </c>
      <c r="O25" s="113">
        <f t="shared" si="13"/>
        <v>0</v>
      </c>
      <c r="P25" s="86">
        <f t="shared" si="13"/>
        <v>0</v>
      </c>
      <c r="Q25" s="113">
        <f t="shared" si="13"/>
        <v>0</v>
      </c>
      <c r="R25" s="86">
        <f t="shared" si="13"/>
        <v>0</v>
      </c>
      <c r="S25" s="113">
        <f t="shared" si="13"/>
        <v>28.08</v>
      </c>
      <c r="T25" s="86">
        <f t="shared" si="13"/>
        <v>28.08</v>
      </c>
      <c r="U25" s="113">
        <f t="shared" si="13"/>
        <v>28.08</v>
      </c>
      <c r="V25" s="86">
        <f t="shared" si="13"/>
        <v>28.08</v>
      </c>
      <c r="W25" s="113">
        <f t="shared" si="13"/>
        <v>28.08</v>
      </c>
      <c r="X25" s="86">
        <f t="shared" si="13"/>
        <v>28.08</v>
      </c>
      <c r="Y25" s="113">
        <f t="shared" si="13"/>
        <v>28.08</v>
      </c>
      <c r="Z25" s="86">
        <f t="shared" si="13"/>
        <v>28.08</v>
      </c>
      <c r="AA25" s="3">
        <f>SUM(C25:Z25)</f>
        <v>475.59999999999991</v>
      </c>
    </row>
    <row r="26" spans="1:27" ht="14.45" hidden="1" customHeight="1" x14ac:dyDescent="0.25">
      <c r="A26" s="261"/>
      <c r="B26" s="84" t="s">
        <v>88</v>
      </c>
      <c r="C26" s="113">
        <f t="shared" ref="C26:Z26" si="14">MRU_N_R  * (C8 + C51 - C11 - C12 - C13)</f>
        <v>45733.68</v>
      </c>
      <c r="D26" s="86">
        <f t="shared" si="14"/>
        <v>45733.68</v>
      </c>
      <c r="E26" s="113">
        <f t="shared" si="14"/>
        <v>45733.68</v>
      </c>
      <c r="F26" s="86">
        <f t="shared" si="14"/>
        <v>45733.68</v>
      </c>
      <c r="G26" s="113">
        <f t="shared" si="14"/>
        <v>45733.68</v>
      </c>
      <c r="H26" s="86">
        <f t="shared" si="14"/>
        <v>45733.68</v>
      </c>
      <c r="I26" s="113">
        <f t="shared" si="14"/>
        <v>45733.68</v>
      </c>
      <c r="J26" s="86">
        <f t="shared" si="14"/>
        <v>45733.68</v>
      </c>
      <c r="K26" s="113">
        <f t="shared" si="14"/>
        <v>0</v>
      </c>
      <c r="L26" s="86">
        <f t="shared" si="14"/>
        <v>0</v>
      </c>
      <c r="M26" s="113">
        <f t="shared" si="14"/>
        <v>0</v>
      </c>
      <c r="N26" s="86">
        <f t="shared" si="14"/>
        <v>0</v>
      </c>
      <c r="O26" s="113">
        <f t="shared" si="14"/>
        <v>0</v>
      </c>
      <c r="P26" s="86">
        <f t="shared" si="14"/>
        <v>0</v>
      </c>
      <c r="Q26" s="113">
        <f t="shared" si="14"/>
        <v>0</v>
      </c>
      <c r="R26" s="86">
        <f t="shared" si="14"/>
        <v>0</v>
      </c>
      <c r="S26" s="113">
        <f t="shared" si="14"/>
        <v>40936.559999999998</v>
      </c>
      <c r="T26" s="86">
        <f t="shared" si="14"/>
        <v>40936.559999999998</v>
      </c>
      <c r="U26" s="113">
        <f t="shared" si="14"/>
        <v>40936.559999999998</v>
      </c>
      <c r="V26" s="86">
        <f t="shared" si="14"/>
        <v>40936.559999999998</v>
      </c>
      <c r="W26" s="113">
        <f t="shared" si="14"/>
        <v>40936.559999999998</v>
      </c>
      <c r="X26" s="86">
        <f t="shared" si="14"/>
        <v>40936.559999999998</v>
      </c>
      <c r="Y26" s="113">
        <f t="shared" si="14"/>
        <v>40936.559999999998</v>
      </c>
      <c r="Z26" s="86">
        <f t="shared" si="14"/>
        <v>40936.559999999998</v>
      </c>
    </row>
    <row r="27" spans="1:27" ht="14.45" hidden="1" customHeight="1" x14ac:dyDescent="0.25">
      <c r="A27" s="261"/>
      <c r="B27" s="84" t="s">
        <v>89</v>
      </c>
      <c r="C27" s="113">
        <f t="shared" ref="C27:Z27" si="15">VLOOKUP(C26,FED_RATE_TABLE,2,TRUE)</f>
        <v>0.15</v>
      </c>
      <c r="D27" s="86">
        <f t="shared" si="15"/>
        <v>0.15</v>
      </c>
      <c r="E27" s="113">
        <f t="shared" si="15"/>
        <v>0.15</v>
      </c>
      <c r="F27" s="86">
        <f t="shared" si="15"/>
        <v>0.15</v>
      </c>
      <c r="G27" s="113">
        <f t="shared" si="15"/>
        <v>0.15</v>
      </c>
      <c r="H27" s="86">
        <f t="shared" si="15"/>
        <v>0.15</v>
      </c>
      <c r="I27" s="113">
        <f t="shared" si="15"/>
        <v>0.15</v>
      </c>
      <c r="J27" s="86">
        <f t="shared" si="15"/>
        <v>0.15</v>
      </c>
      <c r="K27" s="113">
        <f t="shared" si="15"/>
        <v>0.15</v>
      </c>
      <c r="L27" s="86">
        <f t="shared" si="15"/>
        <v>0.15</v>
      </c>
      <c r="M27" s="113">
        <f t="shared" si="15"/>
        <v>0.15</v>
      </c>
      <c r="N27" s="86">
        <f t="shared" si="15"/>
        <v>0.15</v>
      </c>
      <c r="O27" s="113">
        <f t="shared" si="15"/>
        <v>0.15</v>
      </c>
      <c r="P27" s="86">
        <f t="shared" si="15"/>
        <v>0.15</v>
      </c>
      <c r="Q27" s="113">
        <f t="shared" si="15"/>
        <v>0.15</v>
      </c>
      <c r="R27" s="86">
        <f t="shared" si="15"/>
        <v>0.15</v>
      </c>
      <c r="S27" s="113">
        <f t="shared" si="15"/>
        <v>0.15</v>
      </c>
      <c r="T27" s="86">
        <f t="shared" si="15"/>
        <v>0.15</v>
      </c>
      <c r="U27" s="113">
        <f t="shared" si="15"/>
        <v>0.15</v>
      </c>
      <c r="V27" s="86">
        <f t="shared" si="15"/>
        <v>0.15</v>
      </c>
      <c r="W27" s="113">
        <f t="shared" si="15"/>
        <v>0.15</v>
      </c>
      <c r="X27" s="86">
        <f t="shared" si="15"/>
        <v>0.15</v>
      </c>
      <c r="Y27" s="113">
        <f t="shared" si="15"/>
        <v>0.15</v>
      </c>
      <c r="Z27" s="86">
        <f t="shared" si="15"/>
        <v>0.15</v>
      </c>
    </row>
    <row r="28" spans="1:27" ht="14.45" hidden="1" customHeight="1" x14ac:dyDescent="0.25">
      <c r="A28" s="261"/>
      <c r="B28" s="84" t="s">
        <v>90</v>
      </c>
      <c r="C28" s="113">
        <f t="shared" ref="C28:Z28" si="16">VLOOKUP(C26,FED_RATE_TABLE,3,TRUE)</f>
        <v>0</v>
      </c>
      <c r="D28" s="86">
        <f t="shared" si="16"/>
        <v>0</v>
      </c>
      <c r="E28" s="113">
        <f t="shared" si="16"/>
        <v>0</v>
      </c>
      <c r="F28" s="86">
        <f t="shared" si="16"/>
        <v>0</v>
      </c>
      <c r="G28" s="113">
        <f t="shared" si="16"/>
        <v>0</v>
      </c>
      <c r="H28" s="86">
        <f t="shared" si="16"/>
        <v>0</v>
      </c>
      <c r="I28" s="113">
        <f t="shared" si="16"/>
        <v>0</v>
      </c>
      <c r="J28" s="86">
        <f t="shared" si="16"/>
        <v>0</v>
      </c>
      <c r="K28" s="113">
        <f t="shared" si="16"/>
        <v>0</v>
      </c>
      <c r="L28" s="86">
        <f t="shared" si="16"/>
        <v>0</v>
      </c>
      <c r="M28" s="113">
        <f t="shared" si="16"/>
        <v>0</v>
      </c>
      <c r="N28" s="86">
        <f t="shared" si="16"/>
        <v>0</v>
      </c>
      <c r="O28" s="113">
        <f t="shared" si="16"/>
        <v>0</v>
      </c>
      <c r="P28" s="86">
        <f t="shared" si="16"/>
        <v>0</v>
      </c>
      <c r="Q28" s="113">
        <f t="shared" si="16"/>
        <v>0</v>
      </c>
      <c r="R28" s="86">
        <f t="shared" si="16"/>
        <v>0</v>
      </c>
      <c r="S28" s="113">
        <f t="shared" si="16"/>
        <v>0</v>
      </c>
      <c r="T28" s="86">
        <f t="shared" si="16"/>
        <v>0</v>
      </c>
      <c r="U28" s="113">
        <f t="shared" si="16"/>
        <v>0</v>
      </c>
      <c r="V28" s="86">
        <f t="shared" si="16"/>
        <v>0</v>
      </c>
      <c r="W28" s="113">
        <f t="shared" si="16"/>
        <v>0</v>
      </c>
      <c r="X28" s="86">
        <f t="shared" si="16"/>
        <v>0</v>
      </c>
      <c r="Y28" s="113">
        <f t="shared" si="16"/>
        <v>0</v>
      </c>
      <c r="Z28" s="86">
        <f t="shared" si="16"/>
        <v>0</v>
      </c>
    </row>
    <row r="29" spans="1:27" ht="14.45" hidden="1" customHeight="1" x14ac:dyDescent="0.25">
      <c r="A29" s="261"/>
      <c r="B29" s="84" t="s">
        <v>91</v>
      </c>
      <c r="C29" s="113">
        <f>Gov.Tax.Calcs!$C$15</f>
        <v>1</v>
      </c>
      <c r="D29" s="86">
        <f>Gov.Tax.Calcs!$C$15</f>
        <v>1</v>
      </c>
      <c r="E29" s="113">
        <f>Gov.Tax.Calcs!$C$15</f>
        <v>1</v>
      </c>
      <c r="F29" s="86">
        <f>Gov.Tax.Calcs!$C$15</f>
        <v>1</v>
      </c>
      <c r="G29" s="113">
        <f>Gov.Tax.Calcs!$C$15</f>
        <v>1</v>
      </c>
      <c r="H29" s="86">
        <f>Gov.Tax.Calcs!$C$15</f>
        <v>1</v>
      </c>
      <c r="I29" s="113">
        <f>Gov.Tax.Calcs!$C$15</f>
        <v>1</v>
      </c>
      <c r="J29" s="86">
        <f>Gov.Tax.Calcs!$C$15</f>
        <v>1</v>
      </c>
      <c r="K29" s="113">
        <f>Gov.Tax.Calcs!$C$15</f>
        <v>1</v>
      </c>
      <c r="L29" s="86">
        <f>Gov.Tax.Calcs!$C$15</f>
        <v>1</v>
      </c>
      <c r="M29" s="113">
        <f>Gov.Tax.Calcs!$C$15</f>
        <v>1</v>
      </c>
      <c r="N29" s="86">
        <f>Gov.Tax.Calcs!$C$15</f>
        <v>1</v>
      </c>
      <c r="O29" s="113">
        <f>Gov.Tax.Calcs!$C$15</f>
        <v>1</v>
      </c>
      <c r="P29" s="86">
        <f>Gov.Tax.Calcs!$C$15</f>
        <v>1</v>
      </c>
      <c r="Q29" s="113">
        <f>Gov.Tax.Calcs!$C$15</f>
        <v>1</v>
      </c>
      <c r="R29" s="86">
        <f>Gov.Tax.Calcs!$C$15</f>
        <v>1</v>
      </c>
      <c r="S29" s="113">
        <f>Gov.Tax.Calcs!$C$15</f>
        <v>1</v>
      </c>
      <c r="T29" s="86">
        <f>Gov.Tax.Calcs!$C$15</f>
        <v>1</v>
      </c>
      <c r="U29" s="113">
        <f>Gov.Tax.Calcs!$C$15</f>
        <v>1</v>
      </c>
      <c r="V29" s="86">
        <f>Gov.Tax.Calcs!$C$15</f>
        <v>1</v>
      </c>
      <c r="W29" s="113">
        <f>Gov.Tax.Calcs!$C$15</f>
        <v>1</v>
      </c>
      <c r="X29" s="86">
        <f>Gov.Tax.Calcs!$C$15</f>
        <v>1</v>
      </c>
      <c r="Y29" s="113">
        <f>Gov.Tax.Calcs!$C$15</f>
        <v>1</v>
      </c>
      <c r="Z29" s="86">
        <f>Gov.Tax.Calcs!$C$15</f>
        <v>1</v>
      </c>
    </row>
    <row r="30" spans="1:27" ht="14.45" hidden="1" customHeight="1" x14ac:dyDescent="0.25">
      <c r="A30" s="261"/>
      <c r="B30" s="84" t="s">
        <v>92</v>
      </c>
      <c r="C30" s="113">
        <f t="shared" ref="C30:Z30" si="17">VLOOKUP(C29,CLAIM_CODE_TABLE,3,FALSE)</f>
        <v>1745.25</v>
      </c>
      <c r="D30" s="86">
        <f t="shared" si="17"/>
        <v>1745.25</v>
      </c>
      <c r="E30" s="113">
        <f t="shared" si="17"/>
        <v>1745.25</v>
      </c>
      <c r="F30" s="86">
        <f t="shared" si="17"/>
        <v>1745.25</v>
      </c>
      <c r="G30" s="113">
        <f t="shared" si="17"/>
        <v>1745.25</v>
      </c>
      <c r="H30" s="86">
        <f t="shared" si="17"/>
        <v>1745.25</v>
      </c>
      <c r="I30" s="113">
        <f t="shared" si="17"/>
        <v>1745.25</v>
      </c>
      <c r="J30" s="86">
        <f t="shared" si="17"/>
        <v>1745.25</v>
      </c>
      <c r="K30" s="113">
        <f t="shared" si="17"/>
        <v>1745.25</v>
      </c>
      <c r="L30" s="86">
        <f t="shared" si="17"/>
        <v>1745.25</v>
      </c>
      <c r="M30" s="113">
        <f t="shared" si="17"/>
        <v>1745.25</v>
      </c>
      <c r="N30" s="86">
        <f t="shared" si="17"/>
        <v>1745.25</v>
      </c>
      <c r="O30" s="113">
        <f t="shared" si="17"/>
        <v>1745.25</v>
      </c>
      <c r="P30" s="86">
        <f t="shared" si="17"/>
        <v>1745.25</v>
      </c>
      <c r="Q30" s="113">
        <f t="shared" si="17"/>
        <v>1745.25</v>
      </c>
      <c r="R30" s="86">
        <f t="shared" si="17"/>
        <v>1745.25</v>
      </c>
      <c r="S30" s="113">
        <f t="shared" si="17"/>
        <v>1745.25</v>
      </c>
      <c r="T30" s="86">
        <f t="shared" si="17"/>
        <v>1745.25</v>
      </c>
      <c r="U30" s="113">
        <f t="shared" si="17"/>
        <v>1745.25</v>
      </c>
      <c r="V30" s="86">
        <f t="shared" si="17"/>
        <v>1745.25</v>
      </c>
      <c r="W30" s="113">
        <f t="shared" si="17"/>
        <v>1745.25</v>
      </c>
      <c r="X30" s="86">
        <f t="shared" si="17"/>
        <v>1745.25</v>
      </c>
      <c r="Y30" s="113">
        <f t="shared" si="17"/>
        <v>1745.25</v>
      </c>
      <c r="Z30" s="86">
        <f t="shared" si="17"/>
        <v>1745.25</v>
      </c>
    </row>
    <row r="31" spans="1:27" ht="14.45" hidden="1" customHeight="1" x14ac:dyDescent="0.25">
      <c r="A31" s="261"/>
      <c r="B31" s="84" t="s">
        <v>93</v>
      </c>
      <c r="C31" s="113">
        <f t="shared" ref="C31:Z31" si="18" xml:space="preserve"> 15% * (MRU_N_R * (C19 + C25))</f>
        <v>429.94800000000004</v>
      </c>
      <c r="D31" s="86">
        <f t="shared" si="18"/>
        <v>429.94800000000004</v>
      </c>
      <c r="E31" s="113">
        <f t="shared" si="18"/>
        <v>429.94800000000004</v>
      </c>
      <c r="F31" s="86">
        <f t="shared" si="18"/>
        <v>429.94800000000004</v>
      </c>
      <c r="G31" s="113">
        <f t="shared" si="18"/>
        <v>429.94800000000004</v>
      </c>
      <c r="H31" s="86">
        <f t="shared" si="18"/>
        <v>429.94800000000004</v>
      </c>
      <c r="I31" s="113">
        <f t="shared" si="18"/>
        <v>429.94800000000004</v>
      </c>
      <c r="J31" s="86">
        <f t="shared" si="18"/>
        <v>429.94800000000004</v>
      </c>
      <c r="K31" s="113">
        <f t="shared" si="18"/>
        <v>0</v>
      </c>
      <c r="L31" s="86">
        <f t="shared" si="18"/>
        <v>0</v>
      </c>
      <c r="M31" s="113">
        <f t="shared" si="18"/>
        <v>0</v>
      </c>
      <c r="N31" s="86">
        <f t="shared" si="18"/>
        <v>0</v>
      </c>
      <c r="O31" s="113">
        <f t="shared" si="18"/>
        <v>0</v>
      </c>
      <c r="P31" s="86">
        <f t="shared" si="18"/>
        <v>0</v>
      </c>
      <c r="Q31" s="113">
        <f t="shared" si="18"/>
        <v>0</v>
      </c>
      <c r="R31" s="86">
        <f t="shared" si="18"/>
        <v>0</v>
      </c>
      <c r="S31" s="113">
        <f t="shared" si="18"/>
        <v>382.14</v>
      </c>
      <c r="T31" s="86">
        <f t="shared" si="18"/>
        <v>382.14</v>
      </c>
      <c r="U31" s="113">
        <f t="shared" si="18"/>
        <v>382.14</v>
      </c>
      <c r="V31" s="86">
        <f t="shared" si="18"/>
        <v>382.14</v>
      </c>
      <c r="W31" s="113">
        <f t="shared" si="18"/>
        <v>382.14</v>
      </c>
      <c r="X31" s="86">
        <f t="shared" si="18"/>
        <v>382.14</v>
      </c>
      <c r="Y31" s="113">
        <f t="shared" si="18"/>
        <v>382.14</v>
      </c>
      <c r="Z31" s="86">
        <f t="shared" si="18"/>
        <v>382.14</v>
      </c>
    </row>
    <row r="32" spans="1:27" ht="14.45" hidden="1" customHeight="1" x14ac:dyDescent="0.25">
      <c r="A32" s="261"/>
      <c r="B32" s="84" t="s">
        <v>95</v>
      </c>
      <c r="C32" s="113">
        <f t="shared" ref="C32:Z32" si="19">15% * CANADA_EMP_CREDIT</f>
        <v>176.7</v>
      </c>
      <c r="D32" s="86">
        <f t="shared" si="19"/>
        <v>176.7</v>
      </c>
      <c r="E32" s="113">
        <f t="shared" si="19"/>
        <v>176.7</v>
      </c>
      <c r="F32" s="86">
        <f t="shared" si="19"/>
        <v>176.7</v>
      </c>
      <c r="G32" s="113">
        <f t="shared" si="19"/>
        <v>176.7</v>
      </c>
      <c r="H32" s="86">
        <f t="shared" si="19"/>
        <v>176.7</v>
      </c>
      <c r="I32" s="113">
        <f t="shared" si="19"/>
        <v>176.7</v>
      </c>
      <c r="J32" s="86">
        <f t="shared" si="19"/>
        <v>176.7</v>
      </c>
      <c r="K32" s="113">
        <f t="shared" si="19"/>
        <v>176.7</v>
      </c>
      <c r="L32" s="86">
        <f t="shared" si="19"/>
        <v>176.7</v>
      </c>
      <c r="M32" s="113">
        <f t="shared" si="19"/>
        <v>176.7</v>
      </c>
      <c r="N32" s="86">
        <f t="shared" si="19"/>
        <v>176.7</v>
      </c>
      <c r="O32" s="113">
        <f t="shared" si="19"/>
        <v>176.7</v>
      </c>
      <c r="P32" s="86">
        <f t="shared" si="19"/>
        <v>176.7</v>
      </c>
      <c r="Q32" s="113">
        <f t="shared" si="19"/>
        <v>176.7</v>
      </c>
      <c r="R32" s="86">
        <f t="shared" si="19"/>
        <v>176.7</v>
      </c>
      <c r="S32" s="113">
        <f t="shared" si="19"/>
        <v>176.7</v>
      </c>
      <c r="T32" s="86">
        <f t="shared" si="19"/>
        <v>176.7</v>
      </c>
      <c r="U32" s="113">
        <f t="shared" si="19"/>
        <v>176.7</v>
      </c>
      <c r="V32" s="86">
        <f t="shared" si="19"/>
        <v>176.7</v>
      </c>
      <c r="W32" s="113">
        <f t="shared" si="19"/>
        <v>176.7</v>
      </c>
      <c r="X32" s="86">
        <f t="shared" si="19"/>
        <v>176.7</v>
      </c>
      <c r="Y32" s="113">
        <f t="shared" si="19"/>
        <v>176.7</v>
      </c>
      <c r="Z32" s="86">
        <f t="shared" si="19"/>
        <v>176.7</v>
      </c>
    </row>
    <row r="33" spans="1:27" x14ac:dyDescent="0.25">
      <c r="A33" s="261"/>
      <c r="B33" s="84" t="s">
        <v>9</v>
      </c>
      <c r="C33" s="113">
        <f t="shared" ref="C33:Z33" si="20">IF(C8=0,0,ROUND(((C27 * C26) - C28 - C30 - C31 - C32) / MRU_N_R,2))</f>
        <v>187.84</v>
      </c>
      <c r="D33" s="86">
        <f t="shared" si="20"/>
        <v>187.84</v>
      </c>
      <c r="E33" s="113">
        <f t="shared" si="20"/>
        <v>187.84</v>
      </c>
      <c r="F33" s="86">
        <f t="shared" si="20"/>
        <v>187.84</v>
      </c>
      <c r="G33" s="113">
        <f t="shared" si="20"/>
        <v>187.84</v>
      </c>
      <c r="H33" s="86">
        <f t="shared" si="20"/>
        <v>187.84</v>
      </c>
      <c r="I33" s="113">
        <f t="shared" si="20"/>
        <v>187.84</v>
      </c>
      <c r="J33" s="86">
        <f t="shared" si="20"/>
        <v>187.84</v>
      </c>
      <c r="K33" s="113">
        <f t="shared" si="20"/>
        <v>0</v>
      </c>
      <c r="L33" s="86">
        <f t="shared" si="20"/>
        <v>0</v>
      </c>
      <c r="M33" s="113">
        <f t="shared" si="20"/>
        <v>0</v>
      </c>
      <c r="N33" s="86">
        <f t="shared" si="20"/>
        <v>0</v>
      </c>
      <c r="O33" s="113">
        <f t="shared" si="20"/>
        <v>0</v>
      </c>
      <c r="P33" s="86">
        <f t="shared" si="20"/>
        <v>0</v>
      </c>
      <c r="Q33" s="113">
        <f t="shared" si="20"/>
        <v>0</v>
      </c>
      <c r="R33" s="86">
        <f t="shared" si="20"/>
        <v>0</v>
      </c>
      <c r="S33" s="113">
        <f t="shared" si="20"/>
        <v>159.85</v>
      </c>
      <c r="T33" s="86">
        <f t="shared" si="20"/>
        <v>159.85</v>
      </c>
      <c r="U33" s="113">
        <f t="shared" si="20"/>
        <v>159.85</v>
      </c>
      <c r="V33" s="86">
        <f t="shared" si="20"/>
        <v>159.85</v>
      </c>
      <c r="W33" s="113">
        <f t="shared" si="20"/>
        <v>159.85</v>
      </c>
      <c r="X33" s="86">
        <f t="shared" si="20"/>
        <v>159.85</v>
      </c>
      <c r="Y33" s="113">
        <f t="shared" si="20"/>
        <v>159.85</v>
      </c>
      <c r="Z33" s="86">
        <f t="shared" si="20"/>
        <v>159.85</v>
      </c>
      <c r="AA33" s="3">
        <f>SUM(C33:Z33)</f>
        <v>2781.5199999999991</v>
      </c>
    </row>
    <row r="34" spans="1:27" ht="14.45" hidden="1" customHeight="1" x14ac:dyDescent="0.25">
      <c r="A34" s="261"/>
      <c r="B34" s="84" t="s">
        <v>96</v>
      </c>
      <c r="C34" s="113">
        <f>C26</f>
        <v>45733.68</v>
      </c>
      <c r="D34" s="86">
        <f t="shared" ref="D34:Z34" si="21">D26</f>
        <v>45733.68</v>
      </c>
      <c r="E34" s="113">
        <f t="shared" si="21"/>
        <v>45733.68</v>
      </c>
      <c r="F34" s="86">
        <f t="shared" si="21"/>
        <v>45733.68</v>
      </c>
      <c r="G34" s="113">
        <f t="shared" si="21"/>
        <v>45733.68</v>
      </c>
      <c r="H34" s="86">
        <f t="shared" si="21"/>
        <v>45733.68</v>
      </c>
      <c r="I34" s="113">
        <f t="shared" si="21"/>
        <v>45733.68</v>
      </c>
      <c r="J34" s="86">
        <f t="shared" si="21"/>
        <v>45733.68</v>
      </c>
      <c r="K34" s="113">
        <f t="shared" si="21"/>
        <v>0</v>
      </c>
      <c r="L34" s="86">
        <f t="shared" si="21"/>
        <v>0</v>
      </c>
      <c r="M34" s="113">
        <f t="shared" si="21"/>
        <v>0</v>
      </c>
      <c r="N34" s="86">
        <f t="shared" si="21"/>
        <v>0</v>
      </c>
      <c r="O34" s="113">
        <f t="shared" si="21"/>
        <v>0</v>
      </c>
      <c r="P34" s="86">
        <f t="shared" si="21"/>
        <v>0</v>
      </c>
      <c r="Q34" s="113">
        <f t="shared" si="21"/>
        <v>0</v>
      </c>
      <c r="R34" s="86">
        <f t="shared" si="21"/>
        <v>0</v>
      </c>
      <c r="S34" s="113">
        <f t="shared" si="21"/>
        <v>40936.559999999998</v>
      </c>
      <c r="T34" s="86">
        <f t="shared" si="21"/>
        <v>40936.559999999998</v>
      </c>
      <c r="U34" s="113">
        <f t="shared" si="21"/>
        <v>40936.559999999998</v>
      </c>
      <c r="V34" s="86">
        <f t="shared" si="21"/>
        <v>40936.559999999998</v>
      </c>
      <c r="W34" s="113">
        <f t="shared" si="21"/>
        <v>40936.559999999998</v>
      </c>
      <c r="X34" s="86">
        <f t="shared" si="21"/>
        <v>40936.559999999998</v>
      </c>
      <c r="Y34" s="113">
        <f t="shared" si="21"/>
        <v>40936.559999999998</v>
      </c>
      <c r="Z34" s="86">
        <f t="shared" si="21"/>
        <v>40936.559999999998</v>
      </c>
    </row>
    <row r="35" spans="1:27" ht="16.899999999999999" hidden="1" customHeight="1" x14ac:dyDescent="0.25">
      <c r="A35" s="261"/>
      <c r="B35" s="84" t="s">
        <v>97</v>
      </c>
      <c r="C35" s="113">
        <f t="shared" ref="C35:Z35" si="22">VLOOKUP(C34,AB_RATE_TABLE,2,TRUE)</f>
        <v>0.1</v>
      </c>
      <c r="D35" s="86">
        <f t="shared" si="22"/>
        <v>0.1</v>
      </c>
      <c r="E35" s="113">
        <f t="shared" si="22"/>
        <v>0.1</v>
      </c>
      <c r="F35" s="86">
        <f t="shared" si="22"/>
        <v>0.1</v>
      </c>
      <c r="G35" s="113">
        <f t="shared" si="22"/>
        <v>0.1</v>
      </c>
      <c r="H35" s="86">
        <f t="shared" si="22"/>
        <v>0.1</v>
      </c>
      <c r="I35" s="113">
        <f t="shared" si="22"/>
        <v>0.1</v>
      </c>
      <c r="J35" s="86">
        <f t="shared" si="22"/>
        <v>0.1</v>
      </c>
      <c r="K35" s="113">
        <f t="shared" si="22"/>
        <v>0.1</v>
      </c>
      <c r="L35" s="86">
        <f t="shared" si="22"/>
        <v>0.1</v>
      </c>
      <c r="M35" s="113">
        <f t="shared" si="22"/>
        <v>0.1</v>
      </c>
      <c r="N35" s="86">
        <f t="shared" si="22"/>
        <v>0.1</v>
      </c>
      <c r="O35" s="113">
        <f t="shared" si="22"/>
        <v>0.1</v>
      </c>
      <c r="P35" s="86">
        <f t="shared" si="22"/>
        <v>0.1</v>
      </c>
      <c r="Q35" s="113">
        <f t="shared" si="22"/>
        <v>0.1</v>
      </c>
      <c r="R35" s="86">
        <f t="shared" si="22"/>
        <v>0.1</v>
      </c>
      <c r="S35" s="113">
        <f t="shared" si="22"/>
        <v>0.1</v>
      </c>
      <c r="T35" s="86">
        <f t="shared" si="22"/>
        <v>0.1</v>
      </c>
      <c r="U35" s="113">
        <f t="shared" si="22"/>
        <v>0.1</v>
      </c>
      <c r="V35" s="86">
        <f t="shared" si="22"/>
        <v>0.1</v>
      </c>
      <c r="W35" s="113">
        <f t="shared" si="22"/>
        <v>0.1</v>
      </c>
      <c r="X35" s="86">
        <f t="shared" si="22"/>
        <v>0.1</v>
      </c>
      <c r="Y35" s="113">
        <f t="shared" si="22"/>
        <v>0.1</v>
      </c>
      <c r="Z35" s="86">
        <f t="shared" si="22"/>
        <v>0.1</v>
      </c>
    </row>
    <row r="36" spans="1:27" ht="16.899999999999999" hidden="1" customHeight="1" x14ac:dyDescent="0.25">
      <c r="A36" s="261"/>
      <c r="B36" s="84" t="s">
        <v>98</v>
      </c>
      <c r="C36" s="113">
        <f t="shared" ref="C36:Z36" si="23">VLOOKUP(C34,AB_RATE_TABLE,3,TRUE)</f>
        <v>0</v>
      </c>
      <c r="D36" s="86">
        <f t="shared" si="23"/>
        <v>0</v>
      </c>
      <c r="E36" s="113">
        <f t="shared" si="23"/>
        <v>0</v>
      </c>
      <c r="F36" s="86">
        <f t="shared" si="23"/>
        <v>0</v>
      </c>
      <c r="G36" s="113">
        <f t="shared" si="23"/>
        <v>0</v>
      </c>
      <c r="H36" s="86">
        <f t="shared" si="23"/>
        <v>0</v>
      </c>
      <c r="I36" s="113">
        <f t="shared" si="23"/>
        <v>0</v>
      </c>
      <c r="J36" s="86">
        <f t="shared" si="23"/>
        <v>0</v>
      </c>
      <c r="K36" s="113">
        <f t="shared" si="23"/>
        <v>0</v>
      </c>
      <c r="L36" s="86">
        <f t="shared" si="23"/>
        <v>0</v>
      </c>
      <c r="M36" s="113">
        <f t="shared" si="23"/>
        <v>0</v>
      </c>
      <c r="N36" s="86">
        <f t="shared" si="23"/>
        <v>0</v>
      </c>
      <c r="O36" s="113">
        <f t="shared" si="23"/>
        <v>0</v>
      </c>
      <c r="P36" s="86">
        <f t="shared" si="23"/>
        <v>0</v>
      </c>
      <c r="Q36" s="113">
        <f t="shared" si="23"/>
        <v>0</v>
      </c>
      <c r="R36" s="86">
        <f t="shared" si="23"/>
        <v>0</v>
      </c>
      <c r="S36" s="113">
        <f t="shared" si="23"/>
        <v>0</v>
      </c>
      <c r="T36" s="86">
        <f t="shared" si="23"/>
        <v>0</v>
      </c>
      <c r="U36" s="113">
        <f t="shared" si="23"/>
        <v>0</v>
      </c>
      <c r="V36" s="86">
        <f t="shared" si="23"/>
        <v>0</v>
      </c>
      <c r="W36" s="113">
        <f t="shared" si="23"/>
        <v>0</v>
      </c>
      <c r="X36" s="86">
        <f t="shared" si="23"/>
        <v>0</v>
      </c>
      <c r="Y36" s="113">
        <f t="shared" si="23"/>
        <v>0</v>
      </c>
      <c r="Z36" s="86">
        <f t="shared" si="23"/>
        <v>0</v>
      </c>
    </row>
    <row r="37" spans="1:27" ht="16.899999999999999" hidden="1" customHeight="1" x14ac:dyDescent="0.25">
      <c r="A37" s="261"/>
      <c r="B37" s="84" t="s">
        <v>99</v>
      </c>
      <c r="C37" s="113">
        <f>Gov.Tax.Calcs!$C$16</f>
        <v>1</v>
      </c>
      <c r="D37" s="86">
        <f>Gov.Tax.Calcs!$C$16</f>
        <v>1</v>
      </c>
      <c r="E37" s="113">
        <f>Gov.Tax.Calcs!$C$16</f>
        <v>1</v>
      </c>
      <c r="F37" s="86">
        <f>Gov.Tax.Calcs!$C$16</f>
        <v>1</v>
      </c>
      <c r="G37" s="113">
        <f>Gov.Tax.Calcs!$C$16</f>
        <v>1</v>
      </c>
      <c r="H37" s="86">
        <f>Gov.Tax.Calcs!$C$16</f>
        <v>1</v>
      </c>
      <c r="I37" s="113">
        <f>Gov.Tax.Calcs!$C$16</f>
        <v>1</v>
      </c>
      <c r="J37" s="86">
        <f>Gov.Tax.Calcs!$C$16</f>
        <v>1</v>
      </c>
      <c r="K37" s="113">
        <f>Gov.Tax.Calcs!$C$16</f>
        <v>1</v>
      </c>
      <c r="L37" s="86">
        <f>Gov.Tax.Calcs!$C$16</f>
        <v>1</v>
      </c>
      <c r="M37" s="113">
        <f>Gov.Tax.Calcs!$C$16</f>
        <v>1</v>
      </c>
      <c r="N37" s="86">
        <f>Gov.Tax.Calcs!$C$16</f>
        <v>1</v>
      </c>
      <c r="O37" s="113">
        <f>Gov.Tax.Calcs!$C$16</f>
        <v>1</v>
      </c>
      <c r="P37" s="86">
        <f>Gov.Tax.Calcs!$C$16</f>
        <v>1</v>
      </c>
      <c r="Q37" s="113">
        <f>Gov.Tax.Calcs!$C$16</f>
        <v>1</v>
      </c>
      <c r="R37" s="86">
        <f>Gov.Tax.Calcs!$C$16</f>
        <v>1</v>
      </c>
      <c r="S37" s="113">
        <f>Gov.Tax.Calcs!$C$16</f>
        <v>1</v>
      </c>
      <c r="T37" s="86">
        <f>Gov.Tax.Calcs!$C$16</f>
        <v>1</v>
      </c>
      <c r="U37" s="113">
        <f>Gov.Tax.Calcs!$C$16</f>
        <v>1</v>
      </c>
      <c r="V37" s="86">
        <f>Gov.Tax.Calcs!$C$16</f>
        <v>1</v>
      </c>
      <c r="W37" s="113">
        <f>Gov.Tax.Calcs!$C$16</f>
        <v>1</v>
      </c>
      <c r="X37" s="86">
        <f>Gov.Tax.Calcs!$C$16</f>
        <v>1</v>
      </c>
      <c r="Y37" s="113">
        <f>Gov.Tax.Calcs!$C$16</f>
        <v>1</v>
      </c>
      <c r="Z37" s="86">
        <f>Gov.Tax.Calcs!$C$16</f>
        <v>1</v>
      </c>
    </row>
    <row r="38" spans="1:27" ht="16.899999999999999" hidden="1" customHeight="1" x14ac:dyDescent="0.25">
      <c r="A38" s="261"/>
      <c r="B38" s="84" t="s">
        <v>100</v>
      </c>
      <c r="C38" s="113">
        <f t="shared" ref="C38:Z38" si="24">VLOOKUP(C37,CLAIM_CODE_TABLE,5,FALSE)</f>
        <v>1869</v>
      </c>
      <c r="D38" s="86">
        <f t="shared" si="24"/>
        <v>1869</v>
      </c>
      <c r="E38" s="113">
        <f t="shared" si="24"/>
        <v>1869</v>
      </c>
      <c r="F38" s="86">
        <f t="shared" si="24"/>
        <v>1869</v>
      </c>
      <c r="G38" s="113">
        <f t="shared" si="24"/>
        <v>1869</v>
      </c>
      <c r="H38" s="86">
        <f t="shared" si="24"/>
        <v>1869</v>
      </c>
      <c r="I38" s="113">
        <f t="shared" si="24"/>
        <v>1869</v>
      </c>
      <c r="J38" s="86">
        <f t="shared" si="24"/>
        <v>1869</v>
      </c>
      <c r="K38" s="113">
        <f t="shared" si="24"/>
        <v>1869</v>
      </c>
      <c r="L38" s="86">
        <f t="shared" si="24"/>
        <v>1869</v>
      </c>
      <c r="M38" s="113">
        <f t="shared" si="24"/>
        <v>1869</v>
      </c>
      <c r="N38" s="86">
        <f t="shared" si="24"/>
        <v>1869</v>
      </c>
      <c r="O38" s="113">
        <f t="shared" si="24"/>
        <v>1869</v>
      </c>
      <c r="P38" s="86">
        <f t="shared" si="24"/>
        <v>1869</v>
      </c>
      <c r="Q38" s="113">
        <f t="shared" si="24"/>
        <v>1869</v>
      </c>
      <c r="R38" s="86">
        <f t="shared" si="24"/>
        <v>1869</v>
      </c>
      <c r="S38" s="113">
        <f t="shared" si="24"/>
        <v>1869</v>
      </c>
      <c r="T38" s="86">
        <f t="shared" si="24"/>
        <v>1869</v>
      </c>
      <c r="U38" s="113">
        <f t="shared" si="24"/>
        <v>1869</v>
      </c>
      <c r="V38" s="86">
        <f t="shared" si="24"/>
        <v>1869</v>
      </c>
      <c r="W38" s="113">
        <f t="shared" si="24"/>
        <v>1869</v>
      </c>
      <c r="X38" s="86">
        <f t="shared" si="24"/>
        <v>1869</v>
      </c>
      <c r="Y38" s="113">
        <f t="shared" si="24"/>
        <v>1869</v>
      </c>
      <c r="Z38" s="86">
        <f t="shared" si="24"/>
        <v>1869</v>
      </c>
    </row>
    <row r="39" spans="1:27" ht="16.899999999999999" hidden="1" customHeight="1" x14ac:dyDescent="0.25">
      <c r="A39" s="261"/>
      <c r="B39" s="84" t="s">
        <v>101</v>
      </c>
      <c r="C39" s="113">
        <f t="shared" ref="C39:Z39" si="25" xml:space="preserve"> 10% * (MRU_N_R * (C19+C25))</f>
        <v>286.63200000000001</v>
      </c>
      <c r="D39" s="86">
        <f t="shared" si="25"/>
        <v>286.63200000000001</v>
      </c>
      <c r="E39" s="113">
        <f t="shared" si="25"/>
        <v>286.63200000000001</v>
      </c>
      <c r="F39" s="86">
        <f t="shared" si="25"/>
        <v>286.63200000000001</v>
      </c>
      <c r="G39" s="113">
        <f t="shared" si="25"/>
        <v>286.63200000000001</v>
      </c>
      <c r="H39" s="86">
        <f t="shared" si="25"/>
        <v>286.63200000000001</v>
      </c>
      <c r="I39" s="113">
        <f t="shared" si="25"/>
        <v>286.63200000000001</v>
      </c>
      <c r="J39" s="86">
        <f t="shared" si="25"/>
        <v>286.63200000000001</v>
      </c>
      <c r="K39" s="113">
        <f t="shared" si="25"/>
        <v>0</v>
      </c>
      <c r="L39" s="86">
        <f t="shared" si="25"/>
        <v>0</v>
      </c>
      <c r="M39" s="113">
        <f t="shared" si="25"/>
        <v>0</v>
      </c>
      <c r="N39" s="86">
        <f t="shared" si="25"/>
        <v>0</v>
      </c>
      <c r="O39" s="113">
        <f t="shared" si="25"/>
        <v>0</v>
      </c>
      <c r="P39" s="86">
        <f t="shared" si="25"/>
        <v>0</v>
      </c>
      <c r="Q39" s="113">
        <f t="shared" si="25"/>
        <v>0</v>
      </c>
      <c r="R39" s="86">
        <f t="shared" si="25"/>
        <v>0</v>
      </c>
      <c r="S39" s="113">
        <f t="shared" si="25"/>
        <v>254.76</v>
      </c>
      <c r="T39" s="86">
        <f t="shared" si="25"/>
        <v>254.76</v>
      </c>
      <c r="U39" s="113">
        <f t="shared" si="25"/>
        <v>254.76</v>
      </c>
      <c r="V39" s="86">
        <f t="shared" si="25"/>
        <v>254.76</v>
      </c>
      <c r="W39" s="113">
        <f t="shared" si="25"/>
        <v>254.76</v>
      </c>
      <c r="X39" s="86">
        <f t="shared" si="25"/>
        <v>254.76</v>
      </c>
      <c r="Y39" s="113">
        <f t="shared" si="25"/>
        <v>254.76</v>
      </c>
      <c r="Z39" s="86">
        <f t="shared" si="25"/>
        <v>254.76</v>
      </c>
    </row>
    <row r="40" spans="1:27" ht="16.899999999999999" customHeight="1" x14ac:dyDescent="0.25">
      <c r="A40" s="261"/>
      <c r="B40" s="84" t="s">
        <v>10</v>
      </c>
      <c r="C40" s="113">
        <f t="shared" ref="C40:Z40" si="26">IF(C8=0,0,ROUND(( (C34 * C35) -C38 - C39) / MRU_N_R,2))</f>
        <v>100.74</v>
      </c>
      <c r="D40" s="86">
        <f t="shared" si="26"/>
        <v>100.74</v>
      </c>
      <c r="E40" s="113">
        <f t="shared" si="26"/>
        <v>100.74</v>
      </c>
      <c r="F40" s="86">
        <f t="shared" si="26"/>
        <v>100.74</v>
      </c>
      <c r="G40" s="113">
        <f t="shared" si="26"/>
        <v>100.74</v>
      </c>
      <c r="H40" s="86">
        <f t="shared" si="26"/>
        <v>100.74</v>
      </c>
      <c r="I40" s="113">
        <f t="shared" si="26"/>
        <v>100.74</v>
      </c>
      <c r="J40" s="86">
        <f t="shared" si="26"/>
        <v>100.74</v>
      </c>
      <c r="K40" s="113">
        <f t="shared" si="26"/>
        <v>0</v>
      </c>
      <c r="L40" s="86">
        <f t="shared" si="26"/>
        <v>0</v>
      </c>
      <c r="M40" s="113">
        <f t="shared" si="26"/>
        <v>0</v>
      </c>
      <c r="N40" s="86">
        <f t="shared" si="26"/>
        <v>0</v>
      </c>
      <c r="O40" s="113">
        <f t="shared" si="26"/>
        <v>0</v>
      </c>
      <c r="P40" s="86">
        <f t="shared" si="26"/>
        <v>0</v>
      </c>
      <c r="Q40" s="113">
        <f t="shared" si="26"/>
        <v>0</v>
      </c>
      <c r="R40" s="86">
        <f t="shared" si="26"/>
        <v>0</v>
      </c>
      <c r="S40" s="113">
        <f t="shared" si="26"/>
        <v>82.08</v>
      </c>
      <c r="T40" s="86">
        <f t="shared" si="26"/>
        <v>82.08</v>
      </c>
      <c r="U40" s="113">
        <f t="shared" si="26"/>
        <v>82.08</v>
      </c>
      <c r="V40" s="86">
        <f t="shared" si="26"/>
        <v>82.08</v>
      </c>
      <c r="W40" s="113">
        <f t="shared" si="26"/>
        <v>82.08</v>
      </c>
      <c r="X40" s="86">
        <f t="shared" si="26"/>
        <v>82.08</v>
      </c>
      <c r="Y40" s="113">
        <f t="shared" si="26"/>
        <v>82.08</v>
      </c>
      <c r="Z40" s="86">
        <f t="shared" si="26"/>
        <v>82.08</v>
      </c>
      <c r="AA40" s="3">
        <f>SUM(C40:Z40)</f>
        <v>1462.5599999999997</v>
      </c>
    </row>
    <row r="41" spans="1:27" ht="16.899999999999999" customHeight="1" x14ac:dyDescent="0.25">
      <c r="A41" s="261"/>
      <c r="B41" s="84" t="s">
        <v>11</v>
      </c>
      <c r="C41" s="113">
        <v>0</v>
      </c>
      <c r="D41" s="86">
        <v>0</v>
      </c>
      <c r="E41" s="113">
        <v>0</v>
      </c>
      <c r="F41" s="86">
        <v>0</v>
      </c>
      <c r="G41" s="113">
        <v>0</v>
      </c>
      <c r="H41" s="86">
        <v>0</v>
      </c>
      <c r="I41" s="113">
        <v>0</v>
      </c>
      <c r="J41" s="86">
        <v>0</v>
      </c>
      <c r="K41" s="113">
        <v>0</v>
      </c>
      <c r="L41" s="86">
        <v>0</v>
      </c>
      <c r="M41" s="113">
        <v>0</v>
      </c>
      <c r="N41" s="86">
        <v>0</v>
      </c>
      <c r="O41" s="113">
        <v>0</v>
      </c>
      <c r="P41" s="86">
        <v>0</v>
      </c>
      <c r="Q41" s="113">
        <v>0</v>
      </c>
      <c r="R41" s="86">
        <v>0</v>
      </c>
      <c r="S41" s="113">
        <v>0</v>
      </c>
      <c r="T41" s="86">
        <v>0</v>
      </c>
      <c r="U41" s="113">
        <v>0</v>
      </c>
      <c r="V41" s="86">
        <v>0</v>
      </c>
      <c r="W41" s="113">
        <v>0</v>
      </c>
      <c r="X41" s="86">
        <v>0</v>
      </c>
      <c r="Y41" s="113">
        <v>0</v>
      </c>
      <c r="Z41" s="86">
        <v>0</v>
      </c>
    </row>
    <row r="42" spans="1:27" ht="16.899999999999999" customHeight="1" x14ac:dyDescent="0.25">
      <c r="A42" s="261"/>
      <c r="B42" s="84" t="s">
        <v>12</v>
      </c>
      <c r="C42" s="113">
        <v>0</v>
      </c>
      <c r="D42" s="86">
        <v>0</v>
      </c>
      <c r="E42" s="113">
        <v>0</v>
      </c>
      <c r="F42" s="86">
        <v>0</v>
      </c>
      <c r="G42" s="113">
        <v>0</v>
      </c>
      <c r="H42" s="86">
        <v>0</v>
      </c>
      <c r="I42" s="113">
        <v>0</v>
      </c>
      <c r="J42" s="86">
        <v>0</v>
      </c>
      <c r="K42" s="113">
        <v>0</v>
      </c>
      <c r="L42" s="86">
        <v>0</v>
      </c>
      <c r="M42" s="113">
        <v>0</v>
      </c>
      <c r="N42" s="86">
        <v>0</v>
      </c>
      <c r="O42" s="113">
        <v>0</v>
      </c>
      <c r="P42" s="86">
        <v>0</v>
      </c>
      <c r="Q42" s="113">
        <v>0</v>
      </c>
      <c r="R42" s="86">
        <v>0</v>
      </c>
      <c r="S42" s="113">
        <v>0</v>
      </c>
      <c r="T42" s="86">
        <v>0</v>
      </c>
      <c r="U42" s="113">
        <v>0</v>
      </c>
      <c r="V42" s="86">
        <v>0</v>
      </c>
      <c r="W42" s="113">
        <v>0</v>
      </c>
      <c r="X42" s="86">
        <v>0</v>
      </c>
      <c r="Y42" s="113">
        <v>0</v>
      </c>
      <c r="Z42" s="86">
        <v>0</v>
      </c>
    </row>
    <row r="43" spans="1:27" ht="16.899999999999999" customHeight="1" x14ac:dyDescent="0.25">
      <c r="A43" s="261"/>
      <c r="B43" s="84" t="s">
        <v>13</v>
      </c>
      <c r="C43" s="113">
        <v>0</v>
      </c>
      <c r="D43" s="86">
        <v>0</v>
      </c>
      <c r="E43" s="113">
        <v>0</v>
      </c>
      <c r="F43" s="86">
        <v>0</v>
      </c>
      <c r="G43" s="113">
        <v>0</v>
      </c>
      <c r="H43" s="86">
        <v>0</v>
      </c>
      <c r="I43" s="113">
        <v>0</v>
      </c>
      <c r="J43" s="86">
        <v>0</v>
      </c>
      <c r="K43" s="113">
        <v>0</v>
      </c>
      <c r="L43" s="86">
        <v>0</v>
      </c>
      <c r="M43" s="113">
        <v>0</v>
      </c>
      <c r="N43" s="86">
        <v>0</v>
      </c>
      <c r="O43" s="113">
        <v>0</v>
      </c>
      <c r="P43" s="86">
        <v>0</v>
      </c>
      <c r="Q43" s="113">
        <v>0</v>
      </c>
      <c r="R43" s="86">
        <v>0</v>
      </c>
      <c r="S43" s="113">
        <v>0</v>
      </c>
      <c r="T43" s="86">
        <v>0</v>
      </c>
      <c r="U43" s="113">
        <v>0</v>
      </c>
      <c r="V43" s="86">
        <v>0</v>
      </c>
      <c r="W43" s="113">
        <v>0</v>
      </c>
      <c r="X43" s="86">
        <v>0</v>
      </c>
      <c r="Y43" s="113">
        <v>0</v>
      </c>
      <c r="Z43" s="86">
        <v>0</v>
      </c>
    </row>
    <row r="44" spans="1:27" ht="16.899999999999999" customHeight="1" x14ac:dyDescent="0.25">
      <c r="A44" s="261"/>
      <c r="B44" s="84" t="s">
        <v>14</v>
      </c>
      <c r="C44" s="113">
        <v>0</v>
      </c>
      <c r="D44" s="86">
        <v>0</v>
      </c>
      <c r="E44" s="113">
        <v>0</v>
      </c>
      <c r="F44" s="86">
        <v>0</v>
      </c>
      <c r="G44" s="113">
        <v>0</v>
      </c>
      <c r="H44" s="86">
        <v>0</v>
      </c>
      <c r="I44" s="113">
        <v>0</v>
      </c>
      <c r="J44" s="86">
        <v>0</v>
      </c>
      <c r="K44" s="113">
        <v>0</v>
      </c>
      <c r="L44" s="86">
        <v>0</v>
      </c>
      <c r="M44" s="113">
        <v>0</v>
      </c>
      <c r="N44" s="86">
        <v>0</v>
      </c>
      <c r="O44" s="113">
        <v>0</v>
      </c>
      <c r="P44" s="86">
        <v>0</v>
      </c>
      <c r="Q44" s="113">
        <v>0</v>
      </c>
      <c r="R44" s="86">
        <v>0</v>
      </c>
      <c r="S44" s="113">
        <v>0</v>
      </c>
      <c r="T44" s="86">
        <v>0</v>
      </c>
      <c r="U44" s="113">
        <v>0</v>
      </c>
      <c r="V44" s="86">
        <v>0</v>
      </c>
      <c r="W44" s="113">
        <v>0</v>
      </c>
      <c r="X44" s="86">
        <v>0</v>
      </c>
      <c r="Y44" s="113">
        <v>0</v>
      </c>
      <c r="Z44" s="86">
        <v>0</v>
      </c>
    </row>
    <row r="45" spans="1:27" ht="16.899999999999999" customHeight="1" x14ac:dyDescent="0.25">
      <c r="A45" s="261"/>
      <c r="B45" s="84" t="s">
        <v>15</v>
      </c>
      <c r="C45" s="113">
        <v>0</v>
      </c>
      <c r="D45" s="86">
        <v>0</v>
      </c>
      <c r="E45" s="113">
        <v>0</v>
      </c>
      <c r="F45" s="86">
        <v>0</v>
      </c>
      <c r="G45" s="113">
        <v>0</v>
      </c>
      <c r="H45" s="86">
        <v>0</v>
      </c>
      <c r="I45" s="113">
        <v>0</v>
      </c>
      <c r="J45" s="86">
        <v>0</v>
      </c>
      <c r="K45" s="113">
        <v>0</v>
      </c>
      <c r="L45" s="86">
        <v>0</v>
      </c>
      <c r="M45" s="113">
        <v>0</v>
      </c>
      <c r="N45" s="86">
        <v>0</v>
      </c>
      <c r="O45" s="113">
        <v>0</v>
      </c>
      <c r="P45" s="86">
        <v>0</v>
      </c>
      <c r="Q45" s="113">
        <v>0</v>
      </c>
      <c r="R45" s="86">
        <v>0</v>
      </c>
      <c r="S45" s="113">
        <v>0</v>
      </c>
      <c r="T45" s="86">
        <v>0</v>
      </c>
      <c r="U45" s="113">
        <v>0</v>
      </c>
      <c r="V45" s="86">
        <v>0</v>
      </c>
      <c r="W45" s="113">
        <v>0</v>
      </c>
      <c r="X45" s="86">
        <v>0</v>
      </c>
      <c r="Y45" s="113">
        <v>0</v>
      </c>
      <c r="Z45" s="86">
        <v>0</v>
      </c>
    </row>
    <row r="46" spans="1:27" ht="16.899999999999999" customHeight="1" x14ac:dyDescent="0.25">
      <c r="A46" s="261"/>
      <c r="B46" s="84" t="s">
        <v>16</v>
      </c>
      <c r="C46" s="115">
        <v>0</v>
      </c>
      <c r="D46" s="88">
        <v>0</v>
      </c>
      <c r="E46" s="115">
        <v>0</v>
      </c>
      <c r="F46" s="88">
        <v>0</v>
      </c>
      <c r="G46" s="115">
        <v>0</v>
      </c>
      <c r="H46" s="88">
        <v>0</v>
      </c>
      <c r="I46" s="115">
        <v>0</v>
      </c>
      <c r="J46" s="88">
        <v>0</v>
      </c>
      <c r="K46" s="115">
        <v>0</v>
      </c>
      <c r="L46" s="88">
        <v>0</v>
      </c>
      <c r="M46" s="115">
        <v>0</v>
      </c>
      <c r="N46" s="88">
        <v>0</v>
      </c>
      <c r="O46" s="115">
        <v>0</v>
      </c>
      <c r="P46" s="88">
        <v>0</v>
      </c>
      <c r="Q46" s="115">
        <v>0</v>
      </c>
      <c r="R46" s="88">
        <v>0</v>
      </c>
      <c r="S46" s="115">
        <v>0</v>
      </c>
      <c r="T46" s="88">
        <v>0</v>
      </c>
      <c r="U46" s="115">
        <v>0</v>
      </c>
      <c r="V46" s="88">
        <v>0</v>
      </c>
      <c r="W46" s="115">
        <v>0</v>
      </c>
      <c r="X46" s="88">
        <v>0</v>
      </c>
      <c r="Y46" s="115">
        <v>0</v>
      </c>
      <c r="Z46" s="88">
        <v>0</v>
      </c>
    </row>
    <row r="47" spans="1:27" ht="16.899999999999999" customHeight="1" x14ac:dyDescent="0.25">
      <c r="A47" s="261"/>
      <c r="B47" s="89" t="s">
        <v>58</v>
      </c>
      <c r="C47" s="115">
        <v>0</v>
      </c>
      <c r="D47" s="88">
        <v>0</v>
      </c>
      <c r="E47" s="115">
        <v>0</v>
      </c>
      <c r="F47" s="88">
        <v>0</v>
      </c>
      <c r="G47" s="115">
        <v>0</v>
      </c>
      <c r="H47" s="88">
        <v>0</v>
      </c>
      <c r="I47" s="115">
        <v>0</v>
      </c>
      <c r="J47" s="88">
        <v>0</v>
      </c>
      <c r="K47" s="115">
        <v>0</v>
      </c>
      <c r="L47" s="88">
        <v>0</v>
      </c>
      <c r="M47" s="115">
        <v>0</v>
      </c>
      <c r="N47" s="88">
        <v>0</v>
      </c>
      <c r="O47" s="115">
        <v>0</v>
      </c>
      <c r="P47" s="88">
        <v>0</v>
      </c>
      <c r="Q47" s="115">
        <v>0</v>
      </c>
      <c r="R47" s="88">
        <v>0</v>
      </c>
      <c r="S47" s="115">
        <v>0</v>
      </c>
      <c r="T47" s="88">
        <v>0</v>
      </c>
      <c r="U47" s="115">
        <v>0</v>
      </c>
      <c r="V47" s="88">
        <v>0</v>
      </c>
      <c r="W47" s="115">
        <v>0</v>
      </c>
      <c r="X47" s="88">
        <v>0</v>
      </c>
      <c r="Y47" s="115">
        <v>0</v>
      </c>
      <c r="Z47" s="88">
        <v>0</v>
      </c>
    </row>
    <row r="48" spans="1:27" ht="16.899999999999999" customHeight="1" thickBot="1" x14ac:dyDescent="0.3">
      <c r="A48" s="262"/>
      <c r="B48" s="98"/>
      <c r="C48" s="116">
        <f>SUM(C11,C12,C13,C19,C25,C33,C40,C41,C42,C43,C44,C45,C46,C47)</f>
        <v>427.26</v>
      </c>
      <c r="D48" s="106">
        <f t="shared" ref="D48:Z48" si="27">SUM(D11,D12,D13,D19,D25,D33,D40,D41,D42,D43,D44,D45,D46,D47)</f>
        <v>427.26</v>
      </c>
      <c r="E48" s="116">
        <f t="shared" si="27"/>
        <v>427.26</v>
      </c>
      <c r="F48" s="106">
        <f t="shared" si="27"/>
        <v>427.26</v>
      </c>
      <c r="G48" s="116">
        <f t="shared" si="27"/>
        <v>427.26</v>
      </c>
      <c r="H48" s="106">
        <f t="shared" si="27"/>
        <v>427.26</v>
      </c>
      <c r="I48" s="116">
        <f t="shared" si="27"/>
        <v>427.26</v>
      </c>
      <c r="J48" s="106">
        <f t="shared" si="27"/>
        <v>427.26</v>
      </c>
      <c r="K48" s="116">
        <f t="shared" si="27"/>
        <v>0</v>
      </c>
      <c r="L48" s="106">
        <f t="shared" si="27"/>
        <v>0</v>
      </c>
      <c r="M48" s="116">
        <f t="shared" si="27"/>
        <v>0</v>
      </c>
      <c r="N48" s="106">
        <f t="shared" si="27"/>
        <v>0</v>
      </c>
      <c r="O48" s="116">
        <f t="shared" si="27"/>
        <v>0</v>
      </c>
      <c r="P48" s="106">
        <f t="shared" si="27"/>
        <v>0</v>
      </c>
      <c r="Q48" s="116">
        <f t="shared" si="27"/>
        <v>0</v>
      </c>
      <c r="R48" s="106">
        <f t="shared" si="27"/>
        <v>0</v>
      </c>
      <c r="S48" s="116">
        <f t="shared" si="27"/>
        <v>365.31</v>
      </c>
      <c r="T48" s="106">
        <f t="shared" si="27"/>
        <v>365.31</v>
      </c>
      <c r="U48" s="116">
        <f t="shared" si="27"/>
        <v>365.31</v>
      </c>
      <c r="V48" s="106">
        <f t="shared" si="27"/>
        <v>365.31</v>
      </c>
      <c r="W48" s="116">
        <f t="shared" si="27"/>
        <v>365.31</v>
      </c>
      <c r="X48" s="106">
        <f t="shared" si="27"/>
        <v>365.31</v>
      </c>
      <c r="Y48" s="116">
        <f t="shared" si="27"/>
        <v>365.31</v>
      </c>
      <c r="Z48" s="106">
        <f t="shared" si="27"/>
        <v>365.31</v>
      </c>
    </row>
    <row r="49" spans="1:27" ht="16.899999999999999" customHeight="1" x14ac:dyDescent="0.25">
      <c r="A49" s="263" t="s">
        <v>20</v>
      </c>
      <c r="B49" s="92" t="s">
        <v>17</v>
      </c>
      <c r="C49" s="117">
        <v>0</v>
      </c>
      <c r="D49" s="94">
        <v>0</v>
      </c>
      <c r="E49" s="117">
        <v>0</v>
      </c>
      <c r="F49" s="94">
        <v>0</v>
      </c>
      <c r="G49" s="117">
        <v>0</v>
      </c>
      <c r="H49" s="94">
        <v>0</v>
      </c>
      <c r="I49" s="117">
        <v>0</v>
      </c>
      <c r="J49" s="94">
        <v>0</v>
      </c>
      <c r="K49" s="117">
        <v>0</v>
      </c>
      <c r="L49" s="94">
        <v>0</v>
      </c>
      <c r="M49" s="117">
        <v>0</v>
      </c>
      <c r="N49" s="94">
        <v>0</v>
      </c>
      <c r="O49" s="117">
        <v>0</v>
      </c>
      <c r="P49" s="94">
        <v>0</v>
      </c>
      <c r="Q49" s="117">
        <v>0</v>
      </c>
      <c r="R49" s="94">
        <v>0</v>
      </c>
      <c r="S49" s="117">
        <v>0</v>
      </c>
      <c r="T49" s="94">
        <v>0</v>
      </c>
      <c r="U49" s="117">
        <v>0</v>
      </c>
      <c r="V49" s="94">
        <v>0</v>
      </c>
      <c r="W49" s="117">
        <v>0</v>
      </c>
      <c r="X49" s="94">
        <v>0</v>
      </c>
      <c r="Y49" s="117">
        <v>0</v>
      </c>
      <c r="Z49" s="94">
        <v>0</v>
      </c>
    </row>
    <row r="50" spans="1:27" ht="16.899999999999999" customHeight="1" x14ac:dyDescent="0.25">
      <c r="A50" s="264"/>
      <c r="B50" s="95" t="s">
        <v>18</v>
      </c>
      <c r="C50" s="118">
        <v>0</v>
      </c>
      <c r="D50" s="97">
        <v>0</v>
      </c>
      <c r="E50" s="118">
        <v>0</v>
      </c>
      <c r="F50" s="97">
        <v>0</v>
      </c>
      <c r="G50" s="118">
        <v>0</v>
      </c>
      <c r="H50" s="97">
        <v>0</v>
      </c>
      <c r="I50" s="118">
        <v>0</v>
      </c>
      <c r="J50" s="97">
        <v>0</v>
      </c>
      <c r="K50" s="118">
        <v>0</v>
      </c>
      <c r="L50" s="97">
        <v>0</v>
      </c>
      <c r="M50" s="118">
        <v>0</v>
      </c>
      <c r="N50" s="97">
        <v>0</v>
      </c>
      <c r="O50" s="118">
        <v>0</v>
      </c>
      <c r="P50" s="97">
        <v>0</v>
      </c>
      <c r="Q50" s="118">
        <v>0</v>
      </c>
      <c r="R50" s="97">
        <v>0</v>
      </c>
      <c r="S50" s="118">
        <v>0</v>
      </c>
      <c r="T50" s="97">
        <v>0</v>
      </c>
      <c r="U50" s="118">
        <v>0</v>
      </c>
      <c r="V50" s="97">
        <v>0</v>
      </c>
      <c r="W50" s="118">
        <v>0</v>
      </c>
      <c r="X50" s="97">
        <v>0</v>
      </c>
      <c r="Y50" s="118">
        <v>0</v>
      </c>
      <c r="Z50" s="97">
        <v>0</v>
      </c>
    </row>
    <row r="51" spans="1:27" ht="16.899999999999999" customHeight="1" thickBot="1" x14ac:dyDescent="0.3">
      <c r="A51" s="265"/>
      <c r="B51" s="103"/>
      <c r="C51" s="144">
        <f>SUM(C49:C50)</f>
        <v>0</v>
      </c>
      <c r="D51" s="105">
        <f t="shared" ref="D51:Z51" si="28">SUM(D49:D50)</f>
        <v>0</v>
      </c>
      <c r="E51" s="145">
        <f t="shared" si="28"/>
        <v>0</v>
      </c>
      <c r="F51" s="105">
        <f t="shared" si="28"/>
        <v>0</v>
      </c>
      <c r="G51" s="145">
        <f t="shared" si="28"/>
        <v>0</v>
      </c>
      <c r="H51" s="105">
        <f t="shared" si="28"/>
        <v>0</v>
      </c>
      <c r="I51" s="145">
        <f t="shared" si="28"/>
        <v>0</v>
      </c>
      <c r="J51" s="105">
        <f t="shared" si="28"/>
        <v>0</v>
      </c>
      <c r="K51" s="145">
        <f t="shared" si="28"/>
        <v>0</v>
      </c>
      <c r="L51" s="105">
        <f t="shared" si="28"/>
        <v>0</v>
      </c>
      <c r="M51" s="145">
        <f t="shared" si="28"/>
        <v>0</v>
      </c>
      <c r="N51" s="105">
        <f t="shared" si="28"/>
        <v>0</v>
      </c>
      <c r="O51" s="145">
        <f t="shared" si="28"/>
        <v>0</v>
      </c>
      <c r="P51" s="105">
        <f t="shared" si="28"/>
        <v>0</v>
      </c>
      <c r="Q51" s="145">
        <f t="shared" si="28"/>
        <v>0</v>
      </c>
      <c r="R51" s="105">
        <f t="shared" si="28"/>
        <v>0</v>
      </c>
      <c r="S51" s="145">
        <f t="shared" si="28"/>
        <v>0</v>
      </c>
      <c r="T51" s="105">
        <f t="shared" si="28"/>
        <v>0</v>
      </c>
      <c r="U51" s="145">
        <f t="shared" si="28"/>
        <v>0</v>
      </c>
      <c r="V51" s="105">
        <f t="shared" si="28"/>
        <v>0</v>
      </c>
      <c r="W51" s="145">
        <f t="shared" si="28"/>
        <v>0</v>
      </c>
      <c r="X51" s="105">
        <f t="shared" si="28"/>
        <v>0</v>
      </c>
      <c r="Y51" s="145">
        <f t="shared" si="28"/>
        <v>0</v>
      </c>
      <c r="Z51" s="105">
        <f t="shared" si="28"/>
        <v>0</v>
      </c>
      <c r="AA51" s="3">
        <f>SUM(C51:Z51)</f>
        <v>0</v>
      </c>
    </row>
    <row r="52" spans="1:27" x14ac:dyDescent="0.25">
      <c r="A52" s="107"/>
      <c r="B52" s="73"/>
      <c r="C52" s="119"/>
      <c r="D52" s="76"/>
      <c r="E52" s="119"/>
      <c r="F52" s="76"/>
      <c r="G52" s="119"/>
      <c r="H52" s="76"/>
      <c r="I52" s="119"/>
      <c r="J52" s="76"/>
      <c r="K52" s="119" t="s">
        <v>59</v>
      </c>
      <c r="L52" s="76"/>
      <c r="M52" s="119"/>
      <c r="N52" s="76"/>
      <c r="O52" s="119"/>
      <c r="P52" s="76"/>
      <c r="Q52" s="119"/>
      <c r="R52" s="76"/>
      <c r="S52" s="119"/>
      <c r="T52" s="76"/>
      <c r="U52" s="119"/>
      <c r="V52" s="76"/>
      <c r="W52" s="119"/>
      <c r="X52" s="76"/>
      <c r="Y52" s="119"/>
      <c r="Z52" s="76"/>
    </row>
    <row r="53" spans="1:27" x14ac:dyDescent="0.25">
      <c r="A53" s="119"/>
      <c r="B53" s="126" t="s">
        <v>102</v>
      </c>
      <c r="C53" s="120">
        <f>C8-C48</f>
        <v>1497.56</v>
      </c>
      <c r="D53" s="121">
        <f t="shared" ref="D53:Z53" si="29">D8-D48</f>
        <v>1497.56</v>
      </c>
      <c r="E53" s="120">
        <f t="shared" si="29"/>
        <v>1497.56</v>
      </c>
      <c r="F53" s="121">
        <f t="shared" si="29"/>
        <v>1497.56</v>
      </c>
      <c r="G53" s="120">
        <f t="shared" si="29"/>
        <v>1497.56</v>
      </c>
      <c r="H53" s="121">
        <f t="shared" si="29"/>
        <v>1497.56</v>
      </c>
      <c r="I53" s="120">
        <f t="shared" si="29"/>
        <v>1497.56</v>
      </c>
      <c r="J53" s="121">
        <f t="shared" si="29"/>
        <v>1497.56</v>
      </c>
      <c r="K53" s="120">
        <f t="shared" si="29"/>
        <v>0</v>
      </c>
      <c r="L53" s="121">
        <f t="shared" si="29"/>
        <v>0</v>
      </c>
      <c r="M53" s="120">
        <f t="shared" si="29"/>
        <v>0</v>
      </c>
      <c r="N53" s="121">
        <f t="shared" si="29"/>
        <v>0</v>
      </c>
      <c r="O53" s="120">
        <f t="shared" si="29"/>
        <v>0</v>
      </c>
      <c r="P53" s="121">
        <f t="shared" si="29"/>
        <v>0</v>
      </c>
      <c r="Q53" s="120">
        <f t="shared" si="29"/>
        <v>0</v>
      </c>
      <c r="R53" s="121">
        <f t="shared" si="29"/>
        <v>0</v>
      </c>
      <c r="S53" s="120">
        <f t="shared" si="29"/>
        <v>1357.6100000000001</v>
      </c>
      <c r="T53" s="121">
        <f t="shared" si="29"/>
        <v>1357.6100000000001</v>
      </c>
      <c r="U53" s="120">
        <f t="shared" si="29"/>
        <v>1357.6100000000001</v>
      </c>
      <c r="V53" s="121">
        <f t="shared" si="29"/>
        <v>1357.6100000000001</v>
      </c>
      <c r="W53" s="120">
        <f t="shared" si="29"/>
        <v>1357.6100000000001</v>
      </c>
      <c r="X53" s="121">
        <f t="shared" si="29"/>
        <v>1357.6100000000001</v>
      </c>
      <c r="Y53" s="120">
        <f t="shared" si="29"/>
        <v>1357.6100000000001</v>
      </c>
      <c r="Z53" s="121">
        <f t="shared" si="29"/>
        <v>1357.6100000000001</v>
      </c>
      <c r="AA53" s="3">
        <f>SUM(C53:Z53)</f>
        <v>22841.360000000001</v>
      </c>
    </row>
    <row r="54" spans="1:27" x14ac:dyDescent="0.25">
      <c r="A54" s="119"/>
      <c r="B54" s="126" t="s">
        <v>103</v>
      </c>
      <c r="C54" s="119">
        <v>1497.56</v>
      </c>
      <c r="D54" s="76">
        <v>1497.56</v>
      </c>
      <c r="E54" s="119">
        <v>1497.56</v>
      </c>
      <c r="F54" s="76">
        <v>1497.56</v>
      </c>
      <c r="G54" s="119">
        <v>1688.43</v>
      </c>
      <c r="H54" s="76">
        <v>1497.56</v>
      </c>
      <c r="I54" s="119">
        <v>1497.56</v>
      </c>
      <c r="J54" s="76">
        <v>1497.56</v>
      </c>
      <c r="K54" s="119">
        <v>0</v>
      </c>
      <c r="L54" s="76">
        <v>0</v>
      </c>
      <c r="M54" s="119">
        <v>0</v>
      </c>
      <c r="N54" s="76">
        <v>0</v>
      </c>
      <c r="O54" s="119">
        <v>0</v>
      </c>
      <c r="P54" s="76">
        <v>0</v>
      </c>
      <c r="Q54" s="119">
        <v>0</v>
      </c>
      <c r="R54" s="76">
        <v>0</v>
      </c>
      <c r="S54" s="119"/>
      <c r="T54" s="76"/>
      <c r="U54" s="119"/>
      <c r="V54" s="76"/>
      <c r="W54" s="119"/>
      <c r="X54" s="76"/>
      <c r="Y54" s="119"/>
      <c r="Z54" s="76"/>
      <c r="AA54" s="3">
        <f>SUM(C54:Z54)</f>
        <v>12171.349999999999</v>
      </c>
    </row>
    <row r="55" spans="1:27" ht="15.75" thickBot="1" x14ac:dyDescent="0.3">
      <c r="A55" s="127"/>
      <c r="B55" s="128" t="s">
        <v>104</v>
      </c>
      <c r="C55" s="122">
        <f>IF(C54=0,0,C54-C53)</f>
        <v>0</v>
      </c>
      <c r="D55" s="123">
        <f t="shared" ref="D55:Z55" si="30">IF(D54=0,0,D54-D53)</f>
        <v>0</v>
      </c>
      <c r="E55" s="122">
        <f t="shared" si="30"/>
        <v>0</v>
      </c>
      <c r="F55" s="123">
        <f t="shared" si="30"/>
        <v>0</v>
      </c>
      <c r="G55" s="124">
        <f t="shared" si="30"/>
        <v>190.87000000000012</v>
      </c>
      <c r="H55" s="123">
        <f t="shared" si="30"/>
        <v>0</v>
      </c>
      <c r="I55" s="122">
        <f t="shared" si="30"/>
        <v>0</v>
      </c>
      <c r="J55" s="123">
        <f t="shared" si="30"/>
        <v>0</v>
      </c>
      <c r="K55" s="122">
        <f t="shared" si="30"/>
        <v>0</v>
      </c>
      <c r="L55" s="123">
        <f t="shared" si="30"/>
        <v>0</v>
      </c>
      <c r="M55" s="122">
        <f t="shared" si="30"/>
        <v>0</v>
      </c>
      <c r="N55" s="123">
        <f t="shared" si="30"/>
        <v>0</v>
      </c>
      <c r="O55" s="122">
        <f t="shared" si="30"/>
        <v>0</v>
      </c>
      <c r="P55" s="123">
        <f t="shared" si="30"/>
        <v>0</v>
      </c>
      <c r="Q55" s="122">
        <f t="shared" si="30"/>
        <v>0</v>
      </c>
      <c r="R55" s="123">
        <f t="shared" si="30"/>
        <v>0</v>
      </c>
      <c r="S55" s="122">
        <f t="shared" si="30"/>
        <v>0</v>
      </c>
      <c r="T55" s="123">
        <f t="shared" si="30"/>
        <v>0</v>
      </c>
      <c r="U55" s="122">
        <f t="shared" si="30"/>
        <v>0</v>
      </c>
      <c r="V55" s="123">
        <f t="shared" si="30"/>
        <v>0</v>
      </c>
      <c r="W55" s="122">
        <f t="shared" si="30"/>
        <v>0</v>
      </c>
      <c r="X55" s="123">
        <f t="shared" si="30"/>
        <v>0</v>
      </c>
      <c r="Y55" s="122">
        <f t="shared" si="30"/>
        <v>0</v>
      </c>
      <c r="Z55" s="123">
        <f t="shared" si="30"/>
        <v>0</v>
      </c>
    </row>
  </sheetData>
  <mergeCells count="15">
    <mergeCell ref="S2:T2"/>
    <mergeCell ref="U2:V2"/>
    <mergeCell ref="W2:X2"/>
    <mergeCell ref="Y2:Z2"/>
    <mergeCell ref="C2:D2"/>
    <mergeCell ref="E2:F2"/>
    <mergeCell ref="G2:H2"/>
    <mergeCell ref="I2:J2"/>
    <mergeCell ref="K2:L2"/>
    <mergeCell ref="M2:N2"/>
    <mergeCell ref="O2:P2"/>
    <mergeCell ref="Q2:R2"/>
    <mergeCell ref="A4:A8"/>
    <mergeCell ref="A11:A48"/>
    <mergeCell ref="A49:A51"/>
  </mergeCells>
  <pageMargins left="0.7" right="0.7" top="0.75" bottom="0.75" header="0.3" footer="0.3"/>
  <pageSetup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5"/>
  <sheetViews>
    <sheetView zoomScale="120" zoomScaleNormal="120" workbookViewId="0">
      <pane xSplit="2" ySplit="3" topLeftCell="C4" activePane="bottomRight" state="frozen"/>
      <selection pane="topRight" activeCell="C1" sqref="C1"/>
      <selection pane="bottomLeft" activeCell="A4" sqref="A4"/>
      <selection pane="bottomRight" activeCell="AA54" sqref="AA54"/>
    </sheetView>
  </sheetViews>
  <sheetFormatPr defaultRowHeight="15" x14ac:dyDescent="0.25"/>
  <cols>
    <col min="1" max="1" width="11" customWidth="1"/>
    <col min="2" max="2" width="26.28515625" customWidth="1"/>
    <col min="3" max="26" width="11.5703125" customWidth="1"/>
    <col min="27" max="27" width="9.28515625" bestFit="1" customWidth="1"/>
  </cols>
  <sheetData>
    <row r="1" spans="1:27" x14ac:dyDescent="0.25">
      <c r="A1" t="s">
        <v>125</v>
      </c>
      <c r="C1" s="107">
        <v>1</v>
      </c>
      <c r="D1" s="73">
        <v>0</v>
      </c>
      <c r="E1" s="107">
        <v>1</v>
      </c>
      <c r="F1" s="73">
        <v>0</v>
      </c>
      <c r="G1" s="107">
        <v>1</v>
      </c>
      <c r="H1" s="73">
        <v>0</v>
      </c>
      <c r="I1" s="107">
        <v>1</v>
      </c>
      <c r="J1" s="73">
        <v>0</v>
      </c>
      <c r="K1" s="107">
        <v>1</v>
      </c>
      <c r="L1" s="73">
        <v>0</v>
      </c>
      <c r="M1" s="107">
        <v>1</v>
      </c>
      <c r="N1" s="73">
        <v>0</v>
      </c>
      <c r="O1" s="107">
        <v>1</v>
      </c>
      <c r="P1" s="73">
        <v>0</v>
      </c>
      <c r="Q1" s="107">
        <v>1</v>
      </c>
      <c r="R1" s="73">
        <v>0</v>
      </c>
      <c r="S1" s="107">
        <v>1</v>
      </c>
      <c r="T1" s="73">
        <v>0</v>
      </c>
      <c r="U1" s="107">
        <v>1</v>
      </c>
      <c r="V1" s="73">
        <v>0</v>
      </c>
      <c r="W1" s="107">
        <v>1</v>
      </c>
      <c r="X1" s="73">
        <v>0</v>
      </c>
      <c r="Y1" s="107">
        <v>1</v>
      </c>
      <c r="Z1" s="73">
        <v>0</v>
      </c>
    </row>
    <row r="2" spans="1:27" s="1" customFormat="1" ht="21" x14ac:dyDescent="0.25">
      <c r="A2" s="2">
        <v>24</v>
      </c>
      <c r="C2" s="255" t="s">
        <v>21</v>
      </c>
      <c r="D2" s="256"/>
      <c r="E2" s="255" t="s">
        <v>22</v>
      </c>
      <c r="F2" s="256"/>
      <c r="G2" s="255" t="s">
        <v>23</v>
      </c>
      <c r="H2" s="256"/>
      <c r="I2" s="255" t="s">
        <v>24</v>
      </c>
      <c r="J2" s="256"/>
      <c r="K2" s="255" t="s">
        <v>25</v>
      </c>
      <c r="L2" s="256"/>
      <c r="M2" s="255" t="s">
        <v>26</v>
      </c>
      <c r="N2" s="256"/>
      <c r="O2" s="255" t="s">
        <v>27</v>
      </c>
      <c r="P2" s="256"/>
      <c r="Q2" s="255" t="s">
        <v>28</v>
      </c>
      <c r="R2" s="256"/>
      <c r="S2" s="255" t="s">
        <v>29</v>
      </c>
      <c r="T2" s="256"/>
      <c r="U2" s="255" t="s">
        <v>30</v>
      </c>
      <c r="V2" s="256"/>
      <c r="W2" s="255" t="s">
        <v>31</v>
      </c>
      <c r="X2" s="256"/>
      <c r="Y2" s="255" t="s">
        <v>32</v>
      </c>
      <c r="Z2" s="256"/>
    </row>
    <row r="3" spans="1:27" s="1" customFormat="1" ht="15.75" thickBot="1" x14ac:dyDescent="0.3">
      <c r="C3" s="108">
        <v>1</v>
      </c>
      <c r="D3" s="109">
        <v>2</v>
      </c>
      <c r="E3" s="108">
        <v>3</v>
      </c>
      <c r="F3" s="109">
        <v>4</v>
      </c>
      <c r="G3" s="108">
        <v>5</v>
      </c>
      <c r="H3" s="109">
        <v>6</v>
      </c>
      <c r="I3" s="108">
        <v>7</v>
      </c>
      <c r="J3" s="109">
        <v>8</v>
      </c>
      <c r="K3" s="108">
        <v>9</v>
      </c>
      <c r="L3" s="109">
        <v>10</v>
      </c>
      <c r="M3" s="108">
        <v>11</v>
      </c>
      <c r="N3" s="109">
        <v>12</v>
      </c>
      <c r="O3" s="108">
        <v>13</v>
      </c>
      <c r="P3" s="109">
        <v>14</v>
      </c>
      <c r="Q3" s="108">
        <v>15</v>
      </c>
      <c r="R3" s="109">
        <v>16</v>
      </c>
      <c r="S3" s="108">
        <v>17</v>
      </c>
      <c r="T3" s="109">
        <v>18</v>
      </c>
      <c r="U3" s="108">
        <v>19</v>
      </c>
      <c r="V3" s="109">
        <v>20</v>
      </c>
      <c r="W3" s="108">
        <v>21</v>
      </c>
      <c r="X3" s="109">
        <v>22</v>
      </c>
      <c r="Y3" s="108">
        <v>23</v>
      </c>
      <c r="Z3" s="109">
        <v>24</v>
      </c>
    </row>
    <row r="4" spans="1:27" ht="16.899999999999999" customHeight="1" x14ac:dyDescent="0.25">
      <c r="A4" s="257" t="s">
        <v>3</v>
      </c>
      <c r="B4" s="71" t="s">
        <v>1</v>
      </c>
      <c r="C4" s="110">
        <f>ROUND(UofC.Faculty.Constants!B4 * CLASSES_PER_SEM_UOFC_WINT,2)</f>
        <v>0</v>
      </c>
      <c r="D4" s="77">
        <f>ROUND(UofC.Faculty.Constants!C4 * CLASSES_PER_SEM_UOFC_WINT,2)</f>
        <v>0</v>
      </c>
      <c r="E4" s="110">
        <f>ROUND(UofC.Faculty.Constants!D4 * CLASSES_PER_SEM_UOFC_WINT,2)</f>
        <v>0</v>
      </c>
      <c r="F4" s="77">
        <f>ROUND(UofC.Faculty.Constants!E4 * CLASSES_PER_SEM_UOFC_WINT,2)</f>
        <v>0</v>
      </c>
      <c r="G4" s="110">
        <f>ROUND(UofC.Faculty.Constants!F4 * CLASSES_PER_SEM_UOFC_WINT,2)</f>
        <v>0</v>
      </c>
      <c r="H4" s="77">
        <f>ROUND(UofC.Faculty.Constants!G4 * CLASSES_PER_SEM_UOFC_WINT,2)</f>
        <v>0</v>
      </c>
      <c r="I4" s="110">
        <f>ROUND(UofC.Faculty.Constants!H4 * CLASSES_PER_SEM_UOFC_WINT,2)</f>
        <v>0</v>
      </c>
      <c r="J4" s="77">
        <f>ROUND(UofC.Faculty.Constants!I4 * CLASSES_PER_SEM_UOFC_WINT,2)</f>
        <v>0</v>
      </c>
      <c r="K4" s="110">
        <f>ROUND(UofC.Faculty.Constants!J4 * CLASSES_PER_SEM_UOFC_SPR,2)</f>
        <v>0</v>
      </c>
      <c r="L4" s="77">
        <f>ROUND(UofC.Faculty.Constants!K4 * CLASSES_PER_SEM_UOFC_SPR,2)</f>
        <v>0</v>
      </c>
      <c r="M4" s="110">
        <f>ROUND(UofC.Faculty.Constants!L4 * CLASSES_PER_SEM_UOFC_SPR,2)</f>
        <v>0</v>
      </c>
      <c r="N4" s="77">
        <f>ROUND(UofC.Faculty.Constants!M4 * CLASSES_PER_SEM_UOFC_SPR,2)</f>
        <v>0</v>
      </c>
      <c r="O4" s="110">
        <f>ROUND(UofC.Faculty.Constants!N4 * CLASSES_PER_SEM_UOFC_SUM,2)</f>
        <v>0</v>
      </c>
      <c r="P4" s="77">
        <f>ROUND(UofC.Faculty.Constants!O4 * CLASSES_PER_SEM_UOFC_SUM,2)</f>
        <v>0</v>
      </c>
      <c r="Q4" s="110">
        <f>ROUND(UofC.Faculty.Constants!P4 * CLASSES_PER_SEM_UOFC_SUM,2)</f>
        <v>0</v>
      </c>
      <c r="R4" s="77">
        <f>ROUND(UofC.Faculty.Constants!Q4 * CLASSES_PER_SEM_UOFC_SUM,2)</f>
        <v>0</v>
      </c>
      <c r="S4" s="110">
        <f>ROUND(UofC.Faculty.Constants!R4 * CLASSES_PER_SEM_UOFC_FALL,2)</f>
        <v>0</v>
      </c>
      <c r="T4" s="77">
        <f>ROUND(UofC.Faculty.Constants!S4 * CLASSES_PER_SEM_UOFC_FALL,2)</f>
        <v>0</v>
      </c>
      <c r="U4" s="110">
        <f>ROUND(UofC.Faculty.Constants!T4 * CLASSES_PER_SEM_UOFC_FALL,2)</f>
        <v>0</v>
      </c>
      <c r="V4" s="77">
        <f>ROUND(UofC.Faculty.Constants!U4 * CLASSES_PER_SEM_UOFC_FALL,2)</f>
        <v>0</v>
      </c>
      <c r="W4" s="110">
        <f>ROUND(UofC.Faculty.Constants!V4 * CLASSES_PER_SEM_UOFC_FALL,2)</f>
        <v>0</v>
      </c>
      <c r="X4" s="77">
        <f>ROUND(UofC.Faculty.Constants!W4 * CLASSES_PER_SEM_UOFC_FALL,2)</f>
        <v>0</v>
      </c>
      <c r="Y4" s="110">
        <f>ROUND(UofC.Faculty.Constants!X4 * CLASSES_PER_SEM_UOFC_FALL,2)</f>
        <v>0</v>
      </c>
      <c r="Z4" s="77">
        <f>ROUND(UofC.Faculty.Constants!Y4 * CLASSES_PER_SEM_UOFC_FALL,2)</f>
        <v>0</v>
      </c>
    </row>
    <row r="5" spans="1:27" ht="16.899999999999999" customHeight="1" x14ac:dyDescent="0.25">
      <c r="A5" s="258"/>
      <c r="B5" s="74" t="s">
        <v>2</v>
      </c>
      <c r="C5" s="111">
        <f>ROUND(C4 * UofC.Faculty.Constants!B7, 2)</f>
        <v>0</v>
      </c>
      <c r="D5" s="79">
        <f>ROUND(D4 * UofC.Faculty.Constants!C7, 2)</f>
        <v>0</v>
      </c>
      <c r="E5" s="111">
        <f>ROUND(E4 * UofC.Faculty.Constants!D7, 2)</f>
        <v>0</v>
      </c>
      <c r="F5" s="79">
        <f>ROUND(F4 * UofC.Faculty.Constants!E7, 2)</f>
        <v>0</v>
      </c>
      <c r="G5" s="111">
        <f>ROUND(G4 * UofC.Faculty.Constants!F7, 2)</f>
        <v>0</v>
      </c>
      <c r="H5" s="79">
        <f>ROUND(H4 * UofC.Faculty.Constants!G7, 2)</f>
        <v>0</v>
      </c>
      <c r="I5" s="111">
        <f>ROUND(I4 * UofC.Faculty.Constants!H7, 2)</f>
        <v>0</v>
      </c>
      <c r="J5" s="79">
        <f>ROUND(J4 * UofC.Faculty.Constants!I7, 2)</f>
        <v>0</v>
      </c>
      <c r="K5" s="111">
        <f>ROUND(K4 * UofC.Faculty.Constants!J7, 2)</f>
        <v>0</v>
      </c>
      <c r="L5" s="79">
        <f>ROUND(L4 * UofC.Faculty.Constants!K7, 2)</f>
        <v>0</v>
      </c>
      <c r="M5" s="111">
        <f>ROUND(M4 * UofC.Faculty.Constants!L7, 2)</f>
        <v>0</v>
      </c>
      <c r="N5" s="79">
        <f>ROUND(N4 * UofC.Faculty.Constants!M7, 2)</f>
        <v>0</v>
      </c>
      <c r="O5" s="111">
        <f>ROUND(O4 * UofC.Faculty.Constants!N7, 2)</f>
        <v>0</v>
      </c>
      <c r="P5" s="79">
        <f>ROUND(P4 * UofC.Faculty.Constants!O7, 2)</f>
        <v>0</v>
      </c>
      <c r="Q5" s="111">
        <f>ROUND(Q4 * UofC.Faculty.Constants!P7, 2)</f>
        <v>0</v>
      </c>
      <c r="R5" s="79">
        <f>ROUND(R4 * UofC.Faculty.Constants!Q7, 2)</f>
        <v>0</v>
      </c>
      <c r="S5" s="111">
        <f>ROUND(S4 * UofC.Faculty.Constants!R7, 2)</f>
        <v>0</v>
      </c>
      <c r="T5" s="79">
        <f>ROUND(T4 * UofC.Faculty.Constants!S7, 2)</f>
        <v>0</v>
      </c>
      <c r="U5" s="111">
        <f>ROUND(U4 * UofC.Faculty.Constants!T7, 2)</f>
        <v>0</v>
      </c>
      <c r="V5" s="79">
        <f>ROUND(V4 * UofC.Faculty.Constants!U7, 2)</f>
        <v>0</v>
      </c>
      <c r="W5" s="111">
        <f>ROUND(W4 * UofC.Faculty.Constants!V7, 2)</f>
        <v>0</v>
      </c>
      <c r="X5" s="79">
        <f>ROUND(X4 * UofC.Faculty.Constants!W7, 2)</f>
        <v>0</v>
      </c>
      <c r="Y5" s="111">
        <f>ROUND(Y4 * UofC.Faculty.Constants!X7, 2)</f>
        <v>0</v>
      </c>
      <c r="Z5" s="79">
        <f>ROUND(Z4 * UofC.Faculty.Constants!Y7, 2)</f>
        <v>0</v>
      </c>
    </row>
    <row r="6" spans="1:27" ht="16.899999999999999" customHeight="1" x14ac:dyDescent="0.25">
      <c r="A6" s="258"/>
      <c r="B6" s="74" t="s">
        <v>112</v>
      </c>
      <c r="C6" s="111">
        <f>ROUND(C4 * UofC.Faculty.Constants!B8, 2)</f>
        <v>0</v>
      </c>
      <c r="D6" s="79">
        <f>ROUND(D4 * UofC.Faculty.Constants!C8, 2)</f>
        <v>0</v>
      </c>
      <c r="E6" s="111">
        <f>ROUND(E4 * UofC.Faculty.Constants!D8, 2)</f>
        <v>0</v>
      </c>
      <c r="F6" s="79">
        <f>ROUND(F4 * UofC.Faculty.Constants!E8, 2)</f>
        <v>0</v>
      </c>
      <c r="G6" s="111">
        <f>ROUND(G4 * UofC.Faculty.Constants!F8, 2)</f>
        <v>0</v>
      </c>
      <c r="H6" s="79">
        <f>ROUND(H4 * UofC.Faculty.Constants!G8, 2)</f>
        <v>0</v>
      </c>
      <c r="I6" s="111">
        <f>ROUND(I4 * UofC.Faculty.Constants!H8, 2)</f>
        <v>0</v>
      </c>
      <c r="J6" s="79">
        <f>ROUND(J4 * UofC.Faculty.Constants!I8, 2)</f>
        <v>0</v>
      </c>
      <c r="K6" s="111">
        <f>ROUND(K4 * UofC.Faculty.Constants!J8, 2)</f>
        <v>0</v>
      </c>
      <c r="L6" s="79">
        <f>ROUND(L4 * UofC.Faculty.Constants!K8, 2)</f>
        <v>0</v>
      </c>
      <c r="M6" s="111">
        <f>ROUND(M4 * UofC.Faculty.Constants!L8, 2)</f>
        <v>0</v>
      </c>
      <c r="N6" s="79">
        <f>ROUND(N4 * UofC.Faculty.Constants!M8, 2)</f>
        <v>0</v>
      </c>
      <c r="O6" s="111">
        <f>ROUND(O4 * UofC.Faculty.Constants!N8, 2)</f>
        <v>0</v>
      </c>
      <c r="P6" s="79">
        <f>ROUND(P4 * UofC.Faculty.Constants!O8, 2)</f>
        <v>0</v>
      </c>
      <c r="Q6" s="111">
        <f>ROUND(Q4 * UofC.Faculty.Constants!P8, 2)</f>
        <v>0</v>
      </c>
      <c r="R6" s="79">
        <f>ROUND(R4 * UofC.Faculty.Constants!Q8, 2)</f>
        <v>0</v>
      </c>
      <c r="S6" s="111">
        <f>ROUND(S4 * UofC.Faculty.Constants!R8, 2)</f>
        <v>0</v>
      </c>
      <c r="T6" s="79">
        <f>ROUND(T4 * UofC.Faculty.Constants!S8, 2)</f>
        <v>0</v>
      </c>
      <c r="U6" s="111">
        <f>ROUND(U4 * UofC.Faculty.Constants!T8, 2)</f>
        <v>0</v>
      </c>
      <c r="V6" s="79">
        <f>ROUND(V4 * UofC.Faculty.Constants!U8, 2)</f>
        <v>0</v>
      </c>
      <c r="W6" s="111">
        <f>ROUND(W4 * UofC.Faculty.Constants!V8, 2)</f>
        <v>0</v>
      </c>
      <c r="X6" s="79">
        <f>ROUND(X4 * UofC.Faculty.Constants!W8, 2)</f>
        <v>0</v>
      </c>
      <c r="Y6" s="111">
        <f>ROUND(Y4 * UofC.Faculty.Constants!X8, 2)</f>
        <v>0</v>
      </c>
      <c r="Z6" s="79">
        <f>ROUND(Z4 * UofC.Faculty.Constants!Y8, 2)</f>
        <v>0</v>
      </c>
    </row>
    <row r="7" spans="1:27" ht="16.899999999999999" customHeight="1" x14ac:dyDescent="0.25">
      <c r="A7" s="258"/>
      <c r="B7" s="80" t="s">
        <v>58</v>
      </c>
      <c r="C7" s="111">
        <v>0</v>
      </c>
      <c r="D7" s="79">
        <v>0</v>
      </c>
      <c r="E7" s="111">
        <v>0</v>
      </c>
      <c r="F7" s="79">
        <v>0</v>
      </c>
      <c r="G7" s="111">
        <v>0</v>
      </c>
      <c r="H7" s="79">
        <v>0</v>
      </c>
      <c r="I7" s="111">
        <v>0</v>
      </c>
      <c r="J7" s="79">
        <v>0</v>
      </c>
      <c r="K7" s="111">
        <v>0</v>
      </c>
      <c r="L7" s="79">
        <v>0</v>
      </c>
      <c r="M7" s="111">
        <v>0</v>
      </c>
      <c r="N7" s="79">
        <v>0</v>
      </c>
      <c r="O7" s="111">
        <v>0</v>
      </c>
      <c r="P7" s="79">
        <v>0</v>
      </c>
      <c r="Q7" s="111">
        <v>0</v>
      </c>
      <c r="R7" s="79">
        <v>0</v>
      </c>
      <c r="S7" s="111">
        <v>0</v>
      </c>
      <c r="T7" s="79">
        <v>0</v>
      </c>
      <c r="U7" s="111">
        <v>0</v>
      </c>
      <c r="V7" s="79">
        <v>0</v>
      </c>
      <c r="W7" s="111">
        <v>0</v>
      </c>
      <c r="X7" s="79">
        <v>0</v>
      </c>
      <c r="Y7" s="111">
        <v>0</v>
      </c>
      <c r="Z7" s="79">
        <v>0</v>
      </c>
    </row>
    <row r="8" spans="1:27" ht="16.899999999999999" customHeight="1" thickBot="1" x14ac:dyDescent="0.3">
      <c r="A8" s="259"/>
      <c r="B8" s="100"/>
      <c r="C8" s="112">
        <f t="shared" ref="C8:Z8" si="0">SUM(C4:C7)</f>
        <v>0</v>
      </c>
      <c r="D8" s="102">
        <f t="shared" si="0"/>
        <v>0</v>
      </c>
      <c r="E8" s="112">
        <f t="shared" si="0"/>
        <v>0</v>
      </c>
      <c r="F8" s="102">
        <f t="shared" si="0"/>
        <v>0</v>
      </c>
      <c r="G8" s="112">
        <f t="shared" si="0"/>
        <v>0</v>
      </c>
      <c r="H8" s="102">
        <f t="shared" si="0"/>
        <v>0</v>
      </c>
      <c r="I8" s="112">
        <f t="shared" si="0"/>
        <v>0</v>
      </c>
      <c r="J8" s="102">
        <f t="shared" si="0"/>
        <v>0</v>
      </c>
      <c r="K8" s="112">
        <f t="shared" si="0"/>
        <v>0</v>
      </c>
      <c r="L8" s="102">
        <f t="shared" si="0"/>
        <v>0</v>
      </c>
      <c r="M8" s="112">
        <f t="shared" si="0"/>
        <v>0</v>
      </c>
      <c r="N8" s="102">
        <f t="shared" si="0"/>
        <v>0</v>
      </c>
      <c r="O8" s="112">
        <f t="shared" si="0"/>
        <v>0</v>
      </c>
      <c r="P8" s="102">
        <f t="shared" si="0"/>
        <v>0</v>
      </c>
      <c r="Q8" s="112">
        <f t="shared" si="0"/>
        <v>0</v>
      </c>
      <c r="R8" s="102">
        <f t="shared" si="0"/>
        <v>0</v>
      </c>
      <c r="S8" s="112">
        <f t="shared" si="0"/>
        <v>0</v>
      </c>
      <c r="T8" s="102">
        <f t="shared" si="0"/>
        <v>0</v>
      </c>
      <c r="U8" s="112">
        <f t="shared" si="0"/>
        <v>0</v>
      </c>
      <c r="V8" s="102">
        <f t="shared" si="0"/>
        <v>0</v>
      </c>
      <c r="W8" s="112">
        <f t="shared" si="0"/>
        <v>0</v>
      </c>
      <c r="X8" s="102">
        <f t="shared" si="0"/>
        <v>0</v>
      </c>
      <c r="Y8" s="112">
        <f t="shared" si="0"/>
        <v>0</v>
      </c>
      <c r="Z8" s="102">
        <f t="shared" si="0"/>
        <v>0</v>
      </c>
      <c r="AA8" s="3">
        <f>SUM(C8:Z8)</f>
        <v>0</v>
      </c>
    </row>
    <row r="9" spans="1:27" ht="16.899999999999999" hidden="1" customHeight="1" x14ac:dyDescent="0.25">
      <c r="A9" s="29"/>
      <c r="B9" s="30" t="s">
        <v>105</v>
      </c>
      <c r="C9" s="113">
        <v>0</v>
      </c>
      <c r="D9" s="86">
        <v>0</v>
      </c>
      <c r="E9" s="113">
        <v>0</v>
      </c>
      <c r="F9" s="86">
        <v>0</v>
      </c>
      <c r="G9" s="113">
        <v>0</v>
      </c>
      <c r="H9" s="86">
        <v>0</v>
      </c>
      <c r="I9" s="113">
        <v>0</v>
      </c>
      <c r="J9" s="86">
        <v>0</v>
      </c>
      <c r="K9" s="113">
        <v>0</v>
      </c>
      <c r="L9" s="86">
        <v>0</v>
      </c>
      <c r="M9" s="113">
        <v>0</v>
      </c>
      <c r="N9" s="86">
        <v>0</v>
      </c>
      <c r="O9" s="113">
        <v>0</v>
      </c>
      <c r="P9" s="86">
        <v>0</v>
      </c>
      <c r="Q9" s="113">
        <v>0</v>
      </c>
      <c r="R9" s="86">
        <v>0</v>
      </c>
      <c r="S9" s="113">
        <v>0</v>
      </c>
      <c r="T9" s="86">
        <v>0</v>
      </c>
      <c r="U9" s="113">
        <v>0</v>
      </c>
      <c r="V9" s="86">
        <v>0</v>
      </c>
      <c r="W9" s="113">
        <v>0</v>
      </c>
      <c r="X9" s="86">
        <v>0</v>
      </c>
      <c r="Y9" s="113">
        <v>0</v>
      </c>
      <c r="Z9" s="86">
        <v>0</v>
      </c>
    </row>
    <row r="10" spans="1:27" ht="16.899999999999999" hidden="1" customHeight="1" x14ac:dyDescent="0.25">
      <c r="A10" s="29"/>
      <c r="B10" s="30" t="s">
        <v>106</v>
      </c>
      <c r="C10" s="113">
        <v>0</v>
      </c>
      <c r="D10" s="86">
        <v>0</v>
      </c>
      <c r="E10" s="113">
        <v>0</v>
      </c>
      <c r="F10" s="86">
        <v>0</v>
      </c>
      <c r="G10" s="113">
        <v>0</v>
      </c>
      <c r="H10" s="86">
        <v>0</v>
      </c>
      <c r="I10" s="113">
        <v>0</v>
      </c>
      <c r="J10" s="86">
        <v>0</v>
      </c>
      <c r="K10" s="113">
        <v>0</v>
      </c>
      <c r="L10" s="86">
        <v>0</v>
      </c>
      <c r="M10" s="113">
        <v>0</v>
      </c>
      <c r="N10" s="86">
        <v>0</v>
      </c>
      <c r="O10" s="113">
        <v>0</v>
      </c>
      <c r="P10" s="86">
        <v>0</v>
      </c>
      <c r="Q10" s="113">
        <v>0</v>
      </c>
      <c r="R10" s="86">
        <v>0</v>
      </c>
      <c r="S10" s="113">
        <v>0</v>
      </c>
      <c r="T10" s="86">
        <v>0</v>
      </c>
      <c r="U10" s="113">
        <v>0</v>
      </c>
      <c r="V10" s="86">
        <v>0</v>
      </c>
      <c r="W10" s="113">
        <v>0</v>
      </c>
      <c r="X10" s="86">
        <v>0</v>
      </c>
      <c r="Y10" s="113">
        <v>0</v>
      </c>
      <c r="Z10" s="86">
        <v>0</v>
      </c>
    </row>
    <row r="11" spans="1:27" ht="16.899999999999999" customHeight="1" x14ac:dyDescent="0.25">
      <c r="A11" s="260" t="s">
        <v>19</v>
      </c>
      <c r="B11" s="81" t="s">
        <v>6</v>
      </c>
      <c r="C11" s="114">
        <f t="shared" ref="C11:Z11" si="1">ROUND((C9+C10)/UOFC_N_R,2)</f>
        <v>0</v>
      </c>
      <c r="D11" s="83">
        <f t="shared" si="1"/>
        <v>0</v>
      </c>
      <c r="E11" s="114">
        <f t="shared" si="1"/>
        <v>0</v>
      </c>
      <c r="F11" s="83">
        <f t="shared" si="1"/>
        <v>0</v>
      </c>
      <c r="G11" s="114">
        <f t="shared" si="1"/>
        <v>0</v>
      </c>
      <c r="H11" s="83">
        <f t="shared" si="1"/>
        <v>0</v>
      </c>
      <c r="I11" s="114">
        <f t="shared" si="1"/>
        <v>0</v>
      </c>
      <c r="J11" s="83">
        <f t="shared" si="1"/>
        <v>0</v>
      </c>
      <c r="K11" s="114">
        <f t="shared" si="1"/>
        <v>0</v>
      </c>
      <c r="L11" s="83">
        <f t="shared" si="1"/>
        <v>0</v>
      </c>
      <c r="M11" s="114">
        <f t="shared" si="1"/>
        <v>0</v>
      </c>
      <c r="N11" s="83">
        <f t="shared" si="1"/>
        <v>0</v>
      </c>
      <c r="O11" s="114">
        <f t="shared" si="1"/>
        <v>0</v>
      </c>
      <c r="P11" s="83">
        <f t="shared" si="1"/>
        <v>0</v>
      </c>
      <c r="Q11" s="114">
        <f t="shared" si="1"/>
        <v>0</v>
      </c>
      <c r="R11" s="83">
        <f t="shared" si="1"/>
        <v>0</v>
      </c>
      <c r="S11" s="114">
        <f t="shared" si="1"/>
        <v>0</v>
      </c>
      <c r="T11" s="83">
        <f t="shared" si="1"/>
        <v>0</v>
      </c>
      <c r="U11" s="114">
        <f t="shared" si="1"/>
        <v>0</v>
      </c>
      <c r="V11" s="83">
        <f t="shared" si="1"/>
        <v>0</v>
      </c>
      <c r="W11" s="114">
        <f t="shared" si="1"/>
        <v>0</v>
      </c>
      <c r="X11" s="83">
        <f t="shared" si="1"/>
        <v>0</v>
      </c>
      <c r="Y11" s="114">
        <f t="shared" si="1"/>
        <v>0</v>
      </c>
      <c r="Z11" s="83">
        <f t="shared" si="1"/>
        <v>0</v>
      </c>
      <c r="AA11" s="3">
        <f>SUM(C11:Z11)</f>
        <v>0</v>
      </c>
    </row>
    <row r="12" spans="1:27" ht="16.899999999999999" customHeight="1" x14ac:dyDescent="0.25">
      <c r="A12" s="261"/>
      <c r="B12" s="84" t="s">
        <v>120</v>
      </c>
      <c r="C12" s="113">
        <f>IF(C8=0,0,UofC.Faculty.Constants!B5)</f>
        <v>0</v>
      </c>
      <c r="D12" s="86">
        <f>IF(D8=0,0,UofC.Faculty.Constants!C5)</f>
        <v>0</v>
      </c>
      <c r="E12" s="113">
        <f>IF(E8=0,0,UofC.Faculty.Constants!D5)</f>
        <v>0</v>
      </c>
      <c r="F12" s="86">
        <f>IF(F8=0,0,UofC.Faculty.Constants!E5)</f>
        <v>0</v>
      </c>
      <c r="G12" s="113">
        <f>IF(G8=0,0,UofC.Faculty.Constants!F5)</f>
        <v>0</v>
      </c>
      <c r="H12" s="86">
        <f>IF(H8=0,0,UofC.Faculty.Constants!G5)</f>
        <v>0</v>
      </c>
      <c r="I12" s="113">
        <f>IF(I8=0,0,UofC.Faculty.Constants!H5)</f>
        <v>0</v>
      </c>
      <c r="J12" s="86">
        <f>IF(J8=0,0,UofC.Faculty.Constants!I5)</f>
        <v>0</v>
      </c>
      <c r="K12" s="113">
        <f>IF(K8=0,0,UofC.Faculty.Constants!J5)</f>
        <v>0</v>
      </c>
      <c r="L12" s="86">
        <f>IF(L8=0,0,UofC.Faculty.Constants!K5)</f>
        <v>0</v>
      </c>
      <c r="M12" s="113">
        <f>IF(M8=0,0,UofC.Faculty.Constants!L5)</f>
        <v>0</v>
      </c>
      <c r="N12" s="86">
        <f>IF(N8=0,0,UofC.Faculty.Constants!M5)</f>
        <v>0</v>
      </c>
      <c r="O12" s="113">
        <f>IF(O8=0,0,UofC.Faculty.Constants!N5)</f>
        <v>0</v>
      </c>
      <c r="P12" s="86">
        <f>IF(P8=0,0,UofC.Faculty.Constants!O5)</f>
        <v>0</v>
      </c>
      <c r="Q12" s="113">
        <f>IF(Q8=0,0,UofC.Faculty.Constants!P5)</f>
        <v>0</v>
      </c>
      <c r="R12" s="86">
        <f>IF(R8=0,0,UofC.Faculty.Constants!Q5)</f>
        <v>0</v>
      </c>
      <c r="S12" s="113">
        <f>IF(S8=0,0,UofC.Faculty.Constants!R5)</f>
        <v>0</v>
      </c>
      <c r="T12" s="86">
        <f>IF(T8=0,0,UofC.Faculty.Constants!S5)</f>
        <v>0</v>
      </c>
      <c r="U12" s="113">
        <f>IF(U8=0,0,UofC.Faculty.Constants!T5)</f>
        <v>0</v>
      </c>
      <c r="V12" s="86">
        <f>IF(V8=0,0,UofC.Faculty.Constants!U5)</f>
        <v>0</v>
      </c>
      <c r="W12" s="113">
        <f>IF(W8=0,0,UofC.Faculty.Constants!V5)</f>
        <v>0</v>
      </c>
      <c r="X12" s="86">
        <f>IF(X8=0,0,UofC.Faculty.Constants!W5)</f>
        <v>0</v>
      </c>
      <c r="Y12" s="113">
        <f>IF(Y8=0,0,UofC.Faculty.Constants!X5)</f>
        <v>0</v>
      </c>
      <c r="Z12" s="86">
        <f>IF(Z8=0,0,UofC.Faculty.Constants!Y5)</f>
        <v>0</v>
      </c>
      <c r="AA12" s="3">
        <f>SUM(C12:Z12)</f>
        <v>0</v>
      </c>
    </row>
    <row r="13" spans="1:27" ht="16.899999999999999" customHeight="1" x14ac:dyDescent="0.25">
      <c r="A13" s="261"/>
      <c r="B13" s="84" t="s">
        <v>121</v>
      </c>
      <c r="C13" s="113">
        <f>C4*UofC.Faculty.Constants!B6</f>
        <v>0</v>
      </c>
      <c r="D13" s="86">
        <f>D4*UofC.Faculty.Constants!C6</f>
        <v>0</v>
      </c>
      <c r="E13" s="113">
        <f>E4*UofC.Faculty.Constants!D6</f>
        <v>0</v>
      </c>
      <c r="F13" s="86">
        <f>F4*UofC.Faculty.Constants!E6</f>
        <v>0</v>
      </c>
      <c r="G13" s="113">
        <f>G4*UofC.Faculty.Constants!F6</f>
        <v>0</v>
      </c>
      <c r="H13" s="86">
        <f>H4*UofC.Faculty.Constants!G6</f>
        <v>0</v>
      </c>
      <c r="I13" s="113">
        <f>I4*UofC.Faculty.Constants!H6</f>
        <v>0</v>
      </c>
      <c r="J13" s="86">
        <f>J4*UofC.Faculty.Constants!I6</f>
        <v>0</v>
      </c>
      <c r="K13" s="113">
        <f>K4*UofC.Faculty.Constants!J6</f>
        <v>0</v>
      </c>
      <c r="L13" s="86">
        <f>L4*UofC.Faculty.Constants!K6</f>
        <v>0</v>
      </c>
      <c r="M13" s="113">
        <f>M4*UofC.Faculty.Constants!L6</f>
        <v>0</v>
      </c>
      <c r="N13" s="86">
        <f>N4*UofC.Faculty.Constants!M6</f>
        <v>0</v>
      </c>
      <c r="O13" s="113">
        <f>O4*UofC.Faculty.Constants!N6</f>
        <v>0</v>
      </c>
      <c r="P13" s="86">
        <f>P4*UofC.Faculty.Constants!O6</f>
        <v>0</v>
      </c>
      <c r="Q13" s="113">
        <f>Q4*UofC.Faculty.Constants!P6</f>
        <v>0</v>
      </c>
      <c r="R13" s="86">
        <f>R4*UofC.Faculty.Constants!Q6</f>
        <v>0</v>
      </c>
      <c r="S13" s="113">
        <f>S4*UofC.Faculty.Constants!R6</f>
        <v>0</v>
      </c>
      <c r="T13" s="86">
        <f>T4*UofC.Faculty.Constants!S6</f>
        <v>0</v>
      </c>
      <c r="U13" s="113">
        <f>U4*UofC.Faculty.Constants!T6</f>
        <v>0</v>
      </c>
      <c r="V13" s="86">
        <f>V4*UofC.Faculty.Constants!U6</f>
        <v>0</v>
      </c>
      <c r="W13" s="113">
        <f>W4*UofC.Faculty.Constants!V6</f>
        <v>0</v>
      </c>
      <c r="X13" s="86">
        <f>X4*UofC.Faculty.Constants!W6</f>
        <v>0</v>
      </c>
      <c r="Y13" s="113">
        <f>Y4*UofC.Faculty.Constants!X6</f>
        <v>0</v>
      </c>
      <c r="Z13" s="86">
        <f>Z4*UofC.Faculty.Constants!Y6</f>
        <v>0</v>
      </c>
      <c r="AA13" s="3">
        <f>SUM(C13:Z13)</f>
        <v>0</v>
      </c>
    </row>
    <row r="14" spans="1:27" ht="16.899999999999999" hidden="1" customHeight="1" x14ac:dyDescent="0.25">
      <c r="A14" s="261"/>
      <c r="B14" s="84" t="s">
        <v>63</v>
      </c>
      <c r="C14" s="113">
        <v>0</v>
      </c>
      <c r="D14" s="86">
        <f t="shared" ref="D14:Z14" si="2">C14+C19</f>
        <v>0</v>
      </c>
      <c r="E14" s="113">
        <f t="shared" si="2"/>
        <v>0</v>
      </c>
      <c r="F14" s="86">
        <f t="shared" si="2"/>
        <v>0</v>
      </c>
      <c r="G14" s="113">
        <f t="shared" si="2"/>
        <v>0</v>
      </c>
      <c r="H14" s="86">
        <f t="shared" si="2"/>
        <v>0</v>
      </c>
      <c r="I14" s="113">
        <f t="shared" si="2"/>
        <v>0</v>
      </c>
      <c r="J14" s="86">
        <f t="shared" si="2"/>
        <v>0</v>
      </c>
      <c r="K14" s="113">
        <f t="shared" si="2"/>
        <v>0</v>
      </c>
      <c r="L14" s="86">
        <f t="shared" si="2"/>
        <v>0</v>
      </c>
      <c r="M14" s="113">
        <f t="shared" si="2"/>
        <v>0</v>
      </c>
      <c r="N14" s="86">
        <f t="shared" si="2"/>
        <v>0</v>
      </c>
      <c r="O14" s="113">
        <f t="shared" si="2"/>
        <v>0</v>
      </c>
      <c r="P14" s="86">
        <f t="shared" si="2"/>
        <v>0</v>
      </c>
      <c r="Q14" s="113">
        <f t="shared" si="2"/>
        <v>0</v>
      </c>
      <c r="R14" s="86">
        <f t="shared" si="2"/>
        <v>0</v>
      </c>
      <c r="S14" s="113">
        <f t="shared" si="2"/>
        <v>0</v>
      </c>
      <c r="T14" s="86">
        <f t="shared" si="2"/>
        <v>0</v>
      </c>
      <c r="U14" s="113">
        <f t="shared" si="2"/>
        <v>0</v>
      </c>
      <c r="V14" s="86">
        <f t="shared" si="2"/>
        <v>0</v>
      </c>
      <c r="W14" s="113">
        <f t="shared" si="2"/>
        <v>0</v>
      </c>
      <c r="X14" s="86">
        <f t="shared" si="2"/>
        <v>0</v>
      </c>
      <c r="Y14" s="113">
        <f t="shared" si="2"/>
        <v>0</v>
      </c>
      <c r="Z14" s="86">
        <f t="shared" si="2"/>
        <v>0</v>
      </c>
    </row>
    <row r="15" spans="1:27" ht="16.899999999999999" hidden="1" customHeight="1" x14ac:dyDescent="0.25">
      <c r="A15" s="261"/>
      <c r="B15" s="84" t="s">
        <v>66</v>
      </c>
      <c r="C15" s="113">
        <f t="shared" ref="C15:Z15" si="3">C8+C51</f>
        <v>0</v>
      </c>
      <c r="D15" s="86">
        <f t="shared" si="3"/>
        <v>0</v>
      </c>
      <c r="E15" s="113">
        <f t="shared" si="3"/>
        <v>0</v>
      </c>
      <c r="F15" s="86">
        <f t="shared" si="3"/>
        <v>0</v>
      </c>
      <c r="G15" s="113">
        <f t="shared" si="3"/>
        <v>0</v>
      </c>
      <c r="H15" s="86">
        <f t="shared" si="3"/>
        <v>0</v>
      </c>
      <c r="I15" s="113">
        <f t="shared" si="3"/>
        <v>0</v>
      </c>
      <c r="J15" s="86">
        <f t="shared" si="3"/>
        <v>0</v>
      </c>
      <c r="K15" s="113">
        <f t="shared" si="3"/>
        <v>0</v>
      </c>
      <c r="L15" s="86">
        <f t="shared" si="3"/>
        <v>0</v>
      </c>
      <c r="M15" s="113">
        <f t="shared" si="3"/>
        <v>0</v>
      </c>
      <c r="N15" s="86">
        <f t="shared" si="3"/>
        <v>0</v>
      </c>
      <c r="O15" s="113">
        <f t="shared" si="3"/>
        <v>0</v>
      </c>
      <c r="P15" s="86">
        <f t="shared" si="3"/>
        <v>0</v>
      </c>
      <c r="Q15" s="113">
        <f t="shared" si="3"/>
        <v>0</v>
      </c>
      <c r="R15" s="86">
        <f t="shared" si="3"/>
        <v>0</v>
      </c>
      <c r="S15" s="113">
        <f t="shared" si="3"/>
        <v>0</v>
      </c>
      <c r="T15" s="86">
        <f t="shared" si="3"/>
        <v>0</v>
      </c>
      <c r="U15" s="113">
        <f t="shared" si="3"/>
        <v>0</v>
      </c>
      <c r="V15" s="86">
        <f t="shared" si="3"/>
        <v>0</v>
      </c>
      <c r="W15" s="113">
        <f t="shared" si="3"/>
        <v>0</v>
      </c>
      <c r="X15" s="86">
        <f t="shared" si="3"/>
        <v>0</v>
      </c>
      <c r="Y15" s="113">
        <f t="shared" si="3"/>
        <v>0</v>
      </c>
      <c r="Z15" s="86">
        <f t="shared" si="3"/>
        <v>0</v>
      </c>
    </row>
    <row r="16" spans="1:27" ht="16.899999999999999" hidden="1" customHeight="1" x14ac:dyDescent="0.25">
      <c r="A16" s="261"/>
      <c r="B16" s="84" t="s">
        <v>64</v>
      </c>
      <c r="C16" s="113">
        <f t="shared" ref="C16:Z16" si="4">MAX_ANNUAL_CPP-C14</f>
        <v>2564.1</v>
      </c>
      <c r="D16" s="86">
        <f t="shared" si="4"/>
        <v>2564.1</v>
      </c>
      <c r="E16" s="113">
        <f t="shared" si="4"/>
        <v>2564.1</v>
      </c>
      <c r="F16" s="86">
        <f t="shared" si="4"/>
        <v>2564.1</v>
      </c>
      <c r="G16" s="113">
        <f t="shared" si="4"/>
        <v>2564.1</v>
      </c>
      <c r="H16" s="86">
        <f t="shared" si="4"/>
        <v>2564.1</v>
      </c>
      <c r="I16" s="113">
        <f t="shared" si="4"/>
        <v>2564.1</v>
      </c>
      <c r="J16" s="86">
        <f t="shared" si="4"/>
        <v>2564.1</v>
      </c>
      <c r="K16" s="113">
        <f t="shared" si="4"/>
        <v>2564.1</v>
      </c>
      <c r="L16" s="86">
        <f t="shared" si="4"/>
        <v>2564.1</v>
      </c>
      <c r="M16" s="113">
        <f t="shared" si="4"/>
        <v>2564.1</v>
      </c>
      <c r="N16" s="86">
        <f t="shared" si="4"/>
        <v>2564.1</v>
      </c>
      <c r="O16" s="113">
        <f t="shared" si="4"/>
        <v>2564.1</v>
      </c>
      <c r="P16" s="86">
        <f t="shared" si="4"/>
        <v>2564.1</v>
      </c>
      <c r="Q16" s="113">
        <f t="shared" si="4"/>
        <v>2564.1</v>
      </c>
      <c r="R16" s="86">
        <f t="shared" si="4"/>
        <v>2564.1</v>
      </c>
      <c r="S16" s="113">
        <f t="shared" si="4"/>
        <v>2564.1</v>
      </c>
      <c r="T16" s="86">
        <f t="shared" si="4"/>
        <v>2564.1</v>
      </c>
      <c r="U16" s="113">
        <f t="shared" si="4"/>
        <v>2564.1</v>
      </c>
      <c r="V16" s="86">
        <f t="shared" si="4"/>
        <v>2564.1</v>
      </c>
      <c r="W16" s="113">
        <f t="shared" si="4"/>
        <v>2564.1</v>
      </c>
      <c r="X16" s="86">
        <f t="shared" si="4"/>
        <v>2564.1</v>
      </c>
      <c r="Y16" s="113">
        <f t="shared" si="4"/>
        <v>2564.1</v>
      </c>
      <c r="Z16" s="86">
        <f t="shared" si="4"/>
        <v>2564.1</v>
      </c>
    </row>
    <row r="17" spans="1:27" ht="16.899999999999999" hidden="1" customHeight="1" x14ac:dyDescent="0.25">
      <c r="A17" s="261"/>
      <c r="B17" s="84" t="s">
        <v>65</v>
      </c>
      <c r="C17" s="113">
        <f t="shared" ref="C17:Z17" si="5">CPP_RATE * (C15 - (3500 / UOFC_N_R ) )</f>
        <v>-7.2187500000000009</v>
      </c>
      <c r="D17" s="86">
        <f t="shared" si="5"/>
        <v>-7.2187500000000009</v>
      </c>
      <c r="E17" s="113">
        <f t="shared" si="5"/>
        <v>-7.2187500000000009</v>
      </c>
      <c r="F17" s="86">
        <f t="shared" si="5"/>
        <v>-7.2187500000000009</v>
      </c>
      <c r="G17" s="113">
        <f t="shared" si="5"/>
        <v>-7.2187500000000009</v>
      </c>
      <c r="H17" s="86">
        <f t="shared" si="5"/>
        <v>-7.2187500000000009</v>
      </c>
      <c r="I17" s="113">
        <f t="shared" si="5"/>
        <v>-7.2187500000000009</v>
      </c>
      <c r="J17" s="86">
        <f t="shared" si="5"/>
        <v>-7.2187500000000009</v>
      </c>
      <c r="K17" s="113">
        <f t="shared" si="5"/>
        <v>-7.2187500000000009</v>
      </c>
      <c r="L17" s="86">
        <f t="shared" si="5"/>
        <v>-7.2187500000000009</v>
      </c>
      <c r="M17" s="113">
        <f t="shared" si="5"/>
        <v>-7.2187500000000009</v>
      </c>
      <c r="N17" s="86">
        <f t="shared" si="5"/>
        <v>-7.2187500000000009</v>
      </c>
      <c r="O17" s="113">
        <f t="shared" si="5"/>
        <v>-7.2187500000000009</v>
      </c>
      <c r="P17" s="86">
        <f t="shared" si="5"/>
        <v>-7.2187500000000009</v>
      </c>
      <c r="Q17" s="113">
        <f t="shared" si="5"/>
        <v>-7.2187500000000009</v>
      </c>
      <c r="R17" s="86">
        <f t="shared" si="5"/>
        <v>-7.2187500000000009</v>
      </c>
      <c r="S17" s="113">
        <f t="shared" si="5"/>
        <v>-7.2187500000000009</v>
      </c>
      <c r="T17" s="86">
        <f t="shared" si="5"/>
        <v>-7.2187500000000009</v>
      </c>
      <c r="U17" s="113">
        <f t="shared" si="5"/>
        <v>-7.2187500000000009</v>
      </c>
      <c r="V17" s="86">
        <f t="shared" si="5"/>
        <v>-7.2187500000000009</v>
      </c>
      <c r="W17" s="113">
        <f t="shared" si="5"/>
        <v>-7.2187500000000009</v>
      </c>
      <c r="X17" s="86">
        <f t="shared" si="5"/>
        <v>-7.2187500000000009</v>
      </c>
      <c r="Y17" s="113">
        <f t="shared" si="5"/>
        <v>-7.2187500000000009</v>
      </c>
      <c r="Z17" s="86">
        <f t="shared" si="5"/>
        <v>-7.2187500000000009</v>
      </c>
    </row>
    <row r="18" spans="1:27" ht="16.899999999999999" hidden="1" customHeight="1" x14ac:dyDescent="0.25">
      <c r="A18" s="261"/>
      <c r="B18" s="84" t="s">
        <v>67</v>
      </c>
      <c r="C18" s="113">
        <f>MIN(C16,C17)</f>
        <v>-7.2187500000000009</v>
      </c>
      <c r="D18" s="86">
        <f t="shared" ref="D18:Z18" si="6">MIN(D16,D17)</f>
        <v>-7.2187500000000009</v>
      </c>
      <c r="E18" s="113">
        <f t="shared" si="6"/>
        <v>-7.2187500000000009</v>
      </c>
      <c r="F18" s="86">
        <f t="shared" si="6"/>
        <v>-7.2187500000000009</v>
      </c>
      <c r="G18" s="113">
        <f t="shared" si="6"/>
        <v>-7.2187500000000009</v>
      </c>
      <c r="H18" s="86">
        <f t="shared" si="6"/>
        <v>-7.2187500000000009</v>
      </c>
      <c r="I18" s="113">
        <f t="shared" si="6"/>
        <v>-7.2187500000000009</v>
      </c>
      <c r="J18" s="86">
        <f t="shared" si="6"/>
        <v>-7.2187500000000009</v>
      </c>
      <c r="K18" s="113">
        <f t="shared" si="6"/>
        <v>-7.2187500000000009</v>
      </c>
      <c r="L18" s="86">
        <f t="shared" si="6"/>
        <v>-7.2187500000000009</v>
      </c>
      <c r="M18" s="113">
        <f t="shared" si="6"/>
        <v>-7.2187500000000009</v>
      </c>
      <c r="N18" s="86">
        <f t="shared" si="6"/>
        <v>-7.2187500000000009</v>
      </c>
      <c r="O18" s="113">
        <f t="shared" si="6"/>
        <v>-7.2187500000000009</v>
      </c>
      <c r="P18" s="86">
        <f t="shared" si="6"/>
        <v>-7.2187500000000009</v>
      </c>
      <c r="Q18" s="113">
        <f t="shared" si="6"/>
        <v>-7.2187500000000009</v>
      </c>
      <c r="R18" s="86">
        <f t="shared" si="6"/>
        <v>-7.2187500000000009</v>
      </c>
      <c r="S18" s="113">
        <f t="shared" si="6"/>
        <v>-7.2187500000000009</v>
      </c>
      <c r="T18" s="86">
        <f t="shared" si="6"/>
        <v>-7.2187500000000009</v>
      </c>
      <c r="U18" s="113">
        <f t="shared" si="6"/>
        <v>-7.2187500000000009</v>
      </c>
      <c r="V18" s="86">
        <f t="shared" si="6"/>
        <v>-7.2187500000000009</v>
      </c>
      <c r="W18" s="113">
        <f t="shared" si="6"/>
        <v>-7.2187500000000009</v>
      </c>
      <c r="X18" s="86">
        <f t="shared" si="6"/>
        <v>-7.2187500000000009</v>
      </c>
      <c r="Y18" s="113">
        <f t="shared" si="6"/>
        <v>-7.2187500000000009</v>
      </c>
      <c r="Z18" s="86">
        <f t="shared" si="6"/>
        <v>-7.2187500000000009</v>
      </c>
    </row>
    <row r="19" spans="1:27" ht="16.899999999999999" customHeight="1" x14ac:dyDescent="0.25">
      <c r="A19" s="261"/>
      <c r="B19" s="84" t="s">
        <v>7</v>
      </c>
      <c r="C19" s="113">
        <f t="shared" ref="C19:Z19" si="7">IF(C18 &lt; 0, 0, ROUND(C18,2))</f>
        <v>0</v>
      </c>
      <c r="D19" s="86">
        <f t="shared" si="7"/>
        <v>0</v>
      </c>
      <c r="E19" s="113">
        <f t="shared" si="7"/>
        <v>0</v>
      </c>
      <c r="F19" s="86">
        <f t="shared" si="7"/>
        <v>0</v>
      </c>
      <c r="G19" s="113">
        <f t="shared" si="7"/>
        <v>0</v>
      </c>
      <c r="H19" s="86">
        <f t="shared" si="7"/>
        <v>0</v>
      </c>
      <c r="I19" s="113">
        <f t="shared" si="7"/>
        <v>0</v>
      </c>
      <c r="J19" s="86">
        <f t="shared" si="7"/>
        <v>0</v>
      </c>
      <c r="K19" s="113">
        <f t="shared" si="7"/>
        <v>0</v>
      </c>
      <c r="L19" s="86">
        <f t="shared" si="7"/>
        <v>0</v>
      </c>
      <c r="M19" s="113">
        <f t="shared" si="7"/>
        <v>0</v>
      </c>
      <c r="N19" s="86">
        <f t="shared" si="7"/>
        <v>0</v>
      </c>
      <c r="O19" s="113">
        <f t="shared" si="7"/>
        <v>0</v>
      </c>
      <c r="P19" s="86">
        <f t="shared" si="7"/>
        <v>0</v>
      </c>
      <c r="Q19" s="113">
        <f t="shared" si="7"/>
        <v>0</v>
      </c>
      <c r="R19" s="86">
        <f t="shared" si="7"/>
        <v>0</v>
      </c>
      <c r="S19" s="113">
        <f t="shared" si="7"/>
        <v>0</v>
      </c>
      <c r="T19" s="86">
        <f t="shared" si="7"/>
        <v>0</v>
      </c>
      <c r="U19" s="113">
        <f t="shared" si="7"/>
        <v>0</v>
      </c>
      <c r="V19" s="86">
        <f t="shared" si="7"/>
        <v>0</v>
      </c>
      <c r="W19" s="113">
        <f t="shared" si="7"/>
        <v>0</v>
      </c>
      <c r="X19" s="86">
        <f t="shared" si="7"/>
        <v>0</v>
      </c>
      <c r="Y19" s="113">
        <f t="shared" si="7"/>
        <v>0</v>
      </c>
      <c r="Z19" s="86">
        <f t="shared" si="7"/>
        <v>0</v>
      </c>
      <c r="AA19" s="3">
        <f>SUM(C19:Z19)</f>
        <v>0</v>
      </c>
    </row>
    <row r="20" spans="1:27" ht="16.899999999999999" hidden="1" customHeight="1" x14ac:dyDescent="0.25">
      <c r="A20" s="261"/>
      <c r="B20" s="84" t="s">
        <v>69</v>
      </c>
      <c r="C20" s="113">
        <v>0</v>
      </c>
      <c r="D20" s="86">
        <f t="shared" ref="D20:Z20" si="8">C20+C25</f>
        <v>0</v>
      </c>
      <c r="E20" s="113">
        <f t="shared" si="8"/>
        <v>0</v>
      </c>
      <c r="F20" s="86">
        <f t="shared" si="8"/>
        <v>0</v>
      </c>
      <c r="G20" s="113">
        <f t="shared" si="8"/>
        <v>0</v>
      </c>
      <c r="H20" s="86">
        <f t="shared" si="8"/>
        <v>0</v>
      </c>
      <c r="I20" s="113">
        <f t="shared" si="8"/>
        <v>0</v>
      </c>
      <c r="J20" s="86">
        <f t="shared" si="8"/>
        <v>0</v>
      </c>
      <c r="K20" s="113">
        <f t="shared" si="8"/>
        <v>0</v>
      </c>
      <c r="L20" s="86">
        <f t="shared" si="8"/>
        <v>0</v>
      </c>
      <c r="M20" s="113">
        <f t="shared" si="8"/>
        <v>0</v>
      </c>
      <c r="N20" s="86">
        <f t="shared" si="8"/>
        <v>0</v>
      </c>
      <c r="O20" s="113">
        <f t="shared" si="8"/>
        <v>0</v>
      </c>
      <c r="P20" s="86">
        <f t="shared" si="8"/>
        <v>0</v>
      </c>
      <c r="Q20" s="113">
        <f t="shared" si="8"/>
        <v>0</v>
      </c>
      <c r="R20" s="86">
        <f t="shared" si="8"/>
        <v>0</v>
      </c>
      <c r="S20" s="113">
        <f t="shared" si="8"/>
        <v>0</v>
      </c>
      <c r="T20" s="86">
        <f t="shared" si="8"/>
        <v>0</v>
      </c>
      <c r="U20" s="113">
        <f t="shared" si="8"/>
        <v>0</v>
      </c>
      <c r="V20" s="86">
        <f t="shared" si="8"/>
        <v>0</v>
      </c>
      <c r="W20" s="113">
        <f t="shared" si="8"/>
        <v>0</v>
      </c>
      <c r="X20" s="86">
        <f t="shared" si="8"/>
        <v>0</v>
      </c>
      <c r="Y20" s="113">
        <f t="shared" si="8"/>
        <v>0</v>
      </c>
      <c r="Z20" s="86">
        <f t="shared" si="8"/>
        <v>0</v>
      </c>
    </row>
    <row r="21" spans="1:27" ht="16.899999999999999" hidden="1" customHeight="1" x14ac:dyDescent="0.25">
      <c r="A21" s="261"/>
      <c r="B21" s="84" t="s">
        <v>70</v>
      </c>
      <c r="C21" s="113">
        <f>C8</f>
        <v>0</v>
      </c>
      <c r="D21" s="86">
        <f t="shared" ref="D21:Z21" si="9">D8</f>
        <v>0</v>
      </c>
      <c r="E21" s="113">
        <f t="shared" si="9"/>
        <v>0</v>
      </c>
      <c r="F21" s="86">
        <f t="shared" si="9"/>
        <v>0</v>
      </c>
      <c r="G21" s="113">
        <f t="shared" si="9"/>
        <v>0</v>
      </c>
      <c r="H21" s="86">
        <f t="shared" si="9"/>
        <v>0</v>
      </c>
      <c r="I21" s="113">
        <f t="shared" si="9"/>
        <v>0</v>
      </c>
      <c r="J21" s="86">
        <f t="shared" si="9"/>
        <v>0</v>
      </c>
      <c r="K21" s="113">
        <f t="shared" si="9"/>
        <v>0</v>
      </c>
      <c r="L21" s="86">
        <f t="shared" si="9"/>
        <v>0</v>
      </c>
      <c r="M21" s="113">
        <f t="shared" si="9"/>
        <v>0</v>
      </c>
      <c r="N21" s="86">
        <f t="shared" si="9"/>
        <v>0</v>
      </c>
      <c r="O21" s="113">
        <f t="shared" si="9"/>
        <v>0</v>
      </c>
      <c r="P21" s="86">
        <f t="shared" si="9"/>
        <v>0</v>
      </c>
      <c r="Q21" s="113">
        <f t="shared" si="9"/>
        <v>0</v>
      </c>
      <c r="R21" s="86">
        <f t="shared" si="9"/>
        <v>0</v>
      </c>
      <c r="S21" s="113">
        <f t="shared" si="9"/>
        <v>0</v>
      </c>
      <c r="T21" s="86">
        <f t="shared" si="9"/>
        <v>0</v>
      </c>
      <c r="U21" s="113">
        <f t="shared" si="9"/>
        <v>0</v>
      </c>
      <c r="V21" s="86">
        <f t="shared" si="9"/>
        <v>0</v>
      </c>
      <c r="W21" s="113">
        <f t="shared" si="9"/>
        <v>0</v>
      </c>
      <c r="X21" s="86">
        <f t="shared" si="9"/>
        <v>0</v>
      </c>
      <c r="Y21" s="113">
        <f t="shared" si="9"/>
        <v>0</v>
      </c>
      <c r="Z21" s="86">
        <f t="shared" si="9"/>
        <v>0</v>
      </c>
    </row>
    <row r="22" spans="1:27" ht="16.899999999999999" hidden="1" customHeight="1" x14ac:dyDescent="0.25">
      <c r="A22" s="261"/>
      <c r="B22" s="84" t="s">
        <v>71</v>
      </c>
      <c r="C22" s="113">
        <f t="shared" ref="C22:Z22" si="10">MAX_ANNUAL_EI-C20</f>
        <v>836.19</v>
      </c>
      <c r="D22" s="86">
        <f t="shared" si="10"/>
        <v>836.19</v>
      </c>
      <c r="E22" s="113">
        <f t="shared" si="10"/>
        <v>836.19</v>
      </c>
      <c r="F22" s="86">
        <f t="shared" si="10"/>
        <v>836.19</v>
      </c>
      <c r="G22" s="113">
        <f t="shared" si="10"/>
        <v>836.19</v>
      </c>
      <c r="H22" s="86">
        <f t="shared" si="10"/>
        <v>836.19</v>
      </c>
      <c r="I22" s="113">
        <f t="shared" si="10"/>
        <v>836.19</v>
      </c>
      <c r="J22" s="86">
        <f t="shared" si="10"/>
        <v>836.19</v>
      </c>
      <c r="K22" s="113">
        <f t="shared" si="10"/>
        <v>836.19</v>
      </c>
      <c r="L22" s="86">
        <f t="shared" si="10"/>
        <v>836.19</v>
      </c>
      <c r="M22" s="113">
        <f t="shared" si="10"/>
        <v>836.19</v>
      </c>
      <c r="N22" s="86">
        <f t="shared" si="10"/>
        <v>836.19</v>
      </c>
      <c r="O22" s="113">
        <f t="shared" si="10"/>
        <v>836.19</v>
      </c>
      <c r="P22" s="86">
        <f t="shared" si="10"/>
        <v>836.19</v>
      </c>
      <c r="Q22" s="113">
        <f t="shared" si="10"/>
        <v>836.19</v>
      </c>
      <c r="R22" s="86">
        <f t="shared" si="10"/>
        <v>836.19</v>
      </c>
      <c r="S22" s="113">
        <f t="shared" si="10"/>
        <v>836.19</v>
      </c>
      <c r="T22" s="86">
        <f t="shared" si="10"/>
        <v>836.19</v>
      </c>
      <c r="U22" s="113">
        <f t="shared" si="10"/>
        <v>836.19</v>
      </c>
      <c r="V22" s="86">
        <f t="shared" si="10"/>
        <v>836.19</v>
      </c>
      <c r="W22" s="113">
        <f t="shared" si="10"/>
        <v>836.19</v>
      </c>
      <c r="X22" s="86">
        <f t="shared" si="10"/>
        <v>836.19</v>
      </c>
      <c r="Y22" s="113">
        <f t="shared" si="10"/>
        <v>836.19</v>
      </c>
      <c r="Z22" s="86">
        <f t="shared" si="10"/>
        <v>836.19</v>
      </c>
    </row>
    <row r="23" spans="1:27" ht="16.899999999999999" hidden="1" customHeight="1" x14ac:dyDescent="0.25">
      <c r="A23" s="261"/>
      <c r="B23" s="84" t="s">
        <v>72</v>
      </c>
      <c r="C23" s="113">
        <f t="shared" ref="C23:Z23" si="11">EI_RATE * C21</f>
        <v>0</v>
      </c>
      <c r="D23" s="86">
        <f t="shared" si="11"/>
        <v>0</v>
      </c>
      <c r="E23" s="113">
        <f t="shared" si="11"/>
        <v>0</v>
      </c>
      <c r="F23" s="86">
        <f t="shared" si="11"/>
        <v>0</v>
      </c>
      <c r="G23" s="113">
        <f t="shared" si="11"/>
        <v>0</v>
      </c>
      <c r="H23" s="86">
        <f t="shared" si="11"/>
        <v>0</v>
      </c>
      <c r="I23" s="113">
        <f t="shared" si="11"/>
        <v>0</v>
      </c>
      <c r="J23" s="86">
        <f t="shared" si="11"/>
        <v>0</v>
      </c>
      <c r="K23" s="113">
        <f t="shared" si="11"/>
        <v>0</v>
      </c>
      <c r="L23" s="86">
        <f t="shared" si="11"/>
        <v>0</v>
      </c>
      <c r="M23" s="113">
        <f t="shared" si="11"/>
        <v>0</v>
      </c>
      <c r="N23" s="86">
        <f t="shared" si="11"/>
        <v>0</v>
      </c>
      <c r="O23" s="113">
        <f t="shared" si="11"/>
        <v>0</v>
      </c>
      <c r="P23" s="86">
        <f t="shared" si="11"/>
        <v>0</v>
      </c>
      <c r="Q23" s="113">
        <f t="shared" si="11"/>
        <v>0</v>
      </c>
      <c r="R23" s="86">
        <f t="shared" si="11"/>
        <v>0</v>
      </c>
      <c r="S23" s="113">
        <f t="shared" si="11"/>
        <v>0</v>
      </c>
      <c r="T23" s="86">
        <f t="shared" si="11"/>
        <v>0</v>
      </c>
      <c r="U23" s="113">
        <f t="shared" si="11"/>
        <v>0</v>
      </c>
      <c r="V23" s="86">
        <f t="shared" si="11"/>
        <v>0</v>
      </c>
      <c r="W23" s="113">
        <f t="shared" si="11"/>
        <v>0</v>
      </c>
      <c r="X23" s="86">
        <f t="shared" si="11"/>
        <v>0</v>
      </c>
      <c r="Y23" s="113">
        <f t="shared" si="11"/>
        <v>0</v>
      </c>
      <c r="Z23" s="86">
        <f t="shared" si="11"/>
        <v>0</v>
      </c>
    </row>
    <row r="24" spans="1:27" ht="16.899999999999999" hidden="1" customHeight="1" x14ac:dyDescent="0.25">
      <c r="A24" s="261"/>
      <c r="B24" s="84" t="s">
        <v>73</v>
      </c>
      <c r="C24" s="113">
        <f>MIN(C22:C23)</f>
        <v>0</v>
      </c>
      <c r="D24" s="86">
        <f t="shared" ref="D24:Z24" si="12">MIN(D22:D23)</f>
        <v>0</v>
      </c>
      <c r="E24" s="113">
        <f t="shared" si="12"/>
        <v>0</v>
      </c>
      <c r="F24" s="86">
        <f t="shared" si="12"/>
        <v>0</v>
      </c>
      <c r="G24" s="113">
        <f t="shared" si="12"/>
        <v>0</v>
      </c>
      <c r="H24" s="86">
        <f t="shared" si="12"/>
        <v>0</v>
      </c>
      <c r="I24" s="113">
        <f t="shared" si="12"/>
        <v>0</v>
      </c>
      <c r="J24" s="86">
        <f t="shared" si="12"/>
        <v>0</v>
      </c>
      <c r="K24" s="113">
        <f t="shared" si="12"/>
        <v>0</v>
      </c>
      <c r="L24" s="86">
        <f t="shared" si="12"/>
        <v>0</v>
      </c>
      <c r="M24" s="113">
        <f t="shared" si="12"/>
        <v>0</v>
      </c>
      <c r="N24" s="86">
        <f t="shared" si="12"/>
        <v>0</v>
      </c>
      <c r="O24" s="113">
        <f t="shared" si="12"/>
        <v>0</v>
      </c>
      <c r="P24" s="86">
        <f t="shared" si="12"/>
        <v>0</v>
      </c>
      <c r="Q24" s="113">
        <f t="shared" si="12"/>
        <v>0</v>
      </c>
      <c r="R24" s="86">
        <f t="shared" si="12"/>
        <v>0</v>
      </c>
      <c r="S24" s="113">
        <f t="shared" si="12"/>
        <v>0</v>
      </c>
      <c r="T24" s="86">
        <f t="shared" si="12"/>
        <v>0</v>
      </c>
      <c r="U24" s="113">
        <f t="shared" si="12"/>
        <v>0</v>
      </c>
      <c r="V24" s="86">
        <f t="shared" si="12"/>
        <v>0</v>
      </c>
      <c r="W24" s="113">
        <f t="shared" si="12"/>
        <v>0</v>
      </c>
      <c r="X24" s="86">
        <f t="shared" si="12"/>
        <v>0</v>
      </c>
      <c r="Y24" s="113">
        <f t="shared" si="12"/>
        <v>0</v>
      </c>
      <c r="Z24" s="86">
        <f t="shared" si="12"/>
        <v>0</v>
      </c>
    </row>
    <row r="25" spans="1:27" x14ac:dyDescent="0.25">
      <c r="A25" s="261"/>
      <c r="B25" s="84" t="s">
        <v>8</v>
      </c>
      <c r="C25" s="113">
        <f t="shared" ref="C25:Z25" si="13">IF(C24&lt;0,0,ROUND(C24,2))</f>
        <v>0</v>
      </c>
      <c r="D25" s="86">
        <f t="shared" si="13"/>
        <v>0</v>
      </c>
      <c r="E25" s="113">
        <f t="shared" si="13"/>
        <v>0</v>
      </c>
      <c r="F25" s="86">
        <f t="shared" si="13"/>
        <v>0</v>
      </c>
      <c r="G25" s="113">
        <f t="shared" si="13"/>
        <v>0</v>
      </c>
      <c r="H25" s="86">
        <f t="shared" si="13"/>
        <v>0</v>
      </c>
      <c r="I25" s="113">
        <f t="shared" si="13"/>
        <v>0</v>
      </c>
      <c r="J25" s="86">
        <f t="shared" si="13"/>
        <v>0</v>
      </c>
      <c r="K25" s="113">
        <f t="shared" si="13"/>
        <v>0</v>
      </c>
      <c r="L25" s="86">
        <f t="shared" si="13"/>
        <v>0</v>
      </c>
      <c r="M25" s="113">
        <f t="shared" si="13"/>
        <v>0</v>
      </c>
      <c r="N25" s="86">
        <f t="shared" si="13"/>
        <v>0</v>
      </c>
      <c r="O25" s="113">
        <f t="shared" si="13"/>
        <v>0</v>
      </c>
      <c r="P25" s="86">
        <f t="shared" si="13"/>
        <v>0</v>
      </c>
      <c r="Q25" s="113">
        <f t="shared" si="13"/>
        <v>0</v>
      </c>
      <c r="R25" s="86">
        <f t="shared" si="13"/>
        <v>0</v>
      </c>
      <c r="S25" s="113">
        <f t="shared" si="13"/>
        <v>0</v>
      </c>
      <c r="T25" s="86">
        <f t="shared" si="13"/>
        <v>0</v>
      </c>
      <c r="U25" s="113">
        <f t="shared" si="13"/>
        <v>0</v>
      </c>
      <c r="V25" s="86">
        <f t="shared" si="13"/>
        <v>0</v>
      </c>
      <c r="W25" s="113">
        <f t="shared" si="13"/>
        <v>0</v>
      </c>
      <c r="X25" s="86">
        <f t="shared" si="13"/>
        <v>0</v>
      </c>
      <c r="Y25" s="113">
        <f t="shared" si="13"/>
        <v>0</v>
      </c>
      <c r="Z25" s="86">
        <f t="shared" si="13"/>
        <v>0</v>
      </c>
      <c r="AA25" s="3">
        <f>SUM(C25:Z25)</f>
        <v>0</v>
      </c>
    </row>
    <row r="26" spans="1:27" ht="14.45" hidden="1" customHeight="1" x14ac:dyDescent="0.25">
      <c r="A26" s="261"/>
      <c r="B26" s="84" t="s">
        <v>88</v>
      </c>
      <c r="C26" s="113">
        <f t="shared" ref="C26:Z26" si="14">UOFC_N_R  * (C8 + C51 - C11 - C12 - C13)</f>
        <v>0</v>
      </c>
      <c r="D26" s="86">
        <f t="shared" si="14"/>
        <v>0</v>
      </c>
      <c r="E26" s="113">
        <f t="shared" si="14"/>
        <v>0</v>
      </c>
      <c r="F26" s="86">
        <f t="shared" si="14"/>
        <v>0</v>
      </c>
      <c r="G26" s="113">
        <f t="shared" si="14"/>
        <v>0</v>
      </c>
      <c r="H26" s="86">
        <f t="shared" si="14"/>
        <v>0</v>
      </c>
      <c r="I26" s="113">
        <f t="shared" si="14"/>
        <v>0</v>
      </c>
      <c r="J26" s="86">
        <f t="shared" si="14"/>
        <v>0</v>
      </c>
      <c r="K26" s="113">
        <f t="shared" si="14"/>
        <v>0</v>
      </c>
      <c r="L26" s="86">
        <f t="shared" si="14"/>
        <v>0</v>
      </c>
      <c r="M26" s="113">
        <f t="shared" si="14"/>
        <v>0</v>
      </c>
      <c r="N26" s="86">
        <f t="shared" si="14"/>
        <v>0</v>
      </c>
      <c r="O26" s="113">
        <f t="shared" si="14"/>
        <v>0</v>
      </c>
      <c r="P26" s="86">
        <f t="shared" si="14"/>
        <v>0</v>
      </c>
      <c r="Q26" s="113">
        <f t="shared" si="14"/>
        <v>0</v>
      </c>
      <c r="R26" s="86">
        <f t="shared" si="14"/>
        <v>0</v>
      </c>
      <c r="S26" s="113">
        <f t="shared" si="14"/>
        <v>0</v>
      </c>
      <c r="T26" s="86">
        <f t="shared" si="14"/>
        <v>0</v>
      </c>
      <c r="U26" s="113">
        <f t="shared" si="14"/>
        <v>0</v>
      </c>
      <c r="V26" s="86">
        <f t="shared" si="14"/>
        <v>0</v>
      </c>
      <c r="W26" s="113">
        <f t="shared" si="14"/>
        <v>0</v>
      </c>
      <c r="X26" s="86">
        <f t="shared" si="14"/>
        <v>0</v>
      </c>
      <c r="Y26" s="113">
        <f t="shared" si="14"/>
        <v>0</v>
      </c>
      <c r="Z26" s="86">
        <f t="shared" si="14"/>
        <v>0</v>
      </c>
    </row>
    <row r="27" spans="1:27" ht="14.45" hidden="1" customHeight="1" x14ac:dyDescent="0.25">
      <c r="A27" s="261"/>
      <c r="B27" s="84" t="s">
        <v>89</v>
      </c>
      <c r="C27" s="113">
        <f t="shared" ref="C27:Z27" si="15">VLOOKUP(C26,FED_RATE_TABLE,2,TRUE)</f>
        <v>0.15</v>
      </c>
      <c r="D27" s="86">
        <f t="shared" si="15"/>
        <v>0.15</v>
      </c>
      <c r="E27" s="113">
        <f t="shared" si="15"/>
        <v>0.15</v>
      </c>
      <c r="F27" s="86">
        <f t="shared" si="15"/>
        <v>0.15</v>
      </c>
      <c r="G27" s="113">
        <f t="shared" si="15"/>
        <v>0.15</v>
      </c>
      <c r="H27" s="86">
        <f t="shared" si="15"/>
        <v>0.15</v>
      </c>
      <c r="I27" s="113">
        <f t="shared" si="15"/>
        <v>0.15</v>
      </c>
      <c r="J27" s="86">
        <f t="shared" si="15"/>
        <v>0.15</v>
      </c>
      <c r="K27" s="113">
        <f t="shared" si="15"/>
        <v>0.15</v>
      </c>
      <c r="L27" s="86">
        <f t="shared" si="15"/>
        <v>0.15</v>
      </c>
      <c r="M27" s="113">
        <f t="shared" si="15"/>
        <v>0.15</v>
      </c>
      <c r="N27" s="86">
        <f t="shared" si="15"/>
        <v>0.15</v>
      </c>
      <c r="O27" s="113">
        <f t="shared" si="15"/>
        <v>0.15</v>
      </c>
      <c r="P27" s="86">
        <f t="shared" si="15"/>
        <v>0.15</v>
      </c>
      <c r="Q27" s="113">
        <f t="shared" si="15"/>
        <v>0.15</v>
      </c>
      <c r="R27" s="86">
        <f t="shared" si="15"/>
        <v>0.15</v>
      </c>
      <c r="S27" s="113">
        <f t="shared" si="15"/>
        <v>0.15</v>
      </c>
      <c r="T27" s="86">
        <f t="shared" si="15"/>
        <v>0.15</v>
      </c>
      <c r="U27" s="113">
        <f t="shared" si="15"/>
        <v>0.15</v>
      </c>
      <c r="V27" s="86">
        <f t="shared" si="15"/>
        <v>0.15</v>
      </c>
      <c r="W27" s="113">
        <f t="shared" si="15"/>
        <v>0.15</v>
      </c>
      <c r="X27" s="86">
        <f t="shared" si="15"/>
        <v>0.15</v>
      </c>
      <c r="Y27" s="113">
        <f t="shared" si="15"/>
        <v>0.15</v>
      </c>
      <c r="Z27" s="86">
        <f t="shared" si="15"/>
        <v>0.15</v>
      </c>
    </row>
    <row r="28" spans="1:27" ht="14.45" hidden="1" customHeight="1" x14ac:dyDescent="0.25">
      <c r="A28" s="261"/>
      <c r="B28" s="84" t="s">
        <v>90</v>
      </c>
      <c r="C28" s="113">
        <f t="shared" ref="C28:Z28" si="16">VLOOKUP(C26,FED_RATE_TABLE,3,TRUE)</f>
        <v>0</v>
      </c>
      <c r="D28" s="86">
        <f t="shared" si="16"/>
        <v>0</v>
      </c>
      <c r="E28" s="113">
        <f t="shared" si="16"/>
        <v>0</v>
      </c>
      <c r="F28" s="86">
        <f t="shared" si="16"/>
        <v>0</v>
      </c>
      <c r="G28" s="113">
        <f t="shared" si="16"/>
        <v>0</v>
      </c>
      <c r="H28" s="86">
        <f t="shared" si="16"/>
        <v>0</v>
      </c>
      <c r="I28" s="113">
        <f t="shared" si="16"/>
        <v>0</v>
      </c>
      <c r="J28" s="86">
        <f t="shared" si="16"/>
        <v>0</v>
      </c>
      <c r="K28" s="113">
        <f t="shared" si="16"/>
        <v>0</v>
      </c>
      <c r="L28" s="86">
        <f t="shared" si="16"/>
        <v>0</v>
      </c>
      <c r="M28" s="113">
        <f t="shared" si="16"/>
        <v>0</v>
      </c>
      <c r="N28" s="86">
        <f t="shared" si="16"/>
        <v>0</v>
      </c>
      <c r="O28" s="113">
        <f t="shared" si="16"/>
        <v>0</v>
      </c>
      <c r="P28" s="86">
        <f t="shared" si="16"/>
        <v>0</v>
      </c>
      <c r="Q28" s="113">
        <f t="shared" si="16"/>
        <v>0</v>
      </c>
      <c r="R28" s="86">
        <f t="shared" si="16"/>
        <v>0</v>
      </c>
      <c r="S28" s="113">
        <f t="shared" si="16"/>
        <v>0</v>
      </c>
      <c r="T28" s="86">
        <f t="shared" si="16"/>
        <v>0</v>
      </c>
      <c r="U28" s="113">
        <f t="shared" si="16"/>
        <v>0</v>
      </c>
      <c r="V28" s="86">
        <f t="shared" si="16"/>
        <v>0</v>
      </c>
      <c r="W28" s="113">
        <f t="shared" si="16"/>
        <v>0</v>
      </c>
      <c r="X28" s="86">
        <f t="shared" si="16"/>
        <v>0</v>
      </c>
      <c r="Y28" s="113">
        <f t="shared" si="16"/>
        <v>0</v>
      </c>
      <c r="Z28" s="86">
        <f t="shared" si="16"/>
        <v>0</v>
      </c>
    </row>
    <row r="29" spans="1:27" ht="14.45" hidden="1" customHeight="1" x14ac:dyDescent="0.25">
      <c r="A29" s="261"/>
      <c r="B29" s="84" t="s">
        <v>91</v>
      </c>
      <c r="C29" s="113">
        <f>Gov.Tax.Calcs!$E$15</f>
        <v>0</v>
      </c>
      <c r="D29" s="86">
        <f>Gov.Tax.Calcs!$E$15</f>
        <v>0</v>
      </c>
      <c r="E29" s="113">
        <f>Gov.Tax.Calcs!$E$15</f>
        <v>0</v>
      </c>
      <c r="F29" s="86">
        <f>Gov.Tax.Calcs!$E$15</f>
        <v>0</v>
      </c>
      <c r="G29" s="113">
        <f>Gov.Tax.Calcs!$E$15</f>
        <v>0</v>
      </c>
      <c r="H29" s="86">
        <f>Gov.Tax.Calcs!$E$15</f>
        <v>0</v>
      </c>
      <c r="I29" s="113">
        <f>Gov.Tax.Calcs!$E$15</f>
        <v>0</v>
      </c>
      <c r="J29" s="86">
        <f>Gov.Tax.Calcs!$E$15</f>
        <v>0</v>
      </c>
      <c r="K29" s="113">
        <f>Gov.Tax.Calcs!$E$15</f>
        <v>0</v>
      </c>
      <c r="L29" s="86">
        <f>Gov.Tax.Calcs!$E$15</f>
        <v>0</v>
      </c>
      <c r="M29" s="113">
        <f>Gov.Tax.Calcs!$E$15</f>
        <v>0</v>
      </c>
      <c r="N29" s="86">
        <f>Gov.Tax.Calcs!$E$15</f>
        <v>0</v>
      </c>
      <c r="O29" s="113">
        <f>Gov.Tax.Calcs!$E$15</f>
        <v>0</v>
      </c>
      <c r="P29" s="86">
        <f>Gov.Tax.Calcs!$E$15</f>
        <v>0</v>
      </c>
      <c r="Q29" s="113">
        <f>Gov.Tax.Calcs!$E$15</f>
        <v>0</v>
      </c>
      <c r="R29" s="86">
        <f>Gov.Tax.Calcs!$E$15</f>
        <v>0</v>
      </c>
      <c r="S29" s="113">
        <f>Gov.Tax.Calcs!$E$15</f>
        <v>0</v>
      </c>
      <c r="T29" s="86">
        <f>Gov.Tax.Calcs!$E$15</f>
        <v>0</v>
      </c>
      <c r="U29" s="113">
        <f>Gov.Tax.Calcs!$E$15</f>
        <v>0</v>
      </c>
      <c r="V29" s="86">
        <f>Gov.Tax.Calcs!$E$15</f>
        <v>0</v>
      </c>
      <c r="W29" s="113">
        <f>Gov.Tax.Calcs!$E$15</f>
        <v>0</v>
      </c>
      <c r="X29" s="86">
        <f>Gov.Tax.Calcs!$E$15</f>
        <v>0</v>
      </c>
      <c r="Y29" s="113">
        <f>Gov.Tax.Calcs!$E$15</f>
        <v>0</v>
      </c>
      <c r="Z29" s="86">
        <f>Gov.Tax.Calcs!$E$15</f>
        <v>0</v>
      </c>
    </row>
    <row r="30" spans="1:27" ht="14.45" hidden="1" customHeight="1" x14ac:dyDescent="0.25">
      <c r="A30" s="261"/>
      <c r="B30" s="84" t="s">
        <v>92</v>
      </c>
      <c r="C30" s="113">
        <f t="shared" ref="C30:Z30" si="17">VLOOKUP(C29,CLAIM_CODE_TABLE,3,FALSE)</f>
        <v>0</v>
      </c>
      <c r="D30" s="86">
        <f t="shared" si="17"/>
        <v>0</v>
      </c>
      <c r="E30" s="113">
        <f t="shared" si="17"/>
        <v>0</v>
      </c>
      <c r="F30" s="86">
        <f t="shared" si="17"/>
        <v>0</v>
      </c>
      <c r="G30" s="113">
        <f t="shared" si="17"/>
        <v>0</v>
      </c>
      <c r="H30" s="86">
        <f t="shared" si="17"/>
        <v>0</v>
      </c>
      <c r="I30" s="113">
        <f t="shared" si="17"/>
        <v>0</v>
      </c>
      <c r="J30" s="86">
        <f t="shared" si="17"/>
        <v>0</v>
      </c>
      <c r="K30" s="113">
        <f t="shared" si="17"/>
        <v>0</v>
      </c>
      <c r="L30" s="86">
        <f t="shared" si="17"/>
        <v>0</v>
      </c>
      <c r="M30" s="113">
        <f t="shared" si="17"/>
        <v>0</v>
      </c>
      <c r="N30" s="86">
        <f t="shared" si="17"/>
        <v>0</v>
      </c>
      <c r="O30" s="113">
        <f t="shared" si="17"/>
        <v>0</v>
      </c>
      <c r="P30" s="86">
        <f t="shared" si="17"/>
        <v>0</v>
      </c>
      <c r="Q30" s="113">
        <f t="shared" si="17"/>
        <v>0</v>
      </c>
      <c r="R30" s="86">
        <f t="shared" si="17"/>
        <v>0</v>
      </c>
      <c r="S30" s="113">
        <f t="shared" si="17"/>
        <v>0</v>
      </c>
      <c r="T30" s="86">
        <f t="shared" si="17"/>
        <v>0</v>
      </c>
      <c r="U30" s="113">
        <f t="shared" si="17"/>
        <v>0</v>
      </c>
      <c r="V30" s="86">
        <f t="shared" si="17"/>
        <v>0</v>
      </c>
      <c r="W30" s="113">
        <f t="shared" si="17"/>
        <v>0</v>
      </c>
      <c r="X30" s="86">
        <f t="shared" si="17"/>
        <v>0</v>
      </c>
      <c r="Y30" s="113">
        <f t="shared" si="17"/>
        <v>0</v>
      </c>
      <c r="Z30" s="86">
        <f t="shared" si="17"/>
        <v>0</v>
      </c>
    </row>
    <row r="31" spans="1:27" ht="14.45" hidden="1" customHeight="1" x14ac:dyDescent="0.25">
      <c r="A31" s="261"/>
      <c r="B31" s="84" t="s">
        <v>93</v>
      </c>
      <c r="C31" s="113">
        <f t="shared" ref="C31:Z31" si="18" xml:space="preserve"> 15% * (UOFC_N_R * (C19 + C25))</f>
        <v>0</v>
      </c>
      <c r="D31" s="86">
        <f t="shared" si="18"/>
        <v>0</v>
      </c>
      <c r="E31" s="113">
        <f t="shared" si="18"/>
        <v>0</v>
      </c>
      <c r="F31" s="86">
        <f t="shared" si="18"/>
        <v>0</v>
      </c>
      <c r="G31" s="113">
        <f t="shared" si="18"/>
        <v>0</v>
      </c>
      <c r="H31" s="86">
        <f t="shared" si="18"/>
        <v>0</v>
      </c>
      <c r="I31" s="113">
        <f t="shared" si="18"/>
        <v>0</v>
      </c>
      <c r="J31" s="86">
        <f t="shared" si="18"/>
        <v>0</v>
      </c>
      <c r="K31" s="113">
        <f t="shared" si="18"/>
        <v>0</v>
      </c>
      <c r="L31" s="86">
        <f t="shared" si="18"/>
        <v>0</v>
      </c>
      <c r="M31" s="113">
        <f t="shared" si="18"/>
        <v>0</v>
      </c>
      <c r="N31" s="86">
        <f t="shared" si="18"/>
        <v>0</v>
      </c>
      <c r="O31" s="113">
        <f t="shared" si="18"/>
        <v>0</v>
      </c>
      <c r="P31" s="86">
        <f t="shared" si="18"/>
        <v>0</v>
      </c>
      <c r="Q31" s="113">
        <f t="shared" si="18"/>
        <v>0</v>
      </c>
      <c r="R31" s="86">
        <f t="shared" si="18"/>
        <v>0</v>
      </c>
      <c r="S31" s="113">
        <f t="shared" si="18"/>
        <v>0</v>
      </c>
      <c r="T31" s="86">
        <f t="shared" si="18"/>
        <v>0</v>
      </c>
      <c r="U31" s="113">
        <f t="shared" si="18"/>
        <v>0</v>
      </c>
      <c r="V31" s="86">
        <f t="shared" si="18"/>
        <v>0</v>
      </c>
      <c r="W31" s="113">
        <f t="shared" si="18"/>
        <v>0</v>
      </c>
      <c r="X31" s="86">
        <f t="shared" si="18"/>
        <v>0</v>
      </c>
      <c r="Y31" s="113">
        <f t="shared" si="18"/>
        <v>0</v>
      </c>
      <c r="Z31" s="86">
        <f t="shared" si="18"/>
        <v>0</v>
      </c>
    </row>
    <row r="32" spans="1:27" ht="14.45" hidden="1" customHeight="1" x14ac:dyDescent="0.25">
      <c r="A32" s="261"/>
      <c r="B32" s="84" t="s">
        <v>95</v>
      </c>
      <c r="C32" s="113">
        <f t="shared" ref="C32:Z32" si="19">15% * CANADA_EMP_CREDIT</f>
        <v>176.7</v>
      </c>
      <c r="D32" s="86">
        <f t="shared" si="19"/>
        <v>176.7</v>
      </c>
      <c r="E32" s="113">
        <f t="shared" si="19"/>
        <v>176.7</v>
      </c>
      <c r="F32" s="86">
        <f t="shared" si="19"/>
        <v>176.7</v>
      </c>
      <c r="G32" s="113">
        <f t="shared" si="19"/>
        <v>176.7</v>
      </c>
      <c r="H32" s="86">
        <f t="shared" si="19"/>
        <v>176.7</v>
      </c>
      <c r="I32" s="113">
        <f t="shared" si="19"/>
        <v>176.7</v>
      </c>
      <c r="J32" s="86">
        <f t="shared" si="19"/>
        <v>176.7</v>
      </c>
      <c r="K32" s="113">
        <f t="shared" si="19"/>
        <v>176.7</v>
      </c>
      <c r="L32" s="86">
        <f t="shared" si="19"/>
        <v>176.7</v>
      </c>
      <c r="M32" s="113">
        <f t="shared" si="19"/>
        <v>176.7</v>
      </c>
      <c r="N32" s="86">
        <f t="shared" si="19"/>
        <v>176.7</v>
      </c>
      <c r="O32" s="113">
        <f t="shared" si="19"/>
        <v>176.7</v>
      </c>
      <c r="P32" s="86">
        <f t="shared" si="19"/>
        <v>176.7</v>
      </c>
      <c r="Q32" s="113">
        <f t="shared" si="19"/>
        <v>176.7</v>
      </c>
      <c r="R32" s="86">
        <f t="shared" si="19"/>
        <v>176.7</v>
      </c>
      <c r="S32" s="113">
        <f t="shared" si="19"/>
        <v>176.7</v>
      </c>
      <c r="T32" s="86">
        <f t="shared" si="19"/>
        <v>176.7</v>
      </c>
      <c r="U32" s="113">
        <f t="shared" si="19"/>
        <v>176.7</v>
      </c>
      <c r="V32" s="86">
        <f t="shared" si="19"/>
        <v>176.7</v>
      </c>
      <c r="W32" s="113">
        <f t="shared" si="19"/>
        <v>176.7</v>
      </c>
      <c r="X32" s="86">
        <f t="shared" si="19"/>
        <v>176.7</v>
      </c>
      <c r="Y32" s="113">
        <f t="shared" si="19"/>
        <v>176.7</v>
      </c>
      <c r="Z32" s="86">
        <f t="shared" si="19"/>
        <v>176.7</v>
      </c>
    </row>
    <row r="33" spans="1:27" x14ac:dyDescent="0.25">
      <c r="A33" s="261"/>
      <c r="B33" s="84" t="s">
        <v>9</v>
      </c>
      <c r="C33" s="113">
        <f t="shared" ref="C33:Z33" si="20">IF(C8=0,0,ROUND(((C27 * C26) - C28 - C30 - C31 - C32) / UOFC_N_R,2))</f>
        <v>0</v>
      </c>
      <c r="D33" s="86">
        <f t="shared" si="20"/>
        <v>0</v>
      </c>
      <c r="E33" s="113">
        <f t="shared" si="20"/>
        <v>0</v>
      </c>
      <c r="F33" s="86">
        <f t="shared" si="20"/>
        <v>0</v>
      </c>
      <c r="G33" s="113">
        <f t="shared" si="20"/>
        <v>0</v>
      </c>
      <c r="H33" s="86">
        <f t="shared" si="20"/>
        <v>0</v>
      </c>
      <c r="I33" s="113">
        <f t="shared" si="20"/>
        <v>0</v>
      </c>
      <c r="J33" s="86">
        <f t="shared" si="20"/>
        <v>0</v>
      </c>
      <c r="K33" s="113">
        <f t="shared" si="20"/>
        <v>0</v>
      </c>
      <c r="L33" s="86">
        <f t="shared" si="20"/>
        <v>0</v>
      </c>
      <c r="M33" s="113">
        <f t="shared" si="20"/>
        <v>0</v>
      </c>
      <c r="N33" s="86">
        <f t="shared" si="20"/>
        <v>0</v>
      </c>
      <c r="O33" s="113">
        <f t="shared" si="20"/>
        <v>0</v>
      </c>
      <c r="P33" s="86">
        <f t="shared" si="20"/>
        <v>0</v>
      </c>
      <c r="Q33" s="113">
        <f t="shared" si="20"/>
        <v>0</v>
      </c>
      <c r="R33" s="86">
        <f t="shared" si="20"/>
        <v>0</v>
      </c>
      <c r="S33" s="113">
        <f t="shared" si="20"/>
        <v>0</v>
      </c>
      <c r="T33" s="86">
        <f t="shared" si="20"/>
        <v>0</v>
      </c>
      <c r="U33" s="113">
        <f t="shared" si="20"/>
        <v>0</v>
      </c>
      <c r="V33" s="86">
        <f t="shared" si="20"/>
        <v>0</v>
      </c>
      <c r="W33" s="113">
        <f t="shared" si="20"/>
        <v>0</v>
      </c>
      <c r="X33" s="86">
        <f t="shared" si="20"/>
        <v>0</v>
      </c>
      <c r="Y33" s="113">
        <f t="shared" si="20"/>
        <v>0</v>
      </c>
      <c r="Z33" s="86">
        <f t="shared" si="20"/>
        <v>0</v>
      </c>
      <c r="AA33" s="3">
        <f>SUM(C33:Z33)</f>
        <v>0</v>
      </c>
    </row>
    <row r="34" spans="1:27" ht="14.45" hidden="1" customHeight="1" x14ac:dyDescent="0.25">
      <c r="A34" s="261"/>
      <c r="B34" s="84" t="s">
        <v>96</v>
      </c>
      <c r="C34" s="113">
        <f>C26</f>
        <v>0</v>
      </c>
      <c r="D34" s="86">
        <f t="shared" ref="D34:Z34" si="21">D26</f>
        <v>0</v>
      </c>
      <c r="E34" s="113">
        <f t="shared" si="21"/>
        <v>0</v>
      </c>
      <c r="F34" s="86">
        <f t="shared" si="21"/>
        <v>0</v>
      </c>
      <c r="G34" s="113">
        <f t="shared" si="21"/>
        <v>0</v>
      </c>
      <c r="H34" s="86">
        <f t="shared" si="21"/>
        <v>0</v>
      </c>
      <c r="I34" s="113">
        <f t="shared" si="21"/>
        <v>0</v>
      </c>
      <c r="J34" s="86">
        <f t="shared" si="21"/>
        <v>0</v>
      </c>
      <c r="K34" s="113">
        <f t="shared" si="21"/>
        <v>0</v>
      </c>
      <c r="L34" s="86">
        <f t="shared" si="21"/>
        <v>0</v>
      </c>
      <c r="M34" s="113">
        <f t="shared" si="21"/>
        <v>0</v>
      </c>
      <c r="N34" s="86">
        <f t="shared" si="21"/>
        <v>0</v>
      </c>
      <c r="O34" s="113">
        <f t="shared" si="21"/>
        <v>0</v>
      </c>
      <c r="P34" s="86">
        <f t="shared" si="21"/>
        <v>0</v>
      </c>
      <c r="Q34" s="113">
        <f t="shared" si="21"/>
        <v>0</v>
      </c>
      <c r="R34" s="86">
        <f t="shared" si="21"/>
        <v>0</v>
      </c>
      <c r="S34" s="113">
        <f t="shared" si="21"/>
        <v>0</v>
      </c>
      <c r="T34" s="86">
        <f t="shared" si="21"/>
        <v>0</v>
      </c>
      <c r="U34" s="113">
        <f t="shared" si="21"/>
        <v>0</v>
      </c>
      <c r="V34" s="86">
        <f t="shared" si="21"/>
        <v>0</v>
      </c>
      <c r="W34" s="113">
        <f t="shared" si="21"/>
        <v>0</v>
      </c>
      <c r="X34" s="86">
        <f t="shared" si="21"/>
        <v>0</v>
      </c>
      <c r="Y34" s="113">
        <f t="shared" si="21"/>
        <v>0</v>
      </c>
      <c r="Z34" s="86">
        <f t="shared" si="21"/>
        <v>0</v>
      </c>
    </row>
    <row r="35" spans="1:27" ht="16.899999999999999" hidden="1" customHeight="1" x14ac:dyDescent="0.25">
      <c r="A35" s="261"/>
      <c r="B35" s="84" t="s">
        <v>97</v>
      </c>
      <c r="C35" s="113">
        <f t="shared" ref="C35:Z35" si="22">VLOOKUP(C34,AB_RATE_TABLE,2,TRUE)</f>
        <v>0.1</v>
      </c>
      <c r="D35" s="86">
        <f t="shared" si="22"/>
        <v>0.1</v>
      </c>
      <c r="E35" s="113">
        <f t="shared" si="22"/>
        <v>0.1</v>
      </c>
      <c r="F35" s="86">
        <f t="shared" si="22"/>
        <v>0.1</v>
      </c>
      <c r="G35" s="113">
        <f t="shared" si="22"/>
        <v>0.1</v>
      </c>
      <c r="H35" s="86">
        <f t="shared" si="22"/>
        <v>0.1</v>
      </c>
      <c r="I35" s="113">
        <f t="shared" si="22"/>
        <v>0.1</v>
      </c>
      <c r="J35" s="86">
        <f t="shared" si="22"/>
        <v>0.1</v>
      </c>
      <c r="K35" s="113">
        <f t="shared" si="22"/>
        <v>0.1</v>
      </c>
      <c r="L35" s="86">
        <f t="shared" si="22"/>
        <v>0.1</v>
      </c>
      <c r="M35" s="113">
        <f t="shared" si="22"/>
        <v>0.1</v>
      </c>
      <c r="N35" s="86">
        <f t="shared" si="22"/>
        <v>0.1</v>
      </c>
      <c r="O35" s="113">
        <f t="shared" si="22"/>
        <v>0.1</v>
      </c>
      <c r="P35" s="86">
        <f t="shared" si="22"/>
        <v>0.1</v>
      </c>
      <c r="Q35" s="113">
        <f t="shared" si="22"/>
        <v>0.1</v>
      </c>
      <c r="R35" s="86">
        <f t="shared" si="22"/>
        <v>0.1</v>
      </c>
      <c r="S35" s="113">
        <f t="shared" si="22"/>
        <v>0.1</v>
      </c>
      <c r="T35" s="86">
        <f t="shared" si="22"/>
        <v>0.1</v>
      </c>
      <c r="U35" s="113">
        <f t="shared" si="22"/>
        <v>0.1</v>
      </c>
      <c r="V35" s="86">
        <f t="shared" si="22"/>
        <v>0.1</v>
      </c>
      <c r="W35" s="113">
        <f t="shared" si="22"/>
        <v>0.1</v>
      </c>
      <c r="X35" s="86">
        <f t="shared" si="22"/>
        <v>0.1</v>
      </c>
      <c r="Y35" s="113">
        <f t="shared" si="22"/>
        <v>0.1</v>
      </c>
      <c r="Z35" s="86">
        <f t="shared" si="22"/>
        <v>0.1</v>
      </c>
    </row>
    <row r="36" spans="1:27" ht="16.899999999999999" hidden="1" customHeight="1" x14ac:dyDescent="0.25">
      <c r="A36" s="261"/>
      <c r="B36" s="84" t="s">
        <v>98</v>
      </c>
      <c r="C36" s="113">
        <f t="shared" ref="C36:Z36" si="23">VLOOKUP(C34,AB_RATE_TABLE,3,TRUE)</f>
        <v>0</v>
      </c>
      <c r="D36" s="86">
        <f t="shared" si="23"/>
        <v>0</v>
      </c>
      <c r="E36" s="113">
        <f t="shared" si="23"/>
        <v>0</v>
      </c>
      <c r="F36" s="86">
        <f t="shared" si="23"/>
        <v>0</v>
      </c>
      <c r="G36" s="113">
        <f t="shared" si="23"/>
        <v>0</v>
      </c>
      <c r="H36" s="86">
        <f t="shared" si="23"/>
        <v>0</v>
      </c>
      <c r="I36" s="113">
        <f t="shared" si="23"/>
        <v>0</v>
      </c>
      <c r="J36" s="86">
        <f t="shared" si="23"/>
        <v>0</v>
      </c>
      <c r="K36" s="113">
        <f t="shared" si="23"/>
        <v>0</v>
      </c>
      <c r="L36" s="86">
        <f t="shared" si="23"/>
        <v>0</v>
      </c>
      <c r="M36" s="113">
        <f t="shared" si="23"/>
        <v>0</v>
      </c>
      <c r="N36" s="86">
        <f t="shared" si="23"/>
        <v>0</v>
      </c>
      <c r="O36" s="113">
        <f t="shared" si="23"/>
        <v>0</v>
      </c>
      <c r="P36" s="86">
        <f t="shared" si="23"/>
        <v>0</v>
      </c>
      <c r="Q36" s="113">
        <f t="shared" si="23"/>
        <v>0</v>
      </c>
      <c r="R36" s="86">
        <f t="shared" si="23"/>
        <v>0</v>
      </c>
      <c r="S36" s="113">
        <f t="shared" si="23"/>
        <v>0</v>
      </c>
      <c r="T36" s="86">
        <f t="shared" si="23"/>
        <v>0</v>
      </c>
      <c r="U36" s="113">
        <f t="shared" si="23"/>
        <v>0</v>
      </c>
      <c r="V36" s="86">
        <f t="shared" si="23"/>
        <v>0</v>
      </c>
      <c r="W36" s="113">
        <f t="shared" si="23"/>
        <v>0</v>
      </c>
      <c r="X36" s="86">
        <f t="shared" si="23"/>
        <v>0</v>
      </c>
      <c r="Y36" s="113">
        <f t="shared" si="23"/>
        <v>0</v>
      </c>
      <c r="Z36" s="86">
        <f t="shared" si="23"/>
        <v>0</v>
      </c>
    </row>
    <row r="37" spans="1:27" ht="16.899999999999999" hidden="1" customHeight="1" x14ac:dyDescent="0.25">
      <c r="A37" s="261"/>
      <c r="B37" s="84" t="s">
        <v>99</v>
      </c>
      <c r="C37" s="113">
        <f>Gov.Tax.Calcs!$E$16</f>
        <v>0</v>
      </c>
      <c r="D37" s="86">
        <f>Gov.Tax.Calcs!$E$16</f>
        <v>0</v>
      </c>
      <c r="E37" s="113">
        <f>Gov.Tax.Calcs!$E$16</f>
        <v>0</v>
      </c>
      <c r="F37" s="86">
        <f>Gov.Tax.Calcs!$E$16</f>
        <v>0</v>
      </c>
      <c r="G37" s="113">
        <f>Gov.Tax.Calcs!$E$16</f>
        <v>0</v>
      </c>
      <c r="H37" s="86">
        <f>Gov.Tax.Calcs!$E$16</f>
        <v>0</v>
      </c>
      <c r="I37" s="113">
        <f>Gov.Tax.Calcs!$E$16</f>
        <v>0</v>
      </c>
      <c r="J37" s="86">
        <f>Gov.Tax.Calcs!$E$16</f>
        <v>0</v>
      </c>
      <c r="K37" s="113">
        <f>Gov.Tax.Calcs!$E$16</f>
        <v>0</v>
      </c>
      <c r="L37" s="86">
        <f>Gov.Tax.Calcs!$E$16</f>
        <v>0</v>
      </c>
      <c r="M37" s="113">
        <f>Gov.Tax.Calcs!$E$16</f>
        <v>0</v>
      </c>
      <c r="N37" s="86">
        <f>Gov.Tax.Calcs!$E$16</f>
        <v>0</v>
      </c>
      <c r="O37" s="113">
        <f>Gov.Tax.Calcs!$E$16</f>
        <v>0</v>
      </c>
      <c r="P37" s="86">
        <f>Gov.Tax.Calcs!$E$16</f>
        <v>0</v>
      </c>
      <c r="Q37" s="113">
        <f>Gov.Tax.Calcs!$E$16</f>
        <v>0</v>
      </c>
      <c r="R37" s="86">
        <f>Gov.Tax.Calcs!$E$16</f>
        <v>0</v>
      </c>
      <c r="S37" s="113">
        <f>Gov.Tax.Calcs!$E$16</f>
        <v>0</v>
      </c>
      <c r="T37" s="86">
        <f>Gov.Tax.Calcs!$E$16</f>
        <v>0</v>
      </c>
      <c r="U37" s="113">
        <f>Gov.Tax.Calcs!$E$16</f>
        <v>0</v>
      </c>
      <c r="V37" s="86">
        <f>Gov.Tax.Calcs!$E$16</f>
        <v>0</v>
      </c>
      <c r="W37" s="113">
        <f>Gov.Tax.Calcs!$E$16</f>
        <v>0</v>
      </c>
      <c r="X37" s="86">
        <f>Gov.Tax.Calcs!$E$16</f>
        <v>0</v>
      </c>
      <c r="Y37" s="113">
        <f>Gov.Tax.Calcs!$E$16</f>
        <v>0</v>
      </c>
      <c r="Z37" s="86">
        <f>Gov.Tax.Calcs!$E$16</f>
        <v>0</v>
      </c>
    </row>
    <row r="38" spans="1:27" ht="16.899999999999999" hidden="1" customHeight="1" x14ac:dyDescent="0.25">
      <c r="A38" s="261"/>
      <c r="B38" s="84" t="s">
        <v>100</v>
      </c>
      <c r="C38" s="113">
        <f t="shared" ref="C38:Z38" si="24">VLOOKUP(C37,CLAIM_CODE_TABLE,5,FALSE)</f>
        <v>0</v>
      </c>
      <c r="D38" s="86">
        <f t="shared" si="24"/>
        <v>0</v>
      </c>
      <c r="E38" s="113">
        <f t="shared" si="24"/>
        <v>0</v>
      </c>
      <c r="F38" s="86">
        <f t="shared" si="24"/>
        <v>0</v>
      </c>
      <c r="G38" s="113">
        <f t="shared" si="24"/>
        <v>0</v>
      </c>
      <c r="H38" s="86">
        <f t="shared" si="24"/>
        <v>0</v>
      </c>
      <c r="I38" s="113">
        <f t="shared" si="24"/>
        <v>0</v>
      </c>
      <c r="J38" s="86">
        <f t="shared" si="24"/>
        <v>0</v>
      </c>
      <c r="K38" s="113">
        <f t="shared" si="24"/>
        <v>0</v>
      </c>
      <c r="L38" s="86">
        <f t="shared" si="24"/>
        <v>0</v>
      </c>
      <c r="M38" s="113">
        <f t="shared" si="24"/>
        <v>0</v>
      </c>
      <c r="N38" s="86">
        <f t="shared" si="24"/>
        <v>0</v>
      </c>
      <c r="O38" s="113">
        <f t="shared" si="24"/>
        <v>0</v>
      </c>
      <c r="P38" s="86">
        <f t="shared" si="24"/>
        <v>0</v>
      </c>
      <c r="Q38" s="113">
        <f t="shared" si="24"/>
        <v>0</v>
      </c>
      <c r="R38" s="86">
        <f t="shared" si="24"/>
        <v>0</v>
      </c>
      <c r="S38" s="113">
        <f t="shared" si="24"/>
        <v>0</v>
      </c>
      <c r="T38" s="86">
        <f t="shared" si="24"/>
        <v>0</v>
      </c>
      <c r="U38" s="113">
        <f t="shared" si="24"/>
        <v>0</v>
      </c>
      <c r="V38" s="86">
        <f t="shared" si="24"/>
        <v>0</v>
      </c>
      <c r="W38" s="113">
        <f t="shared" si="24"/>
        <v>0</v>
      </c>
      <c r="X38" s="86">
        <f t="shared" si="24"/>
        <v>0</v>
      </c>
      <c r="Y38" s="113">
        <f t="shared" si="24"/>
        <v>0</v>
      </c>
      <c r="Z38" s="86">
        <f t="shared" si="24"/>
        <v>0</v>
      </c>
    </row>
    <row r="39" spans="1:27" ht="16.899999999999999" hidden="1" customHeight="1" x14ac:dyDescent="0.25">
      <c r="A39" s="261"/>
      <c r="B39" s="84" t="s">
        <v>101</v>
      </c>
      <c r="C39" s="113">
        <f t="shared" ref="C39:Z39" si="25" xml:space="preserve"> 10% * (UOFC_N_R * (C19+C25))</f>
        <v>0</v>
      </c>
      <c r="D39" s="86">
        <f t="shared" si="25"/>
        <v>0</v>
      </c>
      <c r="E39" s="113">
        <f t="shared" si="25"/>
        <v>0</v>
      </c>
      <c r="F39" s="86">
        <f t="shared" si="25"/>
        <v>0</v>
      </c>
      <c r="G39" s="113">
        <f t="shared" si="25"/>
        <v>0</v>
      </c>
      <c r="H39" s="86">
        <f t="shared" si="25"/>
        <v>0</v>
      </c>
      <c r="I39" s="113">
        <f t="shared" si="25"/>
        <v>0</v>
      </c>
      <c r="J39" s="86">
        <f t="shared" si="25"/>
        <v>0</v>
      </c>
      <c r="K39" s="113">
        <f t="shared" si="25"/>
        <v>0</v>
      </c>
      <c r="L39" s="86">
        <f t="shared" si="25"/>
        <v>0</v>
      </c>
      <c r="M39" s="113">
        <f t="shared" si="25"/>
        <v>0</v>
      </c>
      <c r="N39" s="86">
        <f t="shared" si="25"/>
        <v>0</v>
      </c>
      <c r="O39" s="113">
        <f t="shared" si="25"/>
        <v>0</v>
      </c>
      <c r="P39" s="86">
        <f t="shared" si="25"/>
        <v>0</v>
      </c>
      <c r="Q39" s="113">
        <f t="shared" si="25"/>
        <v>0</v>
      </c>
      <c r="R39" s="86">
        <f t="shared" si="25"/>
        <v>0</v>
      </c>
      <c r="S39" s="113">
        <f t="shared" si="25"/>
        <v>0</v>
      </c>
      <c r="T39" s="86">
        <f t="shared" si="25"/>
        <v>0</v>
      </c>
      <c r="U39" s="113">
        <f t="shared" si="25"/>
        <v>0</v>
      </c>
      <c r="V39" s="86">
        <f t="shared" si="25"/>
        <v>0</v>
      </c>
      <c r="W39" s="113">
        <f t="shared" si="25"/>
        <v>0</v>
      </c>
      <c r="X39" s="86">
        <f t="shared" si="25"/>
        <v>0</v>
      </c>
      <c r="Y39" s="113">
        <f t="shared" si="25"/>
        <v>0</v>
      </c>
      <c r="Z39" s="86">
        <f t="shared" si="25"/>
        <v>0</v>
      </c>
    </row>
    <row r="40" spans="1:27" ht="16.899999999999999" customHeight="1" x14ac:dyDescent="0.25">
      <c r="A40" s="261"/>
      <c r="B40" s="84" t="s">
        <v>10</v>
      </c>
      <c r="C40" s="113">
        <f t="shared" ref="C40:Z40" si="26">IF(C8=0,0,ROUND(( (C34 * C35) -C38 - C39) / UOFC_N_R,2))</f>
        <v>0</v>
      </c>
      <c r="D40" s="86">
        <f t="shared" si="26"/>
        <v>0</v>
      </c>
      <c r="E40" s="113">
        <f t="shared" si="26"/>
        <v>0</v>
      </c>
      <c r="F40" s="86">
        <f t="shared" si="26"/>
        <v>0</v>
      </c>
      <c r="G40" s="113">
        <f t="shared" si="26"/>
        <v>0</v>
      </c>
      <c r="H40" s="86">
        <f t="shared" si="26"/>
        <v>0</v>
      </c>
      <c r="I40" s="113">
        <f t="shared" si="26"/>
        <v>0</v>
      </c>
      <c r="J40" s="86">
        <f t="shared" si="26"/>
        <v>0</v>
      </c>
      <c r="K40" s="113">
        <f t="shared" si="26"/>
        <v>0</v>
      </c>
      <c r="L40" s="86">
        <f t="shared" si="26"/>
        <v>0</v>
      </c>
      <c r="M40" s="113">
        <f t="shared" si="26"/>
        <v>0</v>
      </c>
      <c r="N40" s="86">
        <f t="shared" si="26"/>
        <v>0</v>
      </c>
      <c r="O40" s="113">
        <f t="shared" si="26"/>
        <v>0</v>
      </c>
      <c r="P40" s="86">
        <f t="shared" si="26"/>
        <v>0</v>
      </c>
      <c r="Q40" s="113">
        <f t="shared" si="26"/>
        <v>0</v>
      </c>
      <c r="R40" s="86">
        <f t="shared" si="26"/>
        <v>0</v>
      </c>
      <c r="S40" s="113">
        <f t="shared" si="26"/>
        <v>0</v>
      </c>
      <c r="T40" s="86">
        <f t="shared" si="26"/>
        <v>0</v>
      </c>
      <c r="U40" s="113">
        <f t="shared" si="26"/>
        <v>0</v>
      </c>
      <c r="V40" s="86">
        <f t="shared" si="26"/>
        <v>0</v>
      </c>
      <c r="W40" s="113">
        <f t="shared" si="26"/>
        <v>0</v>
      </c>
      <c r="X40" s="86">
        <f t="shared" si="26"/>
        <v>0</v>
      </c>
      <c r="Y40" s="113">
        <f t="shared" si="26"/>
        <v>0</v>
      </c>
      <c r="Z40" s="86">
        <f t="shared" si="26"/>
        <v>0</v>
      </c>
      <c r="AA40" s="3">
        <f>SUM(C40:Z40)</f>
        <v>0</v>
      </c>
    </row>
    <row r="41" spans="1:27" ht="16.899999999999999" hidden="1" customHeight="1" x14ac:dyDescent="0.25">
      <c r="A41" s="261"/>
      <c r="B41" s="84" t="s">
        <v>11</v>
      </c>
      <c r="C41" s="113">
        <v>0</v>
      </c>
      <c r="D41" s="86">
        <v>0</v>
      </c>
      <c r="E41" s="113">
        <v>0</v>
      </c>
      <c r="F41" s="86">
        <v>0</v>
      </c>
      <c r="G41" s="113">
        <v>0</v>
      </c>
      <c r="H41" s="86">
        <v>0</v>
      </c>
      <c r="I41" s="113">
        <v>0</v>
      </c>
      <c r="J41" s="86">
        <v>0</v>
      </c>
      <c r="K41" s="113">
        <v>0</v>
      </c>
      <c r="L41" s="86">
        <v>0</v>
      </c>
      <c r="M41" s="113">
        <v>0</v>
      </c>
      <c r="N41" s="86">
        <v>0</v>
      </c>
      <c r="O41" s="113">
        <v>0</v>
      </c>
      <c r="P41" s="86">
        <v>0</v>
      </c>
      <c r="Q41" s="113">
        <v>0</v>
      </c>
      <c r="R41" s="86">
        <v>0</v>
      </c>
      <c r="S41" s="113">
        <v>0</v>
      </c>
      <c r="T41" s="86">
        <v>0</v>
      </c>
      <c r="U41" s="113">
        <v>0</v>
      </c>
      <c r="V41" s="86">
        <v>0</v>
      </c>
      <c r="W41" s="113">
        <v>0</v>
      </c>
      <c r="X41" s="86">
        <v>0</v>
      </c>
      <c r="Y41" s="113">
        <v>0</v>
      </c>
      <c r="Z41" s="86">
        <v>0</v>
      </c>
    </row>
    <row r="42" spans="1:27" ht="16.899999999999999" hidden="1" customHeight="1" x14ac:dyDescent="0.25">
      <c r="A42" s="261"/>
      <c r="B42" s="84" t="s">
        <v>12</v>
      </c>
      <c r="C42" s="113">
        <v>0</v>
      </c>
      <c r="D42" s="86">
        <v>0</v>
      </c>
      <c r="E42" s="113">
        <v>0</v>
      </c>
      <c r="F42" s="86">
        <v>0</v>
      </c>
      <c r="G42" s="113">
        <v>0</v>
      </c>
      <c r="H42" s="86">
        <v>0</v>
      </c>
      <c r="I42" s="113">
        <v>0</v>
      </c>
      <c r="J42" s="86">
        <v>0</v>
      </c>
      <c r="K42" s="113">
        <v>0</v>
      </c>
      <c r="L42" s="86">
        <v>0</v>
      </c>
      <c r="M42" s="113">
        <v>0</v>
      </c>
      <c r="N42" s="86">
        <v>0</v>
      </c>
      <c r="O42" s="113">
        <v>0</v>
      </c>
      <c r="P42" s="86">
        <v>0</v>
      </c>
      <c r="Q42" s="113">
        <v>0</v>
      </c>
      <c r="R42" s="86">
        <v>0</v>
      </c>
      <c r="S42" s="113">
        <v>0</v>
      </c>
      <c r="T42" s="86">
        <v>0</v>
      </c>
      <c r="U42" s="113">
        <v>0</v>
      </c>
      <c r="V42" s="86">
        <v>0</v>
      </c>
      <c r="W42" s="113">
        <v>0</v>
      </c>
      <c r="X42" s="86">
        <v>0</v>
      </c>
      <c r="Y42" s="113">
        <v>0</v>
      </c>
      <c r="Z42" s="86">
        <v>0</v>
      </c>
    </row>
    <row r="43" spans="1:27" ht="16.899999999999999" hidden="1" customHeight="1" x14ac:dyDescent="0.25">
      <c r="A43" s="261"/>
      <c r="B43" s="84" t="s">
        <v>13</v>
      </c>
      <c r="C43" s="113">
        <v>0</v>
      </c>
      <c r="D43" s="86">
        <v>0</v>
      </c>
      <c r="E43" s="113">
        <v>0</v>
      </c>
      <c r="F43" s="86">
        <v>0</v>
      </c>
      <c r="G43" s="113">
        <v>0</v>
      </c>
      <c r="H43" s="86">
        <v>0</v>
      </c>
      <c r="I43" s="113">
        <v>0</v>
      </c>
      <c r="J43" s="86">
        <v>0</v>
      </c>
      <c r="K43" s="113">
        <v>0</v>
      </c>
      <c r="L43" s="86">
        <v>0</v>
      </c>
      <c r="M43" s="113">
        <v>0</v>
      </c>
      <c r="N43" s="86">
        <v>0</v>
      </c>
      <c r="O43" s="113">
        <v>0</v>
      </c>
      <c r="P43" s="86">
        <v>0</v>
      </c>
      <c r="Q43" s="113">
        <v>0</v>
      </c>
      <c r="R43" s="86">
        <v>0</v>
      </c>
      <c r="S43" s="113">
        <v>0</v>
      </c>
      <c r="T43" s="86">
        <v>0</v>
      </c>
      <c r="U43" s="113">
        <v>0</v>
      </c>
      <c r="V43" s="86">
        <v>0</v>
      </c>
      <c r="W43" s="113">
        <v>0</v>
      </c>
      <c r="X43" s="86">
        <v>0</v>
      </c>
      <c r="Y43" s="113">
        <v>0</v>
      </c>
      <c r="Z43" s="86">
        <v>0</v>
      </c>
    </row>
    <row r="44" spans="1:27" ht="16.899999999999999" hidden="1" customHeight="1" x14ac:dyDescent="0.25">
      <c r="A44" s="261"/>
      <c r="B44" s="84" t="s">
        <v>14</v>
      </c>
      <c r="C44" s="113">
        <v>0</v>
      </c>
      <c r="D44" s="86">
        <v>0</v>
      </c>
      <c r="E44" s="113">
        <v>0</v>
      </c>
      <c r="F44" s="86">
        <v>0</v>
      </c>
      <c r="G44" s="113">
        <v>0</v>
      </c>
      <c r="H44" s="86">
        <v>0</v>
      </c>
      <c r="I44" s="113">
        <v>0</v>
      </c>
      <c r="J44" s="86">
        <v>0</v>
      </c>
      <c r="K44" s="113">
        <v>0</v>
      </c>
      <c r="L44" s="86">
        <v>0</v>
      </c>
      <c r="M44" s="113">
        <v>0</v>
      </c>
      <c r="N44" s="86">
        <v>0</v>
      </c>
      <c r="O44" s="113">
        <v>0</v>
      </c>
      <c r="P44" s="86">
        <v>0</v>
      </c>
      <c r="Q44" s="113">
        <v>0</v>
      </c>
      <c r="R44" s="86">
        <v>0</v>
      </c>
      <c r="S44" s="113">
        <v>0</v>
      </c>
      <c r="T44" s="86">
        <v>0</v>
      </c>
      <c r="U44" s="113">
        <v>0</v>
      </c>
      <c r="V44" s="86">
        <v>0</v>
      </c>
      <c r="W44" s="113">
        <v>0</v>
      </c>
      <c r="X44" s="86">
        <v>0</v>
      </c>
      <c r="Y44" s="113">
        <v>0</v>
      </c>
      <c r="Z44" s="86">
        <v>0</v>
      </c>
    </row>
    <row r="45" spans="1:27" ht="16.899999999999999" hidden="1" customHeight="1" x14ac:dyDescent="0.25">
      <c r="A45" s="261"/>
      <c r="B45" s="84" t="s">
        <v>15</v>
      </c>
      <c r="C45" s="113">
        <v>0</v>
      </c>
      <c r="D45" s="86">
        <v>0</v>
      </c>
      <c r="E45" s="113">
        <v>0</v>
      </c>
      <c r="F45" s="86">
        <v>0</v>
      </c>
      <c r="G45" s="113">
        <v>0</v>
      </c>
      <c r="H45" s="86">
        <v>0</v>
      </c>
      <c r="I45" s="113">
        <v>0</v>
      </c>
      <c r="J45" s="86">
        <v>0</v>
      </c>
      <c r="K45" s="113">
        <v>0</v>
      </c>
      <c r="L45" s="86">
        <v>0</v>
      </c>
      <c r="M45" s="113">
        <v>0</v>
      </c>
      <c r="N45" s="86">
        <v>0</v>
      </c>
      <c r="O45" s="113">
        <v>0</v>
      </c>
      <c r="P45" s="86">
        <v>0</v>
      </c>
      <c r="Q45" s="113">
        <v>0</v>
      </c>
      <c r="R45" s="86">
        <v>0</v>
      </c>
      <c r="S45" s="113">
        <v>0</v>
      </c>
      <c r="T45" s="86">
        <v>0</v>
      </c>
      <c r="U45" s="113">
        <v>0</v>
      </c>
      <c r="V45" s="86">
        <v>0</v>
      </c>
      <c r="W45" s="113">
        <v>0</v>
      </c>
      <c r="X45" s="86">
        <v>0</v>
      </c>
      <c r="Y45" s="113">
        <v>0</v>
      </c>
      <c r="Z45" s="86">
        <v>0</v>
      </c>
    </row>
    <row r="46" spans="1:27" ht="16.899999999999999" hidden="1" customHeight="1" x14ac:dyDescent="0.25">
      <c r="A46" s="261"/>
      <c r="B46" s="84" t="s">
        <v>16</v>
      </c>
      <c r="C46" s="115">
        <v>0</v>
      </c>
      <c r="D46" s="88">
        <v>0</v>
      </c>
      <c r="E46" s="115">
        <v>0</v>
      </c>
      <c r="F46" s="88">
        <v>0</v>
      </c>
      <c r="G46" s="115">
        <v>0</v>
      </c>
      <c r="H46" s="88">
        <v>0</v>
      </c>
      <c r="I46" s="115">
        <v>0</v>
      </c>
      <c r="J46" s="88">
        <v>0</v>
      </c>
      <c r="K46" s="115">
        <v>0</v>
      </c>
      <c r="L46" s="88">
        <v>0</v>
      </c>
      <c r="M46" s="115">
        <v>0</v>
      </c>
      <c r="N46" s="88">
        <v>0</v>
      </c>
      <c r="O46" s="115">
        <v>0</v>
      </c>
      <c r="P46" s="88">
        <v>0</v>
      </c>
      <c r="Q46" s="115">
        <v>0</v>
      </c>
      <c r="R46" s="88">
        <v>0</v>
      </c>
      <c r="S46" s="115">
        <v>0</v>
      </c>
      <c r="T46" s="88">
        <v>0</v>
      </c>
      <c r="U46" s="115">
        <v>0</v>
      </c>
      <c r="V46" s="88">
        <v>0</v>
      </c>
      <c r="W46" s="115">
        <v>0</v>
      </c>
      <c r="X46" s="88">
        <v>0</v>
      </c>
      <c r="Y46" s="115">
        <v>0</v>
      </c>
      <c r="Z46" s="88">
        <v>0</v>
      </c>
    </row>
    <row r="47" spans="1:27" ht="16.899999999999999" customHeight="1" x14ac:dyDescent="0.25">
      <c r="A47" s="261"/>
      <c r="B47" s="89" t="s">
        <v>58</v>
      </c>
      <c r="C47" s="115">
        <v>0</v>
      </c>
      <c r="D47" s="88">
        <v>0</v>
      </c>
      <c r="E47" s="115">
        <v>0</v>
      </c>
      <c r="F47" s="88">
        <v>0</v>
      </c>
      <c r="G47" s="115">
        <v>0</v>
      </c>
      <c r="H47" s="88">
        <v>0</v>
      </c>
      <c r="I47" s="115">
        <v>0</v>
      </c>
      <c r="J47" s="88">
        <v>0</v>
      </c>
      <c r="K47" s="115">
        <v>0</v>
      </c>
      <c r="L47" s="88">
        <v>0</v>
      </c>
      <c r="M47" s="115">
        <v>0</v>
      </c>
      <c r="N47" s="88">
        <v>0</v>
      </c>
      <c r="O47" s="115">
        <v>0</v>
      </c>
      <c r="P47" s="88">
        <v>0</v>
      </c>
      <c r="Q47" s="115">
        <v>0</v>
      </c>
      <c r="R47" s="88">
        <v>0</v>
      </c>
      <c r="S47" s="115">
        <v>0</v>
      </c>
      <c r="T47" s="88">
        <v>0</v>
      </c>
      <c r="U47" s="115">
        <v>0</v>
      </c>
      <c r="V47" s="88">
        <v>0</v>
      </c>
      <c r="W47" s="115">
        <v>0</v>
      </c>
      <c r="X47" s="88">
        <v>0</v>
      </c>
      <c r="Y47" s="115">
        <v>0</v>
      </c>
      <c r="Z47" s="88">
        <v>0</v>
      </c>
    </row>
    <row r="48" spans="1:27" ht="16.899999999999999" customHeight="1" thickBot="1" x14ac:dyDescent="0.3">
      <c r="A48" s="262"/>
      <c r="B48" s="98"/>
      <c r="C48" s="116">
        <f>SUM(C11,C12,C13,C19,C25,C33,C40,C41,C42,C43,C44,C45,C46,C47)</f>
        <v>0</v>
      </c>
      <c r="D48" s="106">
        <f t="shared" ref="D48:Z48" si="27">SUM(D11,D12,D13,D19,D25,D33,D40,D41,D42,D43,D44,D45,D46,D47)</f>
        <v>0</v>
      </c>
      <c r="E48" s="116">
        <f t="shared" si="27"/>
        <v>0</v>
      </c>
      <c r="F48" s="106">
        <f t="shared" si="27"/>
        <v>0</v>
      </c>
      <c r="G48" s="116">
        <f t="shared" si="27"/>
        <v>0</v>
      </c>
      <c r="H48" s="106">
        <f t="shared" si="27"/>
        <v>0</v>
      </c>
      <c r="I48" s="116">
        <f t="shared" si="27"/>
        <v>0</v>
      </c>
      <c r="J48" s="106">
        <f t="shared" si="27"/>
        <v>0</v>
      </c>
      <c r="K48" s="116">
        <f t="shared" si="27"/>
        <v>0</v>
      </c>
      <c r="L48" s="106">
        <f t="shared" si="27"/>
        <v>0</v>
      </c>
      <c r="M48" s="116">
        <f t="shared" si="27"/>
        <v>0</v>
      </c>
      <c r="N48" s="106">
        <f t="shared" si="27"/>
        <v>0</v>
      </c>
      <c r="O48" s="116">
        <f t="shared" si="27"/>
        <v>0</v>
      </c>
      <c r="P48" s="106">
        <f t="shared" si="27"/>
        <v>0</v>
      </c>
      <c r="Q48" s="116">
        <f t="shared" si="27"/>
        <v>0</v>
      </c>
      <c r="R48" s="106">
        <f t="shared" si="27"/>
        <v>0</v>
      </c>
      <c r="S48" s="116">
        <f t="shared" si="27"/>
        <v>0</v>
      </c>
      <c r="T48" s="106">
        <f t="shared" si="27"/>
        <v>0</v>
      </c>
      <c r="U48" s="116">
        <f t="shared" si="27"/>
        <v>0</v>
      </c>
      <c r="V48" s="106">
        <f t="shared" si="27"/>
        <v>0</v>
      </c>
      <c r="W48" s="116">
        <f t="shared" si="27"/>
        <v>0</v>
      </c>
      <c r="X48" s="106">
        <f t="shared" si="27"/>
        <v>0</v>
      </c>
      <c r="Y48" s="116">
        <f t="shared" si="27"/>
        <v>0</v>
      </c>
      <c r="Z48" s="106">
        <f t="shared" si="27"/>
        <v>0</v>
      </c>
    </row>
    <row r="49" spans="1:27" ht="16.899999999999999" customHeight="1" x14ac:dyDescent="0.25">
      <c r="A49" s="266" t="s">
        <v>20</v>
      </c>
      <c r="B49" s="92" t="s">
        <v>17</v>
      </c>
      <c r="C49" s="117">
        <v>0</v>
      </c>
      <c r="D49" s="94">
        <v>0</v>
      </c>
      <c r="E49" s="117">
        <v>0</v>
      </c>
      <c r="F49" s="94">
        <v>0</v>
      </c>
      <c r="G49" s="117">
        <v>0</v>
      </c>
      <c r="H49" s="94">
        <v>0</v>
      </c>
      <c r="I49" s="117">
        <v>0</v>
      </c>
      <c r="J49" s="94">
        <v>0</v>
      </c>
      <c r="K49" s="117">
        <v>0</v>
      </c>
      <c r="L49" s="94">
        <v>0</v>
      </c>
      <c r="M49" s="117">
        <v>0</v>
      </c>
      <c r="N49" s="94">
        <v>0</v>
      </c>
      <c r="O49" s="117">
        <v>0</v>
      </c>
      <c r="P49" s="94">
        <v>0</v>
      </c>
      <c r="Q49" s="117">
        <v>0</v>
      </c>
      <c r="R49" s="94">
        <v>0</v>
      </c>
      <c r="S49" s="117">
        <v>0</v>
      </c>
      <c r="T49" s="94">
        <v>0</v>
      </c>
      <c r="U49" s="117">
        <v>0</v>
      </c>
      <c r="V49" s="94">
        <v>0</v>
      </c>
      <c r="W49" s="117">
        <v>0</v>
      </c>
      <c r="X49" s="94">
        <v>0</v>
      </c>
      <c r="Y49" s="117">
        <v>0</v>
      </c>
      <c r="Z49" s="94">
        <v>0</v>
      </c>
    </row>
    <row r="50" spans="1:27" ht="16.899999999999999" customHeight="1" x14ac:dyDescent="0.25">
      <c r="A50" s="267"/>
      <c r="B50" s="95" t="s">
        <v>18</v>
      </c>
      <c r="C50" s="118">
        <v>0</v>
      </c>
      <c r="D50" s="97">
        <v>0</v>
      </c>
      <c r="E50" s="118">
        <v>0</v>
      </c>
      <c r="F50" s="97">
        <v>0</v>
      </c>
      <c r="G50" s="118">
        <v>0</v>
      </c>
      <c r="H50" s="97">
        <v>0</v>
      </c>
      <c r="I50" s="118">
        <v>0</v>
      </c>
      <c r="J50" s="97">
        <v>0</v>
      </c>
      <c r="K50" s="118">
        <v>0</v>
      </c>
      <c r="L50" s="97">
        <v>0</v>
      </c>
      <c r="M50" s="118">
        <v>0</v>
      </c>
      <c r="N50" s="97">
        <v>0</v>
      </c>
      <c r="O50" s="118">
        <v>0</v>
      </c>
      <c r="P50" s="97">
        <v>0</v>
      </c>
      <c r="Q50" s="118">
        <v>0</v>
      </c>
      <c r="R50" s="97">
        <v>0</v>
      </c>
      <c r="S50" s="118">
        <v>0</v>
      </c>
      <c r="T50" s="97">
        <v>0</v>
      </c>
      <c r="U50" s="118">
        <v>0</v>
      </c>
      <c r="V50" s="97">
        <v>0</v>
      </c>
      <c r="W50" s="118">
        <v>0</v>
      </c>
      <c r="X50" s="97">
        <v>0</v>
      </c>
      <c r="Y50" s="118">
        <v>0</v>
      </c>
      <c r="Z50" s="97">
        <v>0</v>
      </c>
    </row>
    <row r="51" spans="1:27" ht="16.899999999999999" customHeight="1" thickBot="1" x14ac:dyDescent="0.3">
      <c r="A51" s="268"/>
      <c r="B51" s="140"/>
      <c r="C51" s="141">
        <f>SUM(C49:C50)</f>
        <v>0</v>
      </c>
      <c r="D51" s="142">
        <f t="shared" ref="D51:Z51" si="28">SUM(D49:D50)</f>
        <v>0</v>
      </c>
      <c r="E51" s="143">
        <f t="shared" si="28"/>
        <v>0</v>
      </c>
      <c r="F51" s="142">
        <f t="shared" si="28"/>
        <v>0</v>
      </c>
      <c r="G51" s="143">
        <f t="shared" si="28"/>
        <v>0</v>
      </c>
      <c r="H51" s="142">
        <f t="shared" si="28"/>
        <v>0</v>
      </c>
      <c r="I51" s="143">
        <f t="shared" si="28"/>
        <v>0</v>
      </c>
      <c r="J51" s="142">
        <f t="shared" si="28"/>
        <v>0</v>
      </c>
      <c r="K51" s="143">
        <f t="shared" si="28"/>
        <v>0</v>
      </c>
      <c r="L51" s="142">
        <f t="shared" si="28"/>
        <v>0</v>
      </c>
      <c r="M51" s="143">
        <f t="shared" si="28"/>
        <v>0</v>
      </c>
      <c r="N51" s="142">
        <f t="shared" si="28"/>
        <v>0</v>
      </c>
      <c r="O51" s="143">
        <f t="shared" si="28"/>
        <v>0</v>
      </c>
      <c r="P51" s="142">
        <f t="shared" si="28"/>
        <v>0</v>
      </c>
      <c r="Q51" s="143">
        <f t="shared" si="28"/>
        <v>0</v>
      </c>
      <c r="R51" s="142">
        <f t="shared" si="28"/>
        <v>0</v>
      </c>
      <c r="S51" s="143">
        <f t="shared" si="28"/>
        <v>0</v>
      </c>
      <c r="T51" s="142">
        <f t="shared" si="28"/>
        <v>0</v>
      </c>
      <c r="U51" s="143">
        <f t="shared" si="28"/>
        <v>0</v>
      </c>
      <c r="V51" s="142">
        <f t="shared" si="28"/>
        <v>0</v>
      </c>
      <c r="W51" s="143">
        <f t="shared" si="28"/>
        <v>0</v>
      </c>
      <c r="X51" s="142">
        <f t="shared" si="28"/>
        <v>0</v>
      </c>
      <c r="Y51" s="143">
        <f t="shared" si="28"/>
        <v>0</v>
      </c>
      <c r="Z51" s="142">
        <f t="shared" si="28"/>
        <v>0</v>
      </c>
      <c r="AA51" s="3">
        <f>SUM(C51:Z51)</f>
        <v>0</v>
      </c>
    </row>
    <row r="52" spans="1:27" x14ac:dyDescent="0.25">
      <c r="A52" s="107"/>
      <c r="B52" s="129"/>
      <c r="C52" s="107"/>
      <c r="D52" s="73"/>
      <c r="E52" s="107"/>
      <c r="F52" s="73"/>
      <c r="G52" s="107"/>
      <c r="H52" s="73"/>
      <c r="I52" s="107"/>
      <c r="J52" s="73"/>
      <c r="K52" s="107" t="s">
        <v>59</v>
      </c>
      <c r="L52" s="73"/>
      <c r="M52" s="107"/>
      <c r="N52" s="73"/>
      <c r="O52" s="107"/>
      <c r="P52" s="73"/>
      <c r="Q52" s="107"/>
      <c r="R52" s="73"/>
      <c r="S52" s="107"/>
      <c r="T52" s="73"/>
      <c r="U52" s="107"/>
      <c r="V52" s="73"/>
      <c r="W52" s="107"/>
      <c r="X52" s="73"/>
      <c r="Y52" s="107"/>
      <c r="Z52" s="73"/>
    </row>
    <row r="53" spans="1:27" x14ac:dyDescent="0.25">
      <c r="A53" s="119"/>
      <c r="B53" s="130" t="s">
        <v>102</v>
      </c>
      <c r="C53" s="120">
        <f>C8-C48</f>
        <v>0</v>
      </c>
      <c r="D53" s="121">
        <f t="shared" ref="D53:Z53" si="29">D8-D48</f>
        <v>0</v>
      </c>
      <c r="E53" s="120">
        <f t="shared" si="29"/>
        <v>0</v>
      </c>
      <c r="F53" s="121">
        <f t="shared" si="29"/>
        <v>0</v>
      </c>
      <c r="G53" s="120">
        <f t="shared" si="29"/>
        <v>0</v>
      </c>
      <c r="H53" s="121">
        <f t="shared" si="29"/>
        <v>0</v>
      </c>
      <c r="I53" s="120">
        <f t="shared" si="29"/>
        <v>0</v>
      </c>
      <c r="J53" s="121">
        <f t="shared" si="29"/>
        <v>0</v>
      </c>
      <c r="K53" s="120">
        <f t="shared" si="29"/>
        <v>0</v>
      </c>
      <c r="L53" s="121">
        <f t="shared" si="29"/>
        <v>0</v>
      </c>
      <c r="M53" s="120">
        <f t="shared" si="29"/>
        <v>0</v>
      </c>
      <c r="N53" s="121">
        <f t="shared" si="29"/>
        <v>0</v>
      </c>
      <c r="O53" s="120">
        <f t="shared" si="29"/>
        <v>0</v>
      </c>
      <c r="P53" s="121">
        <f t="shared" si="29"/>
        <v>0</v>
      </c>
      <c r="Q53" s="120">
        <f t="shared" si="29"/>
        <v>0</v>
      </c>
      <c r="R53" s="121">
        <f t="shared" si="29"/>
        <v>0</v>
      </c>
      <c r="S53" s="120">
        <f t="shared" si="29"/>
        <v>0</v>
      </c>
      <c r="T53" s="121">
        <f t="shared" si="29"/>
        <v>0</v>
      </c>
      <c r="U53" s="120">
        <f t="shared" si="29"/>
        <v>0</v>
      </c>
      <c r="V53" s="121">
        <f t="shared" si="29"/>
        <v>0</v>
      </c>
      <c r="W53" s="120">
        <f t="shared" si="29"/>
        <v>0</v>
      </c>
      <c r="X53" s="121">
        <f t="shared" si="29"/>
        <v>0</v>
      </c>
      <c r="Y53" s="120">
        <f t="shared" si="29"/>
        <v>0</v>
      </c>
      <c r="Z53" s="121">
        <f t="shared" si="29"/>
        <v>0</v>
      </c>
      <c r="AA53" s="3">
        <f>SUM(C53:Z53)</f>
        <v>0</v>
      </c>
    </row>
    <row r="54" spans="1:27" x14ac:dyDescent="0.25">
      <c r="A54" s="119"/>
      <c r="B54" s="130" t="s">
        <v>103</v>
      </c>
      <c r="C54" s="119"/>
      <c r="D54" s="76"/>
      <c r="E54" s="119"/>
      <c r="F54" s="76"/>
      <c r="G54" s="119"/>
      <c r="H54" s="76"/>
      <c r="I54" s="119"/>
      <c r="J54" s="76"/>
      <c r="K54" s="119"/>
      <c r="L54" s="76"/>
      <c r="M54" s="119"/>
      <c r="N54" s="76"/>
      <c r="O54" s="119"/>
      <c r="P54" s="76"/>
      <c r="Q54" s="119"/>
      <c r="R54" s="76"/>
      <c r="S54" s="119"/>
      <c r="T54" s="76"/>
      <c r="U54" s="119"/>
      <c r="V54" s="76"/>
      <c r="W54" s="119"/>
      <c r="X54" s="76"/>
      <c r="Y54" s="119"/>
      <c r="Z54" s="76"/>
      <c r="AA54" s="3">
        <f>SUM(C54:Z54)</f>
        <v>0</v>
      </c>
    </row>
    <row r="55" spans="1:27" ht="15.75" thickBot="1" x14ac:dyDescent="0.3">
      <c r="A55" s="127"/>
      <c r="B55" s="90" t="s">
        <v>104</v>
      </c>
      <c r="C55" s="122">
        <f>IF(C54=0,0,C54-C53)</f>
        <v>0</v>
      </c>
      <c r="D55" s="123">
        <f t="shared" ref="D55:Z55" si="30">IF(D54=0,0,D54-D53)</f>
        <v>0</v>
      </c>
      <c r="E55" s="122">
        <f t="shared" si="30"/>
        <v>0</v>
      </c>
      <c r="F55" s="123">
        <f t="shared" si="30"/>
        <v>0</v>
      </c>
      <c r="G55" s="122">
        <f t="shared" si="30"/>
        <v>0</v>
      </c>
      <c r="H55" s="123">
        <f t="shared" si="30"/>
        <v>0</v>
      </c>
      <c r="I55" s="122">
        <f t="shared" si="30"/>
        <v>0</v>
      </c>
      <c r="J55" s="123">
        <f t="shared" si="30"/>
        <v>0</v>
      </c>
      <c r="K55" s="122">
        <f t="shared" si="30"/>
        <v>0</v>
      </c>
      <c r="L55" s="123">
        <f t="shared" si="30"/>
        <v>0</v>
      </c>
      <c r="M55" s="122">
        <f t="shared" si="30"/>
        <v>0</v>
      </c>
      <c r="N55" s="123">
        <f t="shared" si="30"/>
        <v>0</v>
      </c>
      <c r="O55" s="122">
        <f t="shared" si="30"/>
        <v>0</v>
      </c>
      <c r="P55" s="123">
        <f t="shared" si="30"/>
        <v>0</v>
      </c>
      <c r="Q55" s="122">
        <f t="shared" si="30"/>
        <v>0</v>
      </c>
      <c r="R55" s="123">
        <f t="shared" si="30"/>
        <v>0</v>
      </c>
      <c r="S55" s="122">
        <f t="shared" si="30"/>
        <v>0</v>
      </c>
      <c r="T55" s="123">
        <f t="shared" si="30"/>
        <v>0</v>
      </c>
      <c r="U55" s="122">
        <f t="shared" si="30"/>
        <v>0</v>
      </c>
      <c r="V55" s="123">
        <f t="shared" si="30"/>
        <v>0</v>
      </c>
      <c r="W55" s="122">
        <f t="shared" si="30"/>
        <v>0</v>
      </c>
      <c r="X55" s="123">
        <f t="shared" si="30"/>
        <v>0</v>
      </c>
      <c r="Y55" s="122">
        <f t="shared" si="30"/>
        <v>0</v>
      </c>
      <c r="Z55" s="123">
        <f t="shared" si="30"/>
        <v>0</v>
      </c>
    </row>
  </sheetData>
  <mergeCells count="15">
    <mergeCell ref="S2:T2"/>
    <mergeCell ref="U2:V2"/>
    <mergeCell ref="W2:X2"/>
    <mergeCell ref="Y2:Z2"/>
    <mergeCell ref="C2:D2"/>
    <mergeCell ref="E2:F2"/>
    <mergeCell ref="G2:H2"/>
    <mergeCell ref="I2:J2"/>
    <mergeCell ref="K2:L2"/>
    <mergeCell ref="M2:N2"/>
    <mergeCell ref="O2:P2"/>
    <mergeCell ref="Q2:R2"/>
    <mergeCell ref="A4:A8"/>
    <mergeCell ref="A11:A48"/>
    <mergeCell ref="A49:A51"/>
  </mergeCells>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3"/>
  <sheetViews>
    <sheetView zoomScale="120" zoomScaleNormal="120" workbookViewId="0">
      <pane xSplit="2" ySplit="3" topLeftCell="C4" activePane="bottomRight" state="frozen"/>
      <selection pane="topRight" activeCell="C1" sqref="C1"/>
      <selection pane="bottomLeft" activeCell="A4" sqref="A4"/>
      <selection pane="bottomRight" activeCell="AA51" sqref="AA51"/>
    </sheetView>
  </sheetViews>
  <sheetFormatPr defaultRowHeight="15" x14ac:dyDescent="0.25"/>
  <cols>
    <col min="1" max="1" width="11" customWidth="1"/>
    <col min="2" max="2" width="26.28515625" customWidth="1"/>
    <col min="3" max="26" width="11.5703125" customWidth="1"/>
  </cols>
  <sheetData>
    <row r="1" spans="1:27" x14ac:dyDescent="0.25">
      <c r="A1" t="s">
        <v>125</v>
      </c>
      <c r="C1" s="107">
        <v>1</v>
      </c>
      <c r="D1" s="73">
        <v>0</v>
      </c>
      <c r="E1" s="107">
        <v>1</v>
      </c>
      <c r="F1" s="73">
        <v>0</v>
      </c>
      <c r="G1" s="107">
        <v>1</v>
      </c>
      <c r="H1" s="73">
        <v>0</v>
      </c>
      <c r="I1" s="107">
        <v>1</v>
      </c>
      <c r="J1" s="73">
        <v>0</v>
      </c>
      <c r="K1" s="107">
        <v>1</v>
      </c>
      <c r="L1" s="73">
        <v>0</v>
      </c>
      <c r="M1">
        <v>1</v>
      </c>
      <c r="N1">
        <v>0</v>
      </c>
      <c r="O1" s="107">
        <v>1</v>
      </c>
      <c r="P1" s="73">
        <v>0</v>
      </c>
      <c r="Q1" s="107">
        <v>1</v>
      </c>
      <c r="R1" s="73">
        <v>0</v>
      </c>
      <c r="S1" s="107">
        <v>1</v>
      </c>
      <c r="T1" s="73">
        <v>0</v>
      </c>
      <c r="U1" s="107">
        <v>1</v>
      </c>
      <c r="V1" s="73">
        <v>0</v>
      </c>
      <c r="W1" s="107">
        <v>1</v>
      </c>
      <c r="X1" s="73">
        <v>0</v>
      </c>
      <c r="Y1" s="107">
        <v>1</v>
      </c>
      <c r="Z1" s="73">
        <v>0</v>
      </c>
    </row>
    <row r="2" spans="1:27" s="2" customFormat="1" ht="21" x14ac:dyDescent="0.25">
      <c r="A2" s="2">
        <v>12</v>
      </c>
      <c r="C2" s="255" t="s">
        <v>21</v>
      </c>
      <c r="D2" s="256"/>
      <c r="E2" s="255" t="s">
        <v>22</v>
      </c>
      <c r="F2" s="256"/>
      <c r="G2" s="255" t="s">
        <v>23</v>
      </c>
      <c r="H2" s="256"/>
      <c r="I2" s="255" t="s">
        <v>24</v>
      </c>
      <c r="J2" s="256"/>
      <c r="K2" s="255" t="s">
        <v>25</v>
      </c>
      <c r="L2" s="256"/>
      <c r="M2" s="269" t="s">
        <v>26</v>
      </c>
      <c r="N2" s="269"/>
      <c r="O2" s="255" t="s">
        <v>27</v>
      </c>
      <c r="P2" s="256"/>
      <c r="Q2" s="255" t="s">
        <v>28</v>
      </c>
      <c r="R2" s="256"/>
      <c r="S2" s="255" t="s">
        <v>29</v>
      </c>
      <c r="T2" s="256"/>
      <c r="U2" s="255" t="s">
        <v>30</v>
      </c>
      <c r="V2" s="256"/>
      <c r="W2" s="255" t="s">
        <v>31</v>
      </c>
      <c r="X2" s="256"/>
      <c r="Y2" s="255" t="s">
        <v>32</v>
      </c>
      <c r="Z2" s="256"/>
    </row>
    <row r="3" spans="1:27" s="2" customFormat="1" ht="15.75" thickBot="1" x14ac:dyDescent="0.3">
      <c r="C3" s="108">
        <v>1</v>
      </c>
      <c r="D3" s="109">
        <v>2</v>
      </c>
      <c r="E3" s="108">
        <v>3</v>
      </c>
      <c r="F3" s="109">
        <v>4</v>
      </c>
      <c r="G3" s="108">
        <v>5</v>
      </c>
      <c r="H3" s="109">
        <v>6</v>
      </c>
      <c r="I3" s="108">
        <v>7</v>
      </c>
      <c r="J3" s="109">
        <v>8</v>
      </c>
      <c r="K3" s="108">
        <v>9</v>
      </c>
      <c r="L3" s="109">
        <v>10</v>
      </c>
      <c r="M3" s="2">
        <v>11</v>
      </c>
      <c r="N3" s="2">
        <v>12</v>
      </c>
      <c r="O3" s="108">
        <v>13</v>
      </c>
      <c r="P3" s="109">
        <v>14</v>
      </c>
      <c r="Q3" s="108">
        <v>15</v>
      </c>
      <c r="R3" s="109">
        <v>16</v>
      </c>
      <c r="S3" s="108">
        <v>17</v>
      </c>
      <c r="T3" s="109">
        <v>18</v>
      </c>
      <c r="U3" s="108">
        <v>19</v>
      </c>
      <c r="V3" s="109">
        <v>20</v>
      </c>
      <c r="W3" s="108">
        <v>21</v>
      </c>
      <c r="X3" s="109">
        <v>22</v>
      </c>
      <c r="Y3" s="108">
        <v>23</v>
      </c>
      <c r="Z3" s="109">
        <v>24</v>
      </c>
    </row>
    <row r="4" spans="1:27" ht="16.899999999999999" customHeight="1" x14ac:dyDescent="0.25">
      <c r="A4" s="257" t="s">
        <v>3</v>
      </c>
      <c r="B4" s="71" t="s">
        <v>122</v>
      </c>
      <c r="C4" s="110">
        <f>C1 * Overview!C16 *Hoshuko.Constants!B3</f>
        <v>786.12000000000012</v>
      </c>
      <c r="D4" s="77">
        <f>D1 * Overview!C16 *Hoshuko.Constants!C3</f>
        <v>0</v>
      </c>
      <c r="E4" s="110">
        <f>E1 * Overview!C17 *Hoshuko.Constants!D3</f>
        <v>1048.1600000000001</v>
      </c>
      <c r="F4" s="77">
        <f>F1 * Overview!C17 *Hoshuko.Constants!E3</f>
        <v>0</v>
      </c>
      <c r="G4" s="110">
        <f>G1 * Overview!C18 *Hoshuko.Constants!F3</f>
        <v>1048.1600000000001</v>
      </c>
      <c r="H4" s="77">
        <f>H1 * Overview!C18 *Hoshuko.Constants!G3</f>
        <v>0</v>
      </c>
      <c r="I4" s="110">
        <f>I1 * Overview!C19 *Hoshuko.Constants!H3</f>
        <v>786.12000000000012</v>
      </c>
      <c r="J4" s="77">
        <f>J1 * Overview!C19 *Hoshuko.Constants!I3</f>
        <v>0</v>
      </c>
      <c r="K4" s="110">
        <f>K1 * Overview!C20 *Hoshuko.Constants!J3</f>
        <v>1353</v>
      </c>
      <c r="L4" s="77">
        <f>L1 * Overview!C20 *Hoshuko.Constants!K3</f>
        <v>0</v>
      </c>
      <c r="M4" s="72">
        <f>M1 * Overview!C21*Hoshuko.Constants!L3</f>
        <v>1353</v>
      </c>
      <c r="N4" s="72">
        <f>N1 * Overview!C21*Hoshuko.Constants!M3</f>
        <v>0</v>
      </c>
      <c r="O4" s="110">
        <f>O1 * Overview!C22 *Hoshuko.Constants!N3</f>
        <v>1082.4000000000001</v>
      </c>
      <c r="P4" s="77">
        <f>P1 * Overview!C22 *Hoshuko.Constants!O3</f>
        <v>0</v>
      </c>
      <c r="Q4" s="110">
        <f>Q1 * Overview!C23*Hoshuko.Constants!P3</f>
        <v>0</v>
      </c>
      <c r="R4" s="77">
        <f>R1 * Overview!C23*Hoshuko.Constants!Q3</f>
        <v>0</v>
      </c>
      <c r="S4" s="110">
        <f>S1 * Overview!C24 *Hoshuko.Constants!R3</f>
        <v>0</v>
      </c>
      <c r="T4" s="77">
        <f>T1 * Overview!C24 *Hoshuko.Constants!S3</f>
        <v>0</v>
      </c>
      <c r="U4" s="110">
        <f>U1 * Overview!C25 *Hoshuko.Constants!T3</f>
        <v>0</v>
      </c>
      <c r="V4" s="77">
        <f>V1 * Overview!C25 *Hoshuko.Constants!U3</f>
        <v>0</v>
      </c>
      <c r="W4" s="110">
        <f>W1 * Overview!C26 *Hoshuko.Constants!V3</f>
        <v>0</v>
      </c>
      <c r="X4" s="77">
        <f>X1 * Overview!C26 *Hoshuko.Constants!W3</f>
        <v>0</v>
      </c>
      <c r="Y4" s="110">
        <f>Y1 * Overview!C27 *Hoshuko.Constants!X3</f>
        <v>0</v>
      </c>
      <c r="Z4" s="77">
        <f>Z1 * Overview!C27 *Hoshuko.Constants!Y3</f>
        <v>0</v>
      </c>
    </row>
    <row r="5" spans="1:27" ht="16.899999999999999" customHeight="1" x14ac:dyDescent="0.25">
      <c r="A5" s="258"/>
      <c r="B5" s="80" t="s">
        <v>58</v>
      </c>
      <c r="C5" s="111">
        <v>0</v>
      </c>
      <c r="D5" s="79">
        <v>0</v>
      </c>
      <c r="E5" s="111">
        <v>0</v>
      </c>
      <c r="F5" s="79">
        <v>0</v>
      </c>
      <c r="G5" s="111">
        <v>0</v>
      </c>
      <c r="H5" s="79">
        <v>0</v>
      </c>
      <c r="I5" s="111">
        <v>0</v>
      </c>
      <c r="J5" s="79">
        <v>0</v>
      </c>
      <c r="K5" s="111">
        <v>0</v>
      </c>
      <c r="L5" s="79">
        <v>0</v>
      </c>
      <c r="M5" s="75">
        <v>0</v>
      </c>
      <c r="N5" s="75">
        <v>0</v>
      </c>
      <c r="O5" s="111">
        <v>0</v>
      </c>
      <c r="P5" s="79">
        <v>0</v>
      </c>
      <c r="Q5" s="111">
        <v>0</v>
      </c>
      <c r="R5" s="79">
        <v>0</v>
      </c>
      <c r="S5" s="111">
        <v>0</v>
      </c>
      <c r="T5" s="79">
        <v>0</v>
      </c>
      <c r="U5" s="111">
        <v>0</v>
      </c>
      <c r="V5" s="79">
        <v>0</v>
      </c>
      <c r="W5" s="111">
        <v>0</v>
      </c>
      <c r="X5" s="79">
        <v>0</v>
      </c>
      <c r="Y5" s="111">
        <v>0</v>
      </c>
      <c r="Z5" s="79">
        <v>0</v>
      </c>
    </row>
    <row r="6" spans="1:27" ht="16.899999999999999" customHeight="1" thickBot="1" x14ac:dyDescent="0.3">
      <c r="A6" s="259"/>
      <c r="B6" s="100"/>
      <c r="C6" s="112">
        <f t="shared" ref="C6:Z6" si="0">SUM(C4:C5)</f>
        <v>786.12000000000012</v>
      </c>
      <c r="D6" s="102">
        <f t="shared" si="0"/>
        <v>0</v>
      </c>
      <c r="E6" s="112">
        <f t="shared" si="0"/>
        <v>1048.1600000000001</v>
      </c>
      <c r="F6" s="102">
        <f t="shared" si="0"/>
        <v>0</v>
      </c>
      <c r="G6" s="112">
        <f t="shared" si="0"/>
        <v>1048.1600000000001</v>
      </c>
      <c r="H6" s="102">
        <f t="shared" si="0"/>
        <v>0</v>
      </c>
      <c r="I6" s="112">
        <f t="shared" si="0"/>
        <v>786.12000000000012</v>
      </c>
      <c r="J6" s="102">
        <f t="shared" si="0"/>
        <v>0</v>
      </c>
      <c r="K6" s="112">
        <f t="shared" si="0"/>
        <v>1353</v>
      </c>
      <c r="L6" s="102">
        <f t="shared" si="0"/>
        <v>0</v>
      </c>
      <c r="M6" s="101">
        <f t="shared" si="0"/>
        <v>1353</v>
      </c>
      <c r="N6" s="101">
        <f t="shared" si="0"/>
        <v>0</v>
      </c>
      <c r="O6" s="112">
        <f t="shared" si="0"/>
        <v>1082.4000000000001</v>
      </c>
      <c r="P6" s="102">
        <f t="shared" si="0"/>
        <v>0</v>
      </c>
      <c r="Q6" s="112">
        <f t="shared" si="0"/>
        <v>0</v>
      </c>
      <c r="R6" s="102">
        <f t="shared" si="0"/>
        <v>0</v>
      </c>
      <c r="S6" s="112">
        <f t="shared" si="0"/>
        <v>0</v>
      </c>
      <c r="T6" s="102">
        <f t="shared" si="0"/>
        <v>0</v>
      </c>
      <c r="U6" s="112">
        <f t="shared" si="0"/>
        <v>0</v>
      </c>
      <c r="V6" s="102">
        <f t="shared" si="0"/>
        <v>0</v>
      </c>
      <c r="W6" s="112">
        <f t="shared" si="0"/>
        <v>0</v>
      </c>
      <c r="X6" s="102">
        <f t="shared" si="0"/>
        <v>0</v>
      </c>
      <c r="Y6" s="112">
        <f t="shared" si="0"/>
        <v>0</v>
      </c>
      <c r="Z6" s="102">
        <f t="shared" si="0"/>
        <v>0</v>
      </c>
      <c r="AA6" s="3">
        <f>SUM(C6:Z6)</f>
        <v>7456.9600000000009</v>
      </c>
    </row>
    <row r="7" spans="1:27" ht="16.899999999999999" hidden="1" customHeight="1" x14ac:dyDescent="0.25">
      <c r="A7" s="29"/>
      <c r="B7" s="30" t="s">
        <v>105</v>
      </c>
      <c r="C7" s="113">
        <v>0</v>
      </c>
      <c r="D7" s="86">
        <v>0</v>
      </c>
      <c r="E7" s="113">
        <v>0</v>
      </c>
      <c r="F7" s="86">
        <v>0</v>
      </c>
      <c r="G7" s="113">
        <v>0</v>
      </c>
      <c r="H7" s="86">
        <v>0</v>
      </c>
      <c r="I7" s="113">
        <v>0</v>
      </c>
      <c r="J7" s="86">
        <v>0</v>
      </c>
      <c r="K7" s="113">
        <v>0</v>
      </c>
      <c r="L7" s="86">
        <v>0</v>
      </c>
      <c r="M7" s="31">
        <v>0</v>
      </c>
      <c r="N7" s="31">
        <v>0</v>
      </c>
      <c r="O7" s="113">
        <v>0</v>
      </c>
      <c r="P7" s="86">
        <v>0</v>
      </c>
      <c r="Q7" s="113">
        <v>0</v>
      </c>
      <c r="R7" s="86">
        <v>0</v>
      </c>
      <c r="S7" s="113">
        <v>0</v>
      </c>
      <c r="T7" s="86">
        <v>0</v>
      </c>
      <c r="U7" s="113">
        <v>0</v>
      </c>
      <c r="V7" s="86">
        <v>0</v>
      </c>
      <c r="W7" s="113">
        <v>0</v>
      </c>
      <c r="X7" s="86">
        <v>0</v>
      </c>
      <c r="Y7" s="113">
        <v>0</v>
      </c>
      <c r="Z7" s="86">
        <v>0</v>
      </c>
    </row>
    <row r="8" spans="1:27" ht="16.899999999999999" hidden="1" customHeight="1" x14ac:dyDescent="0.25">
      <c r="A8" s="29"/>
      <c r="B8" s="30" t="s">
        <v>106</v>
      </c>
      <c r="C8" s="113">
        <v>0</v>
      </c>
      <c r="D8" s="86">
        <v>0</v>
      </c>
      <c r="E8" s="113">
        <v>0</v>
      </c>
      <c r="F8" s="86">
        <v>0</v>
      </c>
      <c r="G8" s="113">
        <v>0</v>
      </c>
      <c r="H8" s="86">
        <v>0</v>
      </c>
      <c r="I8" s="113">
        <v>0</v>
      </c>
      <c r="J8" s="86">
        <v>0</v>
      </c>
      <c r="K8" s="113">
        <v>0</v>
      </c>
      <c r="L8" s="86">
        <v>0</v>
      </c>
      <c r="M8" s="31">
        <v>0</v>
      </c>
      <c r="N8" s="31">
        <v>0</v>
      </c>
      <c r="O8" s="113">
        <v>0</v>
      </c>
      <c r="P8" s="86">
        <v>0</v>
      </c>
      <c r="Q8" s="113">
        <v>0</v>
      </c>
      <c r="R8" s="86">
        <v>0</v>
      </c>
      <c r="S8" s="113">
        <v>0</v>
      </c>
      <c r="T8" s="86">
        <v>0</v>
      </c>
      <c r="U8" s="113">
        <v>0</v>
      </c>
      <c r="V8" s="86">
        <v>0</v>
      </c>
      <c r="W8" s="113">
        <v>0</v>
      </c>
      <c r="X8" s="86">
        <v>0</v>
      </c>
      <c r="Y8" s="113">
        <v>0</v>
      </c>
      <c r="Z8" s="86">
        <v>0</v>
      </c>
    </row>
    <row r="9" spans="1:27" ht="16.899999999999999" hidden="1" customHeight="1" x14ac:dyDescent="0.25">
      <c r="A9" s="260" t="s">
        <v>19</v>
      </c>
      <c r="B9" s="81" t="s">
        <v>6</v>
      </c>
      <c r="C9" s="114">
        <f t="shared" ref="C9:Z9" si="1">ROUND((C7+C8)/HOSHUKO_R,2)</f>
        <v>0</v>
      </c>
      <c r="D9" s="83">
        <f t="shared" si="1"/>
        <v>0</v>
      </c>
      <c r="E9" s="114">
        <f t="shared" si="1"/>
        <v>0</v>
      </c>
      <c r="F9" s="83">
        <f t="shared" si="1"/>
        <v>0</v>
      </c>
      <c r="G9" s="114">
        <f t="shared" ref="G9" si="2">ROUND((G7+G8)/HOSHUKO_R,2)</f>
        <v>0</v>
      </c>
      <c r="H9" s="83">
        <f t="shared" ref="H9" si="3">ROUND((H7+H8)/HOSHUKO_R,2)</f>
        <v>0</v>
      </c>
      <c r="I9" s="114">
        <f t="shared" ref="I9" si="4">ROUND((I7+I8)/HOSHUKO_R,2)</f>
        <v>0</v>
      </c>
      <c r="J9" s="83">
        <f t="shared" ref="J9" si="5">ROUND((J7+J8)/HOSHUKO_R,2)</f>
        <v>0</v>
      </c>
      <c r="K9" s="114">
        <f t="shared" ref="K9" si="6">ROUND((K7+K8)/HOSHUKO_R,2)</f>
        <v>0</v>
      </c>
      <c r="L9" s="83">
        <f t="shared" ref="L9" si="7">ROUND((L7+L8)/HOSHUKO_R,2)</f>
        <v>0</v>
      </c>
      <c r="M9" s="82">
        <f t="shared" ref="M9" si="8">ROUND((M7+M8)/HOSHUKO_R,2)</f>
        <v>0</v>
      </c>
      <c r="N9" s="82">
        <f t="shared" ref="N9" si="9">ROUND((N7+N8)/HOSHUKO_R,2)</f>
        <v>0</v>
      </c>
      <c r="O9" s="114">
        <f t="shared" ref="O9" si="10">ROUND((O7+O8)/HOSHUKO_R,2)</f>
        <v>0</v>
      </c>
      <c r="P9" s="83">
        <f t="shared" ref="P9" si="11">ROUND((P7+P8)/HOSHUKO_R,2)</f>
        <v>0</v>
      </c>
      <c r="Q9" s="114">
        <f t="shared" ref="Q9" si="12">ROUND((Q7+Q8)/HOSHUKO_R,2)</f>
        <v>0</v>
      </c>
      <c r="R9" s="83">
        <f t="shared" ref="R9" si="13">ROUND((R7+R8)/HOSHUKO_R,2)</f>
        <v>0</v>
      </c>
      <c r="S9" s="114">
        <f t="shared" ref="S9" si="14">ROUND((S7+S8)/HOSHUKO_R,2)</f>
        <v>0</v>
      </c>
      <c r="T9" s="83">
        <f t="shared" ref="T9" si="15">ROUND((T7+T8)/HOSHUKO_R,2)</f>
        <v>0</v>
      </c>
      <c r="U9" s="114">
        <f t="shared" ref="U9" si="16">ROUND((U7+U8)/HOSHUKO_R,2)</f>
        <v>0</v>
      </c>
      <c r="V9" s="83">
        <f t="shared" ref="V9" si="17">ROUND((V7+V8)/HOSHUKO_R,2)</f>
        <v>0</v>
      </c>
      <c r="W9" s="114">
        <f t="shared" ref="W9" si="18">ROUND((W7+W8)/HOSHUKO_R,2)</f>
        <v>0</v>
      </c>
      <c r="X9" s="83">
        <f t="shared" ref="X9" si="19">ROUND((X7+X8)/HOSHUKO_R,2)</f>
        <v>0</v>
      </c>
      <c r="Y9" s="114">
        <f t="shared" si="1"/>
        <v>0</v>
      </c>
      <c r="Z9" s="83">
        <f t="shared" si="1"/>
        <v>0</v>
      </c>
      <c r="AA9" s="3">
        <f>SUM(C9:Z9)</f>
        <v>0</v>
      </c>
    </row>
    <row r="10" spans="1:27" ht="16.899999999999999" hidden="1" customHeight="1" x14ac:dyDescent="0.25">
      <c r="A10" s="261"/>
      <c r="B10" s="84" t="s">
        <v>139</v>
      </c>
      <c r="C10" s="113">
        <v>0</v>
      </c>
      <c r="D10" s="86">
        <v>0</v>
      </c>
      <c r="E10" s="113">
        <v>0</v>
      </c>
      <c r="F10" s="86">
        <v>0</v>
      </c>
      <c r="G10" s="113">
        <v>0</v>
      </c>
      <c r="H10" s="86">
        <v>0</v>
      </c>
      <c r="I10" s="113">
        <v>0</v>
      </c>
      <c r="J10" s="86">
        <v>0</v>
      </c>
      <c r="K10" s="113">
        <v>0</v>
      </c>
      <c r="L10" s="86">
        <v>0</v>
      </c>
      <c r="M10" s="85">
        <v>0</v>
      </c>
      <c r="N10" s="85">
        <v>0</v>
      </c>
      <c r="O10" s="113">
        <v>0</v>
      </c>
      <c r="P10" s="86">
        <v>0</v>
      </c>
      <c r="Q10" s="113">
        <v>0</v>
      </c>
      <c r="R10" s="86">
        <v>0</v>
      </c>
      <c r="S10" s="113">
        <v>0</v>
      </c>
      <c r="T10" s="86">
        <v>0</v>
      </c>
      <c r="U10" s="113">
        <v>0</v>
      </c>
      <c r="V10" s="86">
        <v>0</v>
      </c>
      <c r="W10" s="113">
        <v>0</v>
      </c>
      <c r="X10" s="86">
        <v>0</v>
      </c>
      <c r="Y10" s="113">
        <f>IF(Y6=0,0,UofC.Faculty.Constants!X5)</f>
        <v>0</v>
      </c>
      <c r="Z10" s="86">
        <f>IF(Z6=0,0,UofC.Faculty.Constants!Y5)</f>
        <v>0</v>
      </c>
      <c r="AA10" s="3">
        <f>SUM(C10:Z10)</f>
        <v>0</v>
      </c>
    </row>
    <row r="11" spans="1:27" ht="16.899999999999999" hidden="1" customHeight="1" x14ac:dyDescent="0.25">
      <c r="A11" s="261"/>
      <c r="B11" s="84" t="s">
        <v>139</v>
      </c>
      <c r="C11" s="113">
        <v>0</v>
      </c>
      <c r="D11" s="86">
        <v>0</v>
      </c>
      <c r="E11" s="113">
        <v>0</v>
      </c>
      <c r="F11" s="86">
        <v>0</v>
      </c>
      <c r="G11" s="113">
        <v>0</v>
      </c>
      <c r="H11" s="86">
        <v>0</v>
      </c>
      <c r="I11" s="113">
        <v>0</v>
      </c>
      <c r="J11" s="86">
        <v>0</v>
      </c>
      <c r="K11" s="113">
        <v>0</v>
      </c>
      <c r="L11" s="86">
        <v>0</v>
      </c>
      <c r="M11" s="85">
        <v>0</v>
      </c>
      <c r="N11" s="85">
        <v>0</v>
      </c>
      <c r="O11" s="113">
        <v>0</v>
      </c>
      <c r="P11" s="86">
        <v>0</v>
      </c>
      <c r="Q11" s="113">
        <v>0</v>
      </c>
      <c r="R11" s="86">
        <v>0</v>
      </c>
      <c r="S11" s="113">
        <v>0</v>
      </c>
      <c r="T11" s="86">
        <v>0</v>
      </c>
      <c r="U11" s="113">
        <v>0</v>
      </c>
      <c r="V11" s="86">
        <v>0</v>
      </c>
      <c r="W11" s="113">
        <v>0</v>
      </c>
      <c r="X11" s="86">
        <v>0</v>
      </c>
      <c r="Y11" s="113">
        <f>Y4*UofC.Faculty.Constants!X6</f>
        <v>0</v>
      </c>
      <c r="Z11" s="86">
        <f>Z4*UofC.Faculty.Constants!Y6</f>
        <v>0</v>
      </c>
      <c r="AA11" s="3">
        <f>SUM(C11:Z11)</f>
        <v>0</v>
      </c>
    </row>
    <row r="12" spans="1:27" ht="16.899999999999999" hidden="1" customHeight="1" x14ac:dyDescent="0.25">
      <c r="A12" s="261"/>
      <c r="B12" s="84" t="s">
        <v>63</v>
      </c>
      <c r="C12" s="113">
        <v>0</v>
      </c>
      <c r="D12" s="86">
        <f t="shared" ref="D12:Z12" si="20">C12+C17</f>
        <v>24.48</v>
      </c>
      <c r="E12" s="113">
        <f t="shared" si="20"/>
        <v>24.48</v>
      </c>
      <c r="F12" s="86">
        <f t="shared" si="20"/>
        <v>61.930000000000007</v>
      </c>
      <c r="G12" s="113">
        <f t="shared" si="20"/>
        <v>61.930000000000007</v>
      </c>
      <c r="H12" s="86">
        <f t="shared" si="20"/>
        <v>99.38000000000001</v>
      </c>
      <c r="I12" s="113">
        <f t="shared" si="20"/>
        <v>99.38000000000001</v>
      </c>
      <c r="J12" s="86">
        <f t="shared" si="20"/>
        <v>123.86000000000001</v>
      </c>
      <c r="K12" s="113">
        <f t="shared" si="20"/>
        <v>123.86000000000001</v>
      </c>
      <c r="L12" s="86">
        <f t="shared" si="20"/>
        <v>176.4</v>
      </c>
      <c r="M12" s="85">
        <f t="shared" si="20"/>
        <v>176.4</v>
      </c>
      <c r="N12" s="85">
        <f t="shared" si="20"/>
        <v>228.94</v>
      </c>
      <c r="O12" s="113">
        <f t="shared" si="20"/>
        <v>228.94</v>
      </c>
      <c r="P12" s="86">
        <f t="shared" si="20"/>
        <v>268.08</v>
      </c>
      <c r="Q12" s="113">
        <f t="shared" si="20"/>
        <v>268.08</v>
      </c>
      <c r="R12" s="86">
        <f t="shared" si="20"/>
        <v>268.08</v>
      </c>
      <c r="S12" s="113">
        <f t="shared" si="20"/>
        <v>268.08</v>
      </c>
      <c r="T12" s="86">
        <f t="shared" si="20"/>
        <v>268.08</v>
      </c>
      <c r="U12" s="113">
        <f t="shared" si="20"/>
        <v>268.08</v>
      </c>
      <c r="V12" s="86">
        <f t="shared" si="20"/>
        <v>268.08</v>
      </c>
      <c r="W12" s="113">
        <f t="shared" si="20"/>
        <v>268.08</v>
      </c>
      <c r="X12" s="86">
        <f t="shared" si="20"/>
        <v>268.08</v>
      </c>
      <c r="Y12" s="113">
        <f t="shared" si="20"/>
        <v>268.08</v>
      </c>
      <c r="Z12" s="86">
        <f t="shared" si="20"/>
        <v>268.08</v>
      </c>
    </row>
    <row r="13" spans="1:27" ht="16.899999999999999" hidden="1" customHeight="1" x14ac:dyDescent="0.25">
      <c r="A13" s="261"/>
      <c r="B13" s="84" t="s">
        <v>66</v>
      </c>
      <c r="C13" s="113">
        <f t="shared" ref="C13:Z13" si="21">C6+C49</f>
        <v>786.12000000000012</v>
      </c>
      <c r="D13" s="86">
        <f t="shared" si="21"/>
        <v>0</v>
      </c>
      <c r="E13" s="113">
        <f t="shared" si="21"/>
        <v>1048.1600000000001</v>
      </c>
      <c r="F13" s="86">
        <f t="shared" si="21"/>
        <v>0</v>
      </c>
      <c r="G13" s="113">
        <f t="shared" si="21"/>
        <v>1048.1600000000001</v>
      </c>
      <c r="H13" s="86">
        <f t="shared" si="21"/>
        <v>0</v>
      </c>
      <c r="I13" s="113">
        <f t="shared" si="21"/>
        <v>786.12000000000012</v>
      </c>
      <c r="J13" s="86">
        <f t="shared" si="21"/>
        <v>0</v>
      </c>
      <c r="K13" s="113">
        <f t="shared" si="21"/>
        <v>1353</v>
      </c>
      <c r="L13" s="86">
        <f t="shared" si="21"/>
        <v>0</v>
      </c>
      <c r="M13" s="85">
        <f t="shared" si="21"/>
        <v>1353</v>
      </c>
      <c r="N13" s="85">
        <f t="shared" si="21"/>
        <v>0</v>
      </c>
      <c r="O13" s="113">
        <f t="shared" si="21"/>
        <v>1082.4000000000001</v>
      </c>
      <c r="P13" s="86">
        <f t="shared" si="21"/>
        <v>0</v>
      </c>
      <c r="Q13" s="113">
        <f t="shared" si="21"/>
        <v>0</v>
      </c>
      <c r="R13" s="86">
        <f t="shared" si="21"/>
        <v>0</v>
      </c>
      <c r="S13" s="113">
        <f t="shared" si="21"/>
        <v>0</v>
      </c>
      <c r="T13" s="86">
        <f t="shared" si="21"/>
        <v>0</v>
      </c>
      <c r="U13" s="113">
        <f t="shared" si="21"/>
        <v>0</v>
      </c>
      <c r="V13" s="86">
        <f t="shared" si="21"/>
        <v>0</v>
      </c>
      <c r="W13" s="113">
        <f t="shared" si="21"/>
        <v>0</v>
      </c>
      <c r="X13" s="86">
        <f t="shared" si="21"/>
        <v>0</v>
      </c>
      <c r="Y13" s="113">
        <f t="shared" si="21"/>
        <v>0</v>
      </c>
      <c r="Z13" s="86">
        <f t="shared" si="21"/>
        <v>0</v>
      </c>
    </row>
    <row r="14" spans="1:27" ht="16.899999999999999" hidden="1" customHeight="1" x14ac:dyDescent="0.25">
      <c r="A14" s="261"/>
      <c r="B14" s="84" t="s">
        <v>64</v>
      </c>
      <c r="C14" s="113">
        <f t="shared" ref="C14:Z14" si="22">MAX_ANNUAL_CPP-C12</f>
        <v>2564.1</v>
      </c>
      <c r="D14" s="86">
        <f t="shared" si="22"/>
        <v>2539.62</v>
      </c>
      <c r="E14" s="113">
        <f t="shared" si="22"/>
        <v>2539.62</v>
      </c>
      <c r="F14" s="86">
        <f t="shared" si="22"/>
        <v>2502.17</v>
      </c>
      <c r="G14" s="113">
        <f t="shared" si="22"/>
        <v>2502.17</v>
      </c>
      <c r="H14" s="86">
        <f t="shared" si="22"/>
        <v>2464.7199999999998</v>
      </c>
      <c r="I14" s="113">
        <f t="shared" si="22"/>
        <v>2464.7199999999998</v>
      </c>
      <c r="J14" s="86">
        <f t="shared" si="22"/>
        <v>2440.2399999999998</v>
      </c>
      <c r="K14" s="113">
        <f t="shared" si="22"/>
        <v>2440.2399999999998</v>
      </c>
      <c r="L14" s="86">
        <f t="shared" si="22"/>
        <v>2387.6999999999998</v>
      </c>
      <c r="M14" s="85">
        <f t="shared" si="22"/>
        <v>2387.6999999999998</v>
      </c>
      <c r="N14" s="85">
        <f t="shared" si="22"/>
        <v>2335.16</v>
      </c>
      <c r="O14" s="113">
        <f t="shared" si="22"/>
        <v>2335.16</v>
      </c>
      <c r="P14" s="86">
        <f t="shared" si="22"/>
        <v>2296.02</v>
      </c>
      <c r="Q14" s="113">
        <f t="shared" si="22"/>
        <v>2296.02</v>
      </c>
      <c r="R14" s="86">
        <f t="shared" si="22"/>
        <v>2296.02</v>
      </c>
      <c r="S14" s="113">
        <f t="shared" si="22"/>
        <v>2296.02</v>
      </c>
      <c r="T14" s="86">
        <f t="shared" si="22"/>
        <v>2296.02</v>
      </c>
      <c r="U14" s="113">
        <f t="shared" si="22"/>
        <v>2296.02</v>
      </c>
      <c r="V14" s="86">
        <f t="shared" si="22"/>
        <v>2296.02</v>
      </c>
      <c r="W14" s="113">
        <f t="shared" si="22"/>
        <v>2296.02</v>
      </c>
      <c r="X14" s="86">
        <f t="shared" si="22"/>
        <v>2296.02</v>
      </c>
      <c r="Y14" s="113">
        <f t="shared" si="22"/>
        <v>2296.02</v>
      </c>
      <c r="Z14" s="86">
        <f t="shared" si="22"/>
        <v>2296.02</v>
      </c>
    </row>
    <row r="15" spans="1:27" ht="16.899999999999999" hidden="1" customHeight="1" x14ac:dyDescent="0.25">
      <c r="A15" s="261"/>
      <c r="B15" s="84" t="s">
        <v>65</v>
      </c>
      <c r="C15" s="113">
        <f t="shared" ref="C15:Z15" si="23">CPP_RATE * (C13 - (3500 / HOSHUKO_R) )</f>
        <v>24.475440000000006</v>
      </c>
      <c r="D15" s="86">
        <f t="shared" si="23"/>
        <v>-14.437500000000002</v>
      </c>
      <c r="E15" s="113">
        <f t="shared" si="23"/>
        <v>37.446420000000003</v>
      </c>
      <c r="F15" s="86">
        <f t="shared" si="23"/>
        <v>-14.437500000000002</v>
      </c>
      <c r="G15" s="113">
        <f t="shared" si="23"/>
        <v>37.446420000000003</v>
      </c>
      <c r="H15" s="86">
        <f t="shared" si="23"/>
        <v>-14.437500000000002</v>
      </c>
      <c r="I15" s="113">
        <f t="shared" si="23"/>
        <v>24.475440000000006</v>
      </c>
      <c r="J15" s="86">
        <f t="shared" si="23"/>
        <v>-14.437500000000002</v>
      </c>
      <c r="K15" s="113">
        <f t="shared" si="23"/>
        <v>52.536000000000001</v>
      </c>
      <c r="L15" s="86">
        <f t="shared" si="23"/>
        <v>-14.437500000000002</v>
      </c>
      <c r="M15" s="85">
        <f t="shared" si="23"/>
        <v>52.536000000000001</v>
      </c>
      <c r="N15" s="85">
        <f t="shared" si="23"/>
        <v>-14.437500000000002</v>
      </c>
      <c r="O15" s="113">
        <f t="shared" si="23"/>
        <v>39.141300000000001</v>
      </c>
      <c r="P15" s="86">
        <f t="shared" si="23"/>
        <v>-14.437500000000002</v>
      </c>
      <c r="Q15" s="113">
        <f t="shared" si="23"/>
        <v>-14.437500000000002</v>
      </c>
      <c r="R15" s="86">
        <f t="shared" si="23"/>
        <v>-14.437500000000002</v>
      </c>
      <c r="S15" s="113">
        <f t="shared" si="23"/>
        <v>-14.437500000000002</v>
      </c>
      <c r="T15" s="86">
        <f t="shared" si="23"/>
        <v>-14.437500000000002</v>
      </c>
      <c r="U15" s="113">
        <f t="shared" si="23"/>
        <v>-14.437500000000002</v>
      </c>
      <c r="V15" s="86">
        <f t="shared" si="23"/>
        <v>-14.437500000000002</v>
      </c>
      <c r="W15" s="113">
        <f t="shared" si="23"/>
        <v>-14.437500000000002</v>
      </c>
      <c r="X15" s="86">
        <f t="shared" si="23"/>
        <v>-14.437500000000002</v>
      </c>
      <c r="Y15" s="113">
        <f t="shared" si="23"/>
        <v>-14.437500000000002</v>
      </c>
      <c r="Z15" s="86">
        <f t="shared" si="23"/>
        <v>-14.437500000000002</v>
      </c>
    </row>
    <row r="16" spans="1:27" ht="16.899999999999999" hidden="1" customHeight="1" x14ac:dyDescent="0.25">
      <c r="A16" s="261"/>
      <c r="B16" s="84" t="s">
        <v>67</v>
      </c>
      <c r="C16" s="113">
        <f>MIN(C14,C15)</f>
        <v>24.475440000000006</v>
      </c>
      <c r="D16" s="86">
        <f t="shared" ref="D16:Z16" si="24">MIN(D14,D15)</f>
        <v>-14.437500000000002</v>
      </c>
      <c r="E16" s="113">
        <f t="shared" si="24"/>
        <v>37.446420000000003</v>
      </c>
      <c r="F16" s="86">
        <f t="shared" si="24"/>
        <v>-14.437500000000002</v>
      </c>
      <c r="G16" s="113">
        <f t="shared" si="24"/>
        <v>37.446420000000003</v>
      </c>
      <c r="H16" s="86">
        <f t="shared" si="24"/>
        <v>-14.437500000000002</v>
      </c>
      <c r="I16" s="113">
        <f t="shared" si="24"/>
        <v>24.475440000000006</v>
      </c>
      <c r="J16" s="86">
        <f t="shared" si="24"/>
        <v>-14.437500000000002</v>
      </c>
      <c r="K16" s="113">
        <f t="shared" si="24"/>
        <v>52.536000000000001</v>
      </c>
      <c r="L16" s="86">
        <f t="shared" si="24"/>
        <v>-14.437500000000002</v>
      </c>
      <c r="M16" s="85">
        <f t="shared" si="24"/>
        <v>52.536000000000001</v>
      </c>
      <c r="N16" s="85">
        <f t="shared" si="24"/>
        <v>-14.437500000000002</v>
      </c>
      <c r="O16" s="113">
        <f t="shared" si="24"/>
        <v>39.141300000000001</v>
      </c>
      <c r="P16" s="86">
        <f t="shared" si="24"/>
        <v>-14.437500000000002</v>
      </c>
      <c r="Q16" s="113">
        <f t="shared" si="24"/>
        <v>-14.437500000000002</v>
      </c>
      <c r="R16" s="86">
        <f t="shared" si="24"/>
        <v>-14.437500000000002</v>
      </c>
      <c r="S16" s="113">
        <f t="shared" si="24"/>
        <v>-14.437500000000002</v>
      </c>
      <c r="T16" s="86">
        <f t="shared" si="24"/>
        <v>-14.437500000000002</v>
      </c>
      <c r="U16" s="113">
        <f t="shared" si="24"/>
        <v>-14.437500000000002</v>
      </c>
      <c r="V16" s="86">
        <f t="shared" si="24"/>
        <v>-14.437500000000002</v>
      </c>
      <c r="W16" s="113">
        <f t="shared" si="24"/>
        <v>-14.437500000000002</v>
      </c>
      <c r="X16" s="86">
        <f t="shared" si="24"/>
        <v>-14.437500000000002</v>
      </c>
      <c r="Y16" s="113">
        <f t="shared" si="24"/>
        <v>-14.437500000000002</v>
      </c>
      <c r="Z16" s="86">
        <f t="shared" si="24"/>
        <v>-14.437500000000002</v>
      </c>
    </row>
    <row r="17" spans="1:27" ht="16.899999999999999" customHeight="1" x14ac:dyDescent="0.25">
      <c r="A17" s="261"/>
      <c r="B17" s="84" t="s">
        <v>7</v>
      </c>
      <c r="C17" s="113">
        <f t="shared" ref="C17:Z17" si="25">IF(C16 &lt; 0, 0, ROUND(C16,2))</f>
        <v>24.48</v>
      </c>
      <c r="D17" s="86">
        <f t="shared" si="25"/>
        <v>0</v>
      </c>
      <c r="E17" s="113">
        <f t="shared" si="25"/>
        <v>37.450000000000003</v>
      </c>
      <c r="F17" s="86">
        <f t="shared" si="25"/>
        <v>0</v>
      </c>
      <c r="G17" s="113">
        <f t="shared" si="25"/>
        <v>37.450000000000003</v>
      </c>
      <c r="H17" s="86">
        <f t="shared" si="25"/>
        <v>0</v>
      </c>
      <c r="I17" s="113">
        <f t="shared" si="25"/>
        <v>24.48</v>
      </c>
      <c r="J17" s="86">
        <f t="shared" si="25"/>
        <v>0</v>
      </c>
      <c r="K17" s="113">
        <f t="shared" si="25"/>
        <v>52.54</v>
      </c>
      <c r="L17" s="86">
        <f t="shared" si="25"/>
        <v>0</v>
      </c>
      <c r="M17" s="85">
        <f t="shared" si="25"/>
        <v>52.54</v>
      </c>
      <c r="N17" s="85">
        <f t="shared" si="25"/>
        <v>0</v>
      </c>
      <c r="O17" s="113">
        <f t="shared" si="25"/>
        <v>39.14</v>
      </c>
      <c r="P17" s="86">
        <f t="shared" si="25"/>
        <v>0</v>
      </c>
      <c r="Q17" s="113">
        <f t="shared" si="25"/>
        <v>0</v>
      </c>
      <c r="R17" s="86">
        <f t="shared" si="25"/>
        <v>0</v>
      </c>
      <c r="S17" s="113">
        <f t="shared" si="25"/>
        <v>0</v>
      </c>
      <c r="T17" s="86">
        <f t="shared" si="25"/>
        <v>0</v>
      </c>
      <c r="U17" s="113">
        <f t="shared" si="25"/>
        <v>0</v>
      </c>
      <c r="V17" s="86">
        <f t="shared" si="25"/>
        <v>0</v>
      </c>
      <c r="W17" s="113">
        <f t="shared" si="25"/>
        <v>0</v>
      </c>
      <c r="X17" s="86">
        <f t="shared" si="25"/>
        <v>0</v>
      </c>
      <c r="Y17" s="113">
        <f t="shared" si="25"/>
        <v>0</v>
      </c>
      <c r="Z17" s="86">
        <f t="shared" si="25"/>
        <v>0</v>
      </c>
      <c r="AA17" s="3">
        <f>SUM(C17:Z17)</f>
        <v>268.08</v>
      </c>
    </row>
    <row r="18" spans="1:27" ht="16.899999999999999" hidden="1" customHeight="1" x14ac:dyDescent="0.25">
      <c r="A18" s="261"/>
      <c r="B18" s="84" t="s">
        <v>69</v>
      </c>
      <c r="C18" s="113">
        <v>0</v>
      </c>
      <c r="D18" s="86">
        <f t="shared" ref="D18:Z18" si="26">C18+C23</f>
        <v>12.81</v>
      </c>
      <c r="E18" s="113">
        <f t="shared" si="26"/>
        <v>12.81</v>
      </c>
      <c r="F18" s="86">
        <f t="shared" si="26"/>
        <v>29.9</v>
      </c>
      <c r="G18" s="113">
        <f t="shared" si="26"/>
        <v>29.9</v>
      </c>
      <c r="H18" s="86">
        <f t="shared" si="26"/>
        <v>46.989999999999995</v>
      </c>
      <c r="I18" s="113">
        <f t="shared" si="26"/>
        <v>46.989999999999995</v>
      </c>
      <c r="J18" s="86">
        <f t="shared" si="26"/>
        <v>59.8</v>
      </c>
      <c r="K18" s="113">
        <f t="shared" si="26"/>
        <v>59.8</v>
      </c>
      <c r="L18" s="86">
        <f t="shared" si="26"/>
        <v>81.849999999999994</v>
      </c>
      <c r="M18" s="85">
        <f t="shared" si="26"/>
        <v>81.849999999999994</v>
      </c>
      <c r="N18" s="85">
        <f t="shared" si="26"/>
        <v>103.89999999999999</v>
      </c>
      <c r="O18" s="113">
        <f t="shared" si="26"/>
        <v>103.89999999999999</v>
      </c>
      <c r="P18" s="86">
        <f t="shared" si="26"/>
        <v>121.53999999999999</v>
      </c>
      <c r="Q18" s="113">
        <f t="shared" si="26"/>
        <v>121.53999999999999</v>
      </c>
      <c r="R18" s="86">
        <f t="shared" si="26"/>
        <v>121.53999999999999</v>
      </c>
      <c r="S18" s="113">
        <f t="shared" si="26"/>
        <v>121.53999999999999</v>
      </c>
      <c r="T18" s="86">
        <f t="shared" si="26"/>
        <v>121.53999999999999</v>
      </c>
      <c r="U18" s="113">
        <f t="shared" si="26"/>
        <v>121.53999999999999</v>
      </c>
      <c r="V18" s="86">
        <f t="shared" si="26"/>
        <v>121.53999999999999</v>
      </c>
      <c r="W18" s="113">
        <f t="shared" si="26"/>
        <v>121.53999999999999</v>
      </c>
      <c r="X18" s="86">
        <f t="shared" si="26"/>
        <v>121.53999999999999</v>
      </c>
      <c r="Y18" s="113">
        <f t="shared" si="26"/>
        <v>121.53999999999999</v>
      </c>
      <c r="Z18" s="86">
        <f t="shared" si="26"/>
        <v>121.53999999999999</v>
      </c>
    </row>
    <row r="19" spans="1:27" ht="16.899999999999999" hidden="1" customHeight="1" x14ac:dyDescent="0.25">
      <c r="A19" s="261"/>
      <c r="B19" s="84" t="s">
        <v>70</v>
      </c>
      <c r="C19" s="113">
        <f t="shared" ref="C19:Z19" si="27">C6</f>
        <v>786.12000000000012</v>
      </c>
      <c r="D19" s="86">
        <f t="shared" si="27"/>
        <v>0</v>
      </c>
      <c r="E19" s="113">
        <f t="shared" si="27"/>
        <v>1048.1600000000001</v>
      </c>
      <c r="F19" s="86">
        <f t="shared" si="27"/>
        <v>0</v>
      </c>
      <c r="G19" s="113">
        <f t="shared" si="27"/>
        <v>1048.1600000000001</v>
      </c>
      <c r="H19" s="86">
        <f t="shared" si="27"/>
        <v>0</v>
      </c>
      <c r="I19" s="113">
        <f t="shared" si="27"/>
        <v>786.12000000000012</v>
      </c>
      <c r="J19" s="86">
        <f t="shared" si="27"/>
        <v>0</v>
      </c>
      <c r="K19" s="113">
        <f t="shared" si="27"/>
        <v>1353</v>
      </c>
      <c r="L19" s="86">
        <f t="shared" si="27"/>
        <v>0</v>
      </c>
      <c r="M19" s="85">
        <f t="shared" si="27"/>
        <v>1353</v>
      </c>
      <c r="N19" s="85">
        <f t="shared" si="27"/>
        <v>0</v>
      </c>
      <c r="O19" s="113">
        <f t="shared" si="27"/>
        <v>1082.4000000000001</v>
      </c>
      <c r="P19" s="86">
        <f t="shared" si="27"/>
        <v>0</v>
      </c>
      <c r="Q19" s="113">
        <f t="shared" si="27"/>
        <v>0</v>
      </c>
      <c r="R19" s="86">
        <f t="shared" si="27"/>
        <v>0</v>
      </c>
      <c r="S19" s="113">
        <f t="shared" si="27"/>
        <v>0</v>
      </c>
      <c r="T19" s="86">
        <f t="shared" si="27"/>
        <v>0</v>
      </c>
      <c r="U19" s="113">
        <f t="shared" si="27"/>
        <v>0</v>
      </c>
      <c r="V19" s="86">
        <f t="shared" si="27"/>
        <v>0</v>
      </c>
      <c r="W19" s="113">
        <f t="shared" si="27"/>
        <v>0</v>
      </c>
      <c r="X19" s="86">
        <f t="shared" si="27"/>
        <v>0</v>
      </c>
      <c r="Y19" s="113">
        <f t="shared" si="27"/>
        <v>0</v>
      </c>
      <c r="Z19" s="86">
        <f t="shared" si="27"/>
        <v>0</v>
      </c>
    </row>
    <row r="20" spans="1:27" ht="16.899999999999999" hidden="1" customHeight="1" x14ac:dyDescent="0.25">
      <c r="A20" s="261"/>
      <c r="B20" s="84" t="s">
        <v>71</v>
      </c>
      <c r="C20" s="113">
        <f t="shared" ref="C20:Z20" si="28">MAX_ANNUAL_EI-C18</f>
        <v>836.19</v>
      </c>
      <c r="D20" s="86">
        <f t="shared" si="28"/>
        <v>823.38000000000011</v>
      </c>
      <c r="E20" s="113">
        <f t="shared" si="28"/>
        <v>823.38000000000011</v>
      </c>
      <c r="F20" s="86">
        <f t="shared" si="28"/>
        <v>806.29000000000008</v>
      </c>
      <c r="G20" s="113">
        <f t="shared" si="28"/>
        <v>806.29000000000008</v>
      </c>
      <c r="H20" s="86">
        <f t="shared" si="28"/>
        <v>789.2</v>
      </c>
      <c r="I20" s="113">
        <f t="shared" si="28"/>
        <v>789.2</v>
      </c>
      <c r="J20" s="86">
        <f t="shared" si="28"/>
        <v>776.3900000000001</v>
      </c>
      <c r="K20" s="113">
        <f t="shared" si="28"/>
        <v>776.3900000000001</v>
      </c>
      <c r="L20" s="86">
        <f t="shared" si="28"/>
        <v>754.34</v>
      </c>
      <c r="M20" s="85">
        <f t="shared" si="28"/>
        <v>754.34</v>
      </c>
      <c r="N20" s="85">
        <f t="shared" si="28"/>
        <v>732.29000000000008</v>
      </c>
      <c r="O20" s="113">
        <f t="shared" si="28"/>
        <v>732.29000000000008</v>
      </c>
      <c r="P20" s="86">
        <f t="shared" si="28"/>
        <v>714.65000000000009</v>
      </c>
      <c r="Q20" s="113">
        <f t="shared" si="28"/>
        <v>714.65000000000009</v>
      </c>
      <c r="R20" s="86">
        <f t="shared" si="28"/>
        <v>714.65000000000009</v>
      </c>
      <c r="S20" s="113">
        <f t="shared" si="28"/>
        <v>714.65000000000009</v>
      </c>
      <c r="T20" s="86">
        <f t="shared" si="28"/>
        <v>714.65000000000009</v>
      </c>
      <c r="U20" s="113">
        <f t="shared" si="28"/>
        <v>714.65000000000009</v>
      </c>
      <c r="V20" s="86">
        <f t="shared" si="28"/>
        <v>714.65000000000009</v>
      </c>
      <c r="W20" s="113">
        <f t="shared" si="28"/>
        <v>714.65000000000009</v>
      </c>
      <c r="X20" s="86">
        <f t="shared" si="28"/>
        <v>714.65000000000009</v>
      </c>
      <c r="Y20" s="113">
        <f t="shared" si="28"/>
        <v>714.65000000000009</v>
      </c>
      <c r="Z20" s="86">
        <f t="shared" si="28"/>
        <v>714.65000000000009</v>
      </c>
    </row>
    <row r="21" spans="1:27" ht="16.899999999999999" hidden="1" customHeight="1" x14ac:dyDescent="0.25">
      <c r="A21" s="261"/>
      <c r="B21" s="84" t="s">
        <v>72</v>
      </c>
      <c r="C21" s="113">
        <f t="shared" ref="C21:Z21" si="29">EI_RATE * C19</f>
        <v>12.813756000000001</v>
      </c>
      <c r="D21" s="86">
        <f t="shared" si="29"/>
        <v>0</v>
      </c>
      <c r="E21" s="113">
        <f t="shared" si="29"/>
        <v>17.085007999999998</v>
      </c>
      <c r="F21" s="86">
        <f t="shared" si="29"/>
        <v>0</v>
      </c>
      <c r="G21" s="113">
        <f t="shared" si="29"/>
        <v>17.085007999999998</v>
      </c>
      <c r="H21" s="86">
        <f t="shared" si="29"/>
        <v>0</v>
      </c>
      <c r="I21" s="113">
        <f t="shared" si="29"/>
        <v>12.813756000000001</v>
      </c>
      <c r="J21" s="86">
        <f t="shared" si="29"/>
        <v>0</v>
      </c>
      <c r="K21" s="113">
        <f t="shared" si="29"/>
        <v>22.053899999999999</v>
      </c>
      <c r="L21" s="86">
        <f t="shared" si="29"/>
        <v>0</v>
      </c>
      <c r="M21" s="85">
        <f t="shared" si="29"/>
        <v>22.053899999999999</v>
      </c>
      <c r="N21" s="85">
        <f t="shared" si="29"/>
        <v>0</v>
      </c>
      <c r="O21" s="113">
        <f t="shared" si="29"/>
        <v>17.64312</v>
      </c>
      <c r="P21" s="86">
        <f t="shared" si="29"/>
        <v>0</v>
      </c>
      <c r="Q21" s="113">
        <f t="shared" si="29"/>
        <v>0</v>
      </c>
      <c r="R21" s="86">
        <f t="shared" si="29"/>
        <v>0</v>
      </c>
      <c r="S21" s="113">
        <f t="shared" si="29"/>
        <v>0</v>
      </c>
      <c r="T21" s="86">
        <f t="shared" si="29"/>
        <v>0</v>
      </c>
      <c r="U21" s="113">
        <f t="shared" si="29"/>
        <v>0</v>
      </c>
      <c r="V21" s="86">
        <f t="shared" si="29"/>
        <v>0</v>
      </c>
      <c r="W21" s="113">
        <f t="shared" si="29"/>
        <v>0</v>
      </c>
      <c r="X21" s="86">
        <f t="shared" si="29"/>
        <v>0</v>
      </c>
      <c r="Y21" s="113">
        <f t="shared" si="29"/>
        <v>0</v>
      </c>
      <c r="Z21" s="86">
        <f t="shared" si="29"/>
        <v>0</v>
      </c>
    </row>
    <row r="22" spans="1:27" ht="16.899999999999999" hidden="1" customHeight="1" x14ac:dyDescent="0.25">
      <c r="A22" s="261"/>
      <c r="B22" s="84" t="s">
        <v>73</v>
      </c>
      <c r="C22" s="113">
        <f>MIN(C20:C21)</f>
        <v>12.813756000000001</v>
      </c>
      <c r="D22" s="86">
        <f t="shared" ref="D22:Z22" si="30">MIN(D20:D21)</f>
        <v>0</v>
      </c>
      <c r="E22" s="113">
        <f t="shared" si="30"/>
        <v>17.085007999999998</v>
      </c>
      <c r="F22" s="86">
        <f t="shared" si="30"/>
        <v>0</v>
      </c>
      <c r="G22" s="113">
        <f t="shared" si="30"/>
        <v>17.085007999999998</v>
      </c>
      <c r="H22" s="86">
        <f t="shared" si="30"/>
        <v>0</v>
      </c>
      <c r="I22" s="113">
        <f t="shared" si="30"/>
        <v>12.813756000000001</v>
      </c>
      <c r="J22" s="86">
        <f t="shared" si="30"/>
        <v>0</v>
      </c>
      <c r="K22" s="113">
        <f t="shared" si="30"/>
        <v>22.053899999999999</v>
      </c>
      <c r="L22" s="86">
        <f t="shared" si="30"/>
        <v>0</v>
      </c>
      <c r="M22" s="85">
        <f t="shared" si="30"/>
        <v>22.053899999999999</v>
      </c>
      <c r="N22" s="85">
        <f t="shared" si="30"/>
        <v>0</v>
      </c>
      <c r="O22" s="113">
        <f t="shared" si="30"/>
        <v>17.64312</v>
      </c>
      <c r="P22" s="86">
        <f t="shared" si="30"/>
        <v>0</v>
      </c>
      <c r="Q22" s="113">
        <f t="shared" si="30"/>
        <v>0</v>
      </c>
      <c r="R22" s="86">
        <f t="shared" si="30"/>
        <v>0</v>
      </c>
      <c r="S22" s="113">
        <f t="shared" si="30"/>
        <v>0</v>
      </c>
      <c r="T22" s="86">
        <f t="shared" si="30"/>
        <v>0</v>
      </c>
      <c r="U22" s="113">
        <f t="shared" si="30"/>
        <v>0</v>
      </c>
      <c r="V22" s="86">
        <f t="shared" si="30"/>
        <v>0</v>
      </c>
      <c r="W22" s="113">
        <f t="shared" si="30"/>
        <v>0</v>
      </c>
      <c r="X22" s="86">
        <f t="shared" si="30"/>
        <v>0</v>
      </c>
      <c r="Y22" s="113">
        <f t="shared" si="30"/>
        <v>0</v>
      </c>
      <c r="Z22" s="86">
        <f t="shared" si="30"/>
        <v>0</v>
      </c>
    </row>
    <row r="23" spans="1:27" x14ac:dyDescent="0.25">
      <c r="A23" s="261"/>
      <c r="B23" s="84" t="s">
        <v>8</v>
      </c>
      <c r="C23" s="113">
        <f t="shared" ref="C23:Z23" si="31">IF(C22&lt;0,0,ROUND(C22,2))</f>
        <v>12.81</v>
      </c>
      <c r="D23" s="86">
        <f t="shared" si="31"/>
        <v>0</v>
      </c>
      <c r="E23" s="113">
        <f t="shared" si="31"/>
        <v>17.09</v>
      </c>
      <c r="F23" s="86">
        <f t="shared" si="31"/>
        <v>0</v>
      </c>
      <c r="G23" s="113">
        <f t="shared" si="31"/>
        <v>17.09</v>
      </c>
      <c r="H23" s="86">
        <f t="shared" si="31"/>
        <v>0</v>
      </c>
      <c r="I23" s="113">
        <f t="shared" si="31"/>
        <v>12.81</v>
      </c>
      <c r="J23" s="86">
        <f t="shared" si="31"/>
        <v>0</v>
      </c>
      <c r="K23" s="113">
        <f t="shared" si="31"/>
        <v>22.05</v>
      </c>
      <c r="L23" s="86">
        <f t="shared" si="31"/>
        <v>0</v>
      </c>
      <c r="M23" s="85">
        <f t="shared" si="31"/>
        <v>22.05</v>
      </c>
      <c r="N23" s="85">
        <f t="shared" si="31"/>
        <v>0</v>
      </c>
      <c r="O23" s="113">
        <f t="shared" si="31"/>
        <v>17.64</v>
      </c>
      <c r="P23" s="86">
        <f t="shared" si="31"/>
        <v>0</v>
      </c>
      <c r="Q23" s="113">
        <f t="shared" si="31"/>
        <v>0</v>
      </c>
      <c r="R23" s="86">
        <f t="shared" si="31"/>
        <v>0</v>
      </c>
      <c r="S23" s="113">
        <f t="shared" si="31"/>
        <v>0</v>
      </c>
      <c r="T23" s="86">
        <f t="shared" si="31"/>
        <v>0</v>
      </c>
      <c r="U23" s="113">
        <f t="shared" si="31"/>
        <v>0</v>
      </c>
      <c r="V23" s="86">
        <f t="shared" si="31"/>
        <v>0</v>
      </c>
      <c r="W23" s="113">
        <f t="shared" si="31"/>
        <v>0</v>
      </c>
      <c r="X23" s="86">
        <f t="shared" si="31"/>
        <v>0</v>
      </c>
      <c r="Y23" s="113">
        <f t="shared" si="31"/>
        <v>0</v>
      </c>
      <c r="Z23" s="86">
        <f t="shared" si="31"/>
        <v>0</v>
      </c>
      <c r="AA23" s="3">
        <f>SUM(C23:Z23)</f>
        <v>121.53999999999999</v>
      </c>
    </row>
    <row r="24" spans="1:27" ht="14.45" hidden="1" customHeight="1" x14ac:dyDescent="0.25">
      <c r="A24" s="261"/>
      <c r="B24" s="84" t="s">
        <v>88</v>
      </c>
      <c r="C24" s="113">
        <f t="shared" ref="C24:Z24" si="32">HOSHUKO_R  * (C6 + C49 - C9 - C10 - C11)</f>
        <v>9433.4400000000023</v>
      </c>
      <c r="D24" s="86">
        <f t="shared" si="32"/>
        <v>0</v>
      </c>
      <c r="E24" s="113">
        <f t="shared" si="32"/>
        <v>12577.920000000002</v>
      </c>
      <c r="F24" s="86">
        <f t="shared" si="32"/>
        <v>0</v>
      </c>
      <c r="G24" s="113">
        <f t="shared" si="32"/>
        <v>12577.920000000002</v>
      </c>
      <c r="H24" s="86">
        <f t="shared" si="32"/>
        <v>0</v>
      </c>
      <c r="I24" s="113">
        <f t="shared" si="32"/>
        <v>9433.4400000000023</v>
      </c>
      <c r="J24" s="86">
        <f t="shared" si="32"/>
        <v>0</v>
      </c>
      <c r="K24" s="113">
        <f t="shared" si="32"/>
        <v>16236</v>
      </c>
      <c r="L24" s="86">
        <f t="shared" si="32"/>
        <v>0</v>
      </c>
      <c r="M24" s="85">
        <f t="shared" si="32"/>
        <v>16236</v>
      </c>
      <c r="N24" s="85">
        <f t="shared" si="32"/>
        <v>0</v>
      </c>
      <c r="O24" s="113">
        <f t="shared" si="32"/>
        <v>12988.800000000001</v>
      </c>
      <c r="P24" s="86">
        <f t="shared" si="32"/>
        <v>0</v>
      </c>
      <c r="Q24" s="113">
        <f t="shared" si="32"/>
        <v>0</v>
      </c>
      <c r="R24" s="86">
        <f t="shared" si="32"/>
        <v>0</v>
      </c>
      <c r="S24" s="113">
        <f t="shared" si="32"/>
        <v>0</v>
      </c>
      <c r="T24" s="86">
        <f t="shared" si="32"/>
        <v>0</v>
      </c>
      <c r="U24" s="113">
        <f t="shared" si="32"/>
        <v>0</v>
      </c>
      <c r="V24" s="86">
        <f t="shared" si="32"/>
        <v>0</v>
      </c>
      <c r="W24" s="113">
        <f t="shared" si="32"/>
        <v>0</v>
      </c>
      <c r="X24" s="86">
        <f t="shared" si="32"/>
        <v>0</v>
      </c>
      <c r="Y24" s="113">
        <f t="shared" si="32"/>
        <v>0</v>
      </c>
      <c r="Z24" s="86">
        <f t="shared" si="32"/>
        <v>0</v>
      </c>
    </row>
    <row r="25" spans="1:27" ht="14.45" hidden="1" customHeight="1" x14ac:dyDescent="0.25">
      <c r="A25" s="261"/>
      <c r="B25" s="84" t="s">
        <v>89</v>
      </c>
      <c r="C25" s="113">
        <f t="shared" ref="C25:Z25" si="33">VLOOKUP(C24,FED_RATE_TABLE,2,TRUE)</f>
        <v>0.15</v>
      </c>
      <c r="D25" s="86">
        <f t="shared" si="33"/>
        <v>0.15</v>
      </c>
      <c r="E25" s="113">
        <f t="shared" si="33"/>
        <v>0.15</v>
      </c>
      <c r="F25" s="86">
        <f t="shared" si="33"/>
        <v>0.15</v>
      </c>
      <c r="G25" s="113">
        <f t="shared" si="33"/>
        <v>0.15</v>
      </c>
      <c r="H25" s="86">
        <f t="shared" si="33"/>
        <v>0.15</v>
      </c>
      <c r="I25" s="113">
        <f t="shared" si="33"/>
        <v>0.15</v>
      </c>
      <c r="J25" s="86">
        <f t="shared" si="33"/>
        <v>0.15</v>
      </c>
      <c r="K25" s="113">
        <f t="shared" si="33"/>
        <v>0.15</v>
      </c>
      <c r="L25" s="86">
        <f t="shared" si="33"/>
        <v>0.15</v>
      </c>
      <c r="M25" s="85">
        <f t="shared" si="33"/>
        <v>0.15</v>
      </c>
      <c r="N25" s="85">
        <f t="shared" si="33"/>
        <v>0.15</v>
      </c>
      <c r="O25" s="113">
        <f t="shared" si="33"/>
        <v>0.15</v>
      </c>
      <c r="P25" s="86">
        <f t="shared" si="33"/>
        <v>0.15</v>
      </c>
      <c r="Q25" s="113">
        <f t="shared" si="33"/>
        <v>0.15</v>
      </c>
      <c r="R25" s="86">
        <f t="shared" si="33"/>
        <v>0.15</v>
      </c>
      <c r="S25" s="113">
        <f t="shared" si="33"/>
        <v>0.15</v>
      </c>
      <c r="T25" s="86">
        <f t="shared" si="33"/>
        <v>0.15</v>
      </c>
      <c r="U25" s="113">
        <f t="shared" si="33"/>
        <v>0.15</v>
      </c>
      <c r="V25" s="86">
        <f t="shared" si="33"/>
        <v>0.15</v>
      </c>
      <c r="W25" s="113">
        <f t="shared" si="33"/>
        <v>0.15</v>
      </c>
      <c r="X25" s="86">
        <f t="shared" si="33"/>
        <v>0.15</v>
      </c>
      <c r="Y25" s="113">
        <f t="shared" si="33"/>
        <v>0.15</v>
      </c>
      <c r="Z25" s="86">
        <f t="shared" si="33"/>
        <v>0.15</v>
      </c>
    </row>
    <row r="26" spans="1:27" ht="14.45" hidden="1" customHeight="1" x14ac:dyDescent="0.25">
      <c r="A26" s="261"/>
      <c r="B26" s="84" t="s">
        <v>90</v>
      </c>
      <c r="C26" s="113">
        <f t="shared" ref="C26:Z26" si="34">VLOOKUP(C24,FED_RATE_TABLE,3,TRUE)</f>
        <v>0</v>
      </c>
      <c r="D26" s="86">
        <f t="shared" si="34"/>
        <v>0</v>
      </c>
      <c r="E26" s="113">
        <f t="shared" si="34"/>
        <v>0</v>
      </c>
      <c r="F26" s="86">
        <f t="shared" si="34"/>
        <v>0</v>
      </c>
      <c r="G26" s="113">
        <f t="shared" si="34"/>
        <v>0</v>
      </c>
      <c r="H26" s="86">
        <f t="shared" si="34"/>
        <v>0</v>
      </c>
      <c r="I26" s="113">
        <f t="shared" si="34"/>
        <v>0</v>
      </c>
      <c r="J26" s="86">
        <f t="shared" si="34"/>
        <v>0</v>
      </c>
      <c r="K26" s="113">
        <f t="shared" si="34"/>
        <v>0</v>
      </c>
      <c r="L26" s="86">
        <f t="shared" si="34"/>
        <v>0</v>
      </c>
      <c r="M26" s="85">
        <f t="shared" si="34"/>
        <v>0</v>
      </c>
      <c r="N26" s="85">
        <f t="shared" si="34"/>
        <v>0</v>
      </c>
      <c r="O26" s="113">
        <f t="shared" si="34"/>
        <v>0</v>
      </c>
      <c r="P26" s="86">
        <f t="shared" si="34"/>
        <v>0</v>
      </c>
      <c r="Q26" s="113">
        <f t="shared" si="34"/>
        <v>0</v>
      </c>
      <c r="R26" s="86">
        <f t="shared" si="34"/>
        <v>0</v>
      </c>
      <c r="S26" s="113">
        <f t="shared" si="34"/>
        <v>0</v>
      </c>
      <c r="T26" s="86">
        <f t="shared" si="34"/>
        <v>0</v>
      </c>
      <c r="U26" s="113">
        <f t="shared" si="34"/>
        <v>0</v>
      </c>
      <c r="V26" s="86">
        <f t="shared" si="34"/>
        <v>0</v>
      </c>
      <c r="W26" s="113">
        <f t="shared" si="34"/>
        <v>0</v>
      </c>
      <c r="X26" s="86">
        <f t="shared" si="34"/>
        <v>0</v>
      </c>
      <c r="Y26" s="113">
        <f t="shared" si="34"/>
        <v>0</v>
      </c>
      <c r="Z26" s="86">
        <f t="shared" si="34"/>
        <v>0</v>
      </c>
    </row>
    <row r="27" spans="1:27" ht="14.45" hidden="1" customHeight="1" x14ac:dyDescent="0.25">
      <c r="A27" s="261"/>
      <c r="B27" s="84" t="s">
        <v>91</v>
      </c>
      <c r="C27" s="113">
        <f>Gov.Tax.Calcs!$F$15</f>
        <v>0</v>
      </c>
      <c r="D27" s="86">
        <f>Gov.Tax.Calcs!$F$15</f>
        <v>0</v>
      </c>
      <c r="E27" s="113">
        <f>Gov.Tax.Calcs!$F$15</f>
        <v>0</v>
      </c>
      <c r="F27" s="86">
        <f>Gov.Tax.Calcs!$F$15</f>
        <v>0</v>
      </c>
      <c r="G27" s="113">
        <f>Gov.Tax.Calcs!$F$15</f>
        <v>0</v>
      </c>
      <c r="H27" s="86">
        <f>Gov.Tax.Calcs!$F$15</f>
        <v>0</v>
      </c>
      <c r="I27" s="113">
        <f>Gov.Tax.Calcs!$F$15</f>
        <v>0</v>
      </c>
      <c r="J27" s="86">
        <f>Gov.Tax.Calcs!$F$15</f>
        <v>0</v>
      </c>
      <c r="K27" s="113">
        <f>Gov.Tax.Calcs!$F$15</f>
        <v>0</v>
      </c>
      <c r="L27" s="86">
        <f>Gov.Tax.Calcs!$F$15</f>
        <v>0</v>
      </c>
      <c r="M27" s="85">
        <f>Gov.Tax.Calcs!$F$15</f>
        <v>0</v>
      </c>
      <c r="N27" s="85">
        <f>Gov.Tax.Calcs!$F$15</f>
        <v>0</v>
      </c>
      <c r="O27" s="113">
        <f>Gov.Tax.Calcs!$F$15</f>
        <v>0</v>
      </c>
      <c r="P27" s="86">
        <f>Gov.Tax.Calcs!$F$15</f>
        <v>0</v>
      </c>
      <c r="Q27" s="113">
        <f>Gov.Tax.Calcs!$F$15</f>
        <v>0</v>
      </c>
      <c r="R27" s="86">
        <f>Gov.Tax.Calcs!$F$15</f>
        <v>0</v>
      </c>
      <c r="S27" s="113">
        <f>Gov.Tax.Calcs!$F$15</f>
        <v>0</v>
      </c>
      <c r="T27" s="86">
        <f>Gov.Tax.Calcs!$F$15</f>
        <v>0</v>
      </c>
      <c r="U27" s="113">
        <f>Gov.Tax.Calcs!$F$15</f>
        <v>0</v>
      </c>
      <c r="V27" s="86">
        <f>Gov.Tax.Calcs!$F$15</f>
        <v>0</v>
      </c>
      <c r="W27" s="113">
        <f>Gov.Tax.Calcs!$F$15</f>
        <v>0</v>
      </c>
      <c r="X27" s="86">
        <f>Gov.Tax.Calcs!$F$15</f>
        <v>0</v>
      </c>
      <c r="Y27" s="113">
        <f>Gov.Tax.Calcs!$F$15</f>
        <v>0</v>
      </c>
      <c r="Z27" s="86">
        <f>Gov.Tax.Calcs!$F$15</f>
        <v>0</v>
      </c>
    </row>
    <row r="28" spans="1:27" ht="14.45" hidden="1" customHeight="1" x14ac:dyDescent="0.25">
      <c r="A28" s="261"/>
      <c r="B28" s="84" t="s">
        <v>92</v>
      </c>
      <c r="C28" s="113">
        <f t="shared" ref="C28:Z28" si="35">VLOOKUP(C27,CLAIM_CODE_TABLE,3,FALSE)</f>
        <v>0</v>
      </c>
      <c r="D28" s="86">
        <f t="shared" si="35"/>
        <v>0</v>
      </c>
      <c r="E28" s="113">
        <f t="shared" si="35"/>
        <v>0</v>
      </c>
      <c r="F28" s="86">
        <f t="shared" si="35"/>
        <v>0</v>
      </c>
      <c r="G28" s="113">
        <f t="shared" si="35"/>
        <v>0</v>
      </c>
      <c r="H28" s="86">
        <f t="shared" si="35"/>
        <v>0</v>
      </c>
      <c r="I28" s="113">
        <f t="shared" si="35"/>
        <v>0</v>
      </c>
      <c r="J28" s="86">
        <f t="shared" si="35"/>
        <v>0</v>
      </c>
      <c r="K28" s="113">
        <f t="shared" si="35"/>
        <v>0</v>
      </c>
      <c r="L28" s="86">
        <f t="shared" si="35"/>
        <v>0</v>
      </c>
      <c r="M28" s="85">
        <f t="shared" si="35"/>
        <v>0</v>
      </c>
      <c r="N28" s="85">
        <f t="shared" si="35"/>
        <v>0</v>
      </c>
      <c r="O28" s="113">
        <f t="shared" si="35"/>
        <v>0</v>
      </c>
      <c r="P28" s="86">
        <f t="shared" si="35"/>
        <v>0</v>
      </c>
      <c r="Q28" s="113">
        <f t="shared" si="35"/>
        <v>0</v>
      </c>
      <c r="R28" s="86">
        <f t="shared" si="35"/>
        <v>0</v>
      </c>
      <c r="S28" s="113">
        <f t="shared" si="35"/>
        <v>0</v>
      </c>
      <c r="T28" s="86">
        <f t="shared" si="35"/>
        <v>0</v>
      </c>
      <c r="U28" s="113">
        <f t="shared" si="35"/>
        <v>0</v>
      </c>
      <c r="V28" s="86">
        <f t="shared" si="35"/>
        <v>0</v>
      </c>
      <c r="W28" s="113">
        <f t="shared" si="35"/>
        <v>0</v>
      </c>
      <c r="X28" s="86">
        <f t="shared" si="35"/>
        <v>0</v>
      </c>
      <c r="Y28" s="113">
        <f t="shared" si="35"/>
        <v>0</v>
      </c>
      <c r="Z28" s="86">
        <f t="shared" si="35"/>
        <v>0</v>
      </c>
    </row>
    <row r="29" spans="1:27" ht="14.45" hidden="1" customHeight="1" x14ac:dyDescent="0.25">
      <c r="A29" s="261"/>
      <c r="B29" s="84" t="s">
        <v>93</v>
      </c>
      <c r="C29" s="113">
        <f t="shared" ref="C29:Z29" si="36" xml:space="preserve"> 15% * (HOSHUKO_R * (C17 + C23))</f>
        <v>67.122</v>
      </c>
      <c r="D29" s="86">
        <f t="shared" si="36"/>
        <v>0</v>
      </c>
      <c r="E29" s="113">
        <f t="shared" si="36"/>
        <v>98.171999999999997</v>
      </c>
      <c r="F29" s="86">
        <f t="shared" si="36"/>
        <v>0</v>
      </c>
      <c r="G29" s="113">
        <f t="shared" si="36"/>
        <v>98.171999999999997</v>
      </c>
      <c r="H29" s="86">
        <f t="shared" si="36"/>
        <v>0</v>
      </c>
      <c r="I29" s="113">
        <f t="shared" si="36"/>
        <v>67.122</v>
      </c>
      <c r="J29" s="86">
        <f t="shared" si="36"/>
        <v>0</v>
      </c>
      <c r="K29" s="113">
        <f t="shared" si="36"/>
        <v>134.262</v>
      </c>
      <c r="L29" s="86">
        <f t="shared" si="36"/>
        <v>0</v>
      </c>
      <c r="M29" s="85">
        <f t="shared" si="36"/>
        <v>134.262</v>
      </c>
      <c r="N29" s="85">
        <f t="shared" si="36"/>
        <v>0</v>
      </c>
      <c r="O29" s="113">
        <f t="shared" si="36"/>
        <v>102.20399999999999</v>
      </c>
      <c r="P29" s="86">
        <f t="shared" si="36"/>
        <v>0</v>
      </c>
      <c r="Q29" s="113">
        <f t="shared" si="36"/>
        <v>0</v>
      </c>
      <c r="R29" s="86">
        <f t="shared" si="36"/>
        <v>0</v>
      </c>
      <c r="S29" s="113">
        <f t="shared" si="36"/>
        <v>0</v>
      </c>
      <c r="T29" s="86">
        <f t="shared" si="36"/>
        <v>0</v>
      </c>
      <c r="U29" s="113">
        <f t="shared" si="36"/>
        <v>0</v>
      </c>
      <c r="V29" s="86">
        <f t="shared" si="36"/>
        <v>0</v>
      </c>
      <c r="W29" s="113">
        <f t="shared" si="36"/>
        <v>0</v>
      </c>
      <c r="X29" s="86">
        <f t="shared" si="36"/>
        <v>0</v>
      </c>
      <c r="Y29" s="113">
        <f t="shared" si="36"/>
        <v>0</v>
      </c>
      <c r="Z29" s="86">
        <f t="shared" si="36"/>
        <v>0</v>
      </c>
    </row>
    <row r="30" spans="1:27" ht="14.45" hidden="1" customHeight="1" x14ac:dyDescent="0.25">
      <c r="A30" s="261"/>
      <c r="B30" s="84" t="s">
        <v>95</v>
      </c>
      <c r="C30" s="113">
        <f t="shared" ref="C30:Z30" si="37">15% * CANADA_EMP_CREDIT</f>
        <v>176.7</v>
      </c>
      <c r="D30" s="86">
        <f t="shared" si="37"/>
        <v>176.7</v>
      </c>
      <c r="E30" s="113">
        <f t="shared" si="37"/>
        <v>176.7</v>
      </c>
      <c r="F30" s="86">
        <f t="shared" si="37"/>
        <v>176.7</v>
      </c>
      <c r="G30" s="113">
        <f t="shared" si="37"/>
        <v>176.7</v>
      </c>
      <c r="H30" s="86">
        <f t="shared" si="37"/>
        <v>176.7</v>
      </c>
      <c r="I30" s="113">
        <f t="shared" si="37"/>
        <v>176.7</v>
      </c>
      <c r="J30" s="86">
        <f t="shared" si="37"/>
        <v>176.7</v>
      </c>
      <c r="K30" s="113">
        <f t="shared" si="37"/>
        <v>176.7</v>
      </c>
      <c r="L30" s="86">
        <f t="shared" si="37"/>
        <v>176.7</v>
      </c>
      <c r="M30" s="85">
        <f t="shared" si="37"/>
        <v>176.7</v>
      </c>
      <c r="N30" s="85">
        <f t="shared" si="37"/>
        <v>176.7</v>
      </c>
      <c r="O30" s="113">
        <f t="shared" si="37"/>
        <v>176.7</v>
      </c>
      <c r="P30" s="86">
        <f t="shared" si="37"/>
        <v>176.7</v>
      </c>
      <c r="Q30" s="113">
        <f t="shared" si="37"/>
        <v>176.7</v>
      </c>
      <c r="R30" s="86">
        <f t="shared" si="37"/>
        <v>176.7</v>
      </c>
      <c r="S30" s="113">
        <f t="shared" si="37"/>
        <v>176.7</v>
      </c>
      <c r="T30" s="86">
        <f t="shared" si="37"/>
        <v>176.7</v>
      </c>
      <c r="U30" s="113">
        <f t="shared" si="37"/>
        <v>176.7</v>
      </c>
      <c r="V30" s="86">
        <f t="shared" si="37"/>
        <v>176.7</v>
      </c>
      <c r="W30" s="113">
        <f t="shared" si="37"/>
        <v>176.7</v>
      </c>
      <c r="X30" s="86">
        <f t="shared" si="37"/>
        <v>176.7</v>
      </c>
      <c r="Y30" s="113">
        <f t="shared" si="37"/>
        <v>176.7</v>
      </c>
      <c r="Z30" s="86">
        <f t="shared" si="37"/>
        <v>176.7</v>
      </c>
    </row>
    <row r="31" spans="1:27" x14ac:dyDescent="0.25">
      <c r="A31" s="261"/>
      <c r="B31" s="84" t="s">
        <v>9</v>
      </c>
      <c r="C31" s="113">
        <f t="shared" ref="C31:Z31" si="38">IF(C6=0,0,ROUND(((C25 * C24) - C26 - C28 - C29 - C30) / HOSHUKO_R,2))</f>
        <v>97.6</v>
      </c>
      <c r="D31" s="86">
        <f t="shared" si="38"/>
        <v>0</v>
      </c>
      <c r="E31" s="113">
        <f t="shared" si="38"/>
        <v>134.32</v>
      </c>
      <c r="F31" s="86">
        <f t="shared" si="38"/>
        <v>0</v>
      </c>
      <c r="G31" s="113">
        <f t="shared" si="38"/>
        <v>134.32</v>
      </c>
      <c r="H31" s="86">
        <f t="shared" si="38"/>
        <v>0</v>
      </c>
      <c r="I31" s="113">
        <f t="shared" si="38"/>
        <v>97.6</v>
      </c>
      <c r="J31" s="86">
        <f t="shared" si="38"/>
        <v>0</v>
      </c>
      <c r="K31" s="113">
        <f t="shared" si="38"/>
        <v>177.04</v>
      </c>
      <c r="L31" s="86">
        <f t="shared" si="38"/>
        <v>0</v>
      </c>
      <c r="M31" s="85">
        <f t="shared" si="38"/>
        <v>177.04</v>
      </c>
      <c r="N31" s="85">
        <f t="shared" si="38"/>
        <v>0</v>
      </c>
      <c r="O31" s="113">
        <f t="shared" si="38"/>
        <v>139.12</v>
      </c>
      <c r="P31" s="86">
        <f t="shared" si="38"/>
        <v>0</v>
      </c>
      <c r="Q31" s="113">
        <f t="shared" si="38"/>
        <v>0</v>
      </c>
      <c r="R31" s="86">
        <f t="shared" si="38"/>
        <v>0</v>
      </c>
      <c r="S31" s="113">
        <f t="shared" si="38"/>
        <v>0</v>
      </c>
      <c r="T31" s="86">
        <f t="shared" si="38"/>
        <v>0</v>
      </c>
      <c r="U31" s="113">
        <f t="shared" si="38"/>
        <v>0</v>
      </c>
      <c r="V31" s="86">
        <f t="shared" si="38"/>
        <v>0</v>
      </c>
      <c r="W31" s="113">
        <f t="shared" si="38"/>
        <v>0</v>
      </c>
      <c r="X31" s="86">
        <f t="shared" si="38"/>
        <v>0</v>
      </c>
      <c r="Y31" s="113">
        <f t="shared" si="38"/>
        <v>0</v>
      </c>
      <c r="Z31" s="86">
        <f t="shared" si="38"/>
        <v>0</v>
      </c>
      <c r="AA31" s="3">
        <f>SUM(C31:Z31)</f>
        <v>957.04</v>
      </c>
    </row>
    <row r="32" spans="1:27" ht="14.45" hidden="1" customHeight="1" x14ac:dyDescent="0.25">
      <c r="A32" s="261"/>
      <c r="B32" s="84" t="s">
        <v>96</v>
      </c>
      <c r="C32" s="113">
        <f>C24</f>
        <v>9433.4400000000023</v>
      </c>
      <c r="D32" s="86">
        <f t="shared" ref="D32:Z32" si="39">D24</f>
        <v>0</v>
      </c>
      <c r="E32" s="113">
        <f t="shared" si="39"/>
        <v>12577.920000000002</v>
      </c>
      <c r="F32" s="86">
        <f t="shared" si="39"/>
        <v>0</v>
      </c>
      <c r="G32" s="113">
        <f t="shared" si="39"/>
        <v>12577.920000000002</v>
      </c>
      <c r="H32" s="86">
        <f t="shared" si="39"/>
        <v>0</v>
      </c>
      <c r="I32" s="113">
        <f t="shared" si="39"/>
        <v>9433.4400000000023</v>
      </c>
      <c r="J32" s="86">
        <f t="shared" si="39"/>
        <v>0</v>
      </c>
      <c r="K32" s="113">
        <f t="shared" si="39"/>
        <v>16236</v>
      </c>
      <c r="L32" s="86">
        <f t="shared" si="39"/>
        <v>0</v>
      </c>
      <c r="M32" s="85">
        <f t="shared" si="39"/>
        <v>16236</v>
      </c>
      <c r="N32" s="85">
        <f t="shared" si="39"/>
        <v>0</v>
      </c>
      <c r="O32" s="113">
        <f t="shared" si="39"/>
        <v>12988.800000000001</v>
      </c>
      <c r="P32" s="86">
        <f t="shared" si="39"/>
        <v>0</v>
      </c>
      <c r="Q32" s="113">
        <f t="shared" si="39"/>
        <v>0</v>
      </c>
      <c r="R32" s="86">
        <f t="shared" si="39"/>
        <v>0</v>
      </c>
      <c r="S32" s="113">
        <f t="shared" si="39"/>
        <v>0</v>
      </c>
      <c r="T32" s="86">
        <f t="shared" si="39"/>
        <v>0</v>
      </c>
      <c r="U32" s="113">
        <f t="shared" si="39"/>
        <v>0</v>
      </c>
      <c r="V32" s="86">
        <f t="shared" si="39"/>
        <v>0</v>
      </c>
      <c r="W32" s="113">
        <f t="shared" si="39"/>
        <v>0</v>
      </c>
      <c r="X32" s="86">
        <f t="shared" si="39"/>
        <v>0</v>
      </c>
      <c r="Y32" s="113">
        <f t="shared" si="39"/>
        <v>0</v>
      </c>
      <c r="Z32" s="86">
        <f t="shared" si="39"/>
        <v>0</v>
      </c>
    </row>
    <row r="33" spans="1:27" ht="16.899999999999999" hidden="1" customHeight="1" x14ac:dyDescent="0.25">
      <c r="A33" s="261"/>
      <c r="B33" s="84" t="s">
        <v>97</v>
      </c>
      <c r="C33" s="113">
        <f t="shared" ref="C33:Z33" si="40">VLOOKUP(C32,AB_RATE_TABLE,2,TRUE)</f>
        <v>0.1</v>
      </c>
      <c r="D33" s="86">
        <f t="shared" si="40"/>
        <v>0.1</v>
      </c>
      <c r="E33" s="113">
        <f t="shared" si="40"/>
        <v>0.1</v>
      </c>
      <c r="F33" s="86">
        <f t="shared" si="40"/>
        <v>0.1</v>
      </c>
      <c r="G33" s="113">
        <f t="shared" si="40"/>
        <v>0.1</v>
      </c>
      <c r="H33" s="86">
        <f t="shared" si="40"/>
        <v>0.1</v>
      </c>
      <c r="I33" s="113">
        <f t="shared" si="40"/>
        <v>0.1</v>
      </c>
      <c r="J33" s="86">
        <f t="shared" si="40"/>
        <v>0.1</v>
      </c>
      <c r="K33" s="113">
        <f t="shared" si="40"/>
        <v>0.1</v>
      </c>
      <c r="L33" s="86">
        <f t="shared" si="40"/>
        <v>0.1</v>
      </c>
      <c r="M33" s="85">
        <f t="shared" si="40"/>
        <v>0.1</v>
      </c>
      <c r="N33" s="85">
        <f t="shared" si="40"/>
        <v>0.1</v>
      </c>
      <c r="O33" s="113">
        <f t="shared" si="40"/>
        <v>0.1</v>
      </c>
      <c r="P33" s="86">
        <f t="shared" si="40"/>
        <v>0.1</v>
      </c>
      <c r="Q33" s="113">
        <f t="shared" si="40"/>
        <v>0.1</v>
      </c>
      <c r="R33" s="86">
        <f t="shared" si="40"/>
        <v>0.1</v>
      </c>
      <c r="S33" s="113">
        <f t="shared" si="40"/>
        <v>0.1</v>
      </c>
      <c r="T33" s="86">
        <f t="shared" si="40"/>
        <v>0.1</v>
      </c>
      <c r="U33" s="113">
        <f t="shared" si="40"/>
        <v>0.1</v>
      </c>
      <c r="V33" s="86">
        <f t="shared" si="40"/>
        <v>0.1</v>
      </c>
      <c r="W33" s="113">
        <f t="shared" si="40"/>
        <v>0.1</v>
      </c>
      <c r="X33" s="86">
        <f t="shared" si="40"/>
        <v>0.1</v>
      </c>
      <c r="Y33" s="113">
        <f t="shared" si="40"/>
        <v>0.1</v>
      </c>
      <c r="Z33" s="86">
        <f t="shared" si="40"/>
        <v>0.1</v>
      </c>
    </row>
    <row r="34" spans="1:27" ht="16.899999999999999" hidden="1" customHeight="1" x14ac:dyDescent="0.25">
      <c r="A34" s="261"/>
      <c r="B34" s="84" t="s">
        <v>98</v>
      </c>
      <c r="C34" s="113">
        <f t="shared" ref="C34:Z34" si="41">VLOOKUP(C32,AB_RATE_TABLE,3,TRUE)</f>
        <v>0</v>
      </c>
      <c r="D34" s="86">
        <f t="shared" si="41"/>
        <v>0</v>
      </c>
      <c r="E34" s="113">
        <f t="shared" si="41"/>
        <v>0</v>
      </c>
      <c r="F34" s="86">
        <f t="shared" si="41"/>
        <v>0</v>
      </c>
      <c r="G34" s="113">
        <f t="shared" si="41"/>
        <v>0</v>
      </c>
      <c r="H34" s="86">
        <f t="shared" si="41"/>
        <v>0</v>
      </c>
      <c r="I34" s="113">
        <f t="shared" si="41"/>
        <v>0</v>
      </c>
      <c r="J34" s="86">
        <f t="shared" si="41"/>
        <v>0</v>
      </c>
      <c r="K34" s="113">
        <f t="shared" si="41"/>
        <v>0</v>
      </c>
      <c r="L34" s="86">
        <f t="shared" si="41"/>
        <v>0</v>
      </c>
      <c r="M34" s="85">
        <f t="shared" si="41"/>
        <v>0</v>
      </c>
      <c r="N34" s="85">
        <f t="shared" si="41"/>
        <v>0</v>
      </c>
      <c r="O34" s="113">
        <f t="shared" si="41"/>
        <v>0</v>
      </c>
      <c r="P34" s="86">
        <f t="shared" si="41"/>
        <v>0</v>
      </c>
      <c r="Q34" s="113">
        <f t="shared" si="41"/>
        <v>0</v>
      </c>
      <c r="R34" s="86">
        <f t="shared" si="41"/>
        <v>0</v>
      </c>
      <c r="S34" s="113">
        <f t="shared" si="41"/>
        <v>0</v>
      </c>
      <c r="T34" s="86">
        <f t="shared" si="41"/>
        <v>0</v>
      </c>
      <c r="U34" s="113">
        <f t="shared" si="41"/>
        <v>0</v>
      </c>
      <c r="V34" s="86">
        <f t="shared" si="41"/>
        <v>0</v>
      </c>
      <c r="W34" s="113">
        <f t="shared" si="41"/>
        <v>0</v>
      </c>
      <c r="X34" s="86">
        <f t="shared" si="41"/>
        <v>0</v>
      </c>
      <c r="Y34" s="113">
        <f t="shared" si="41"/>
        <v>0</v>
      </c>
      <c r="Z34" s="86">
        <f t="shared" si="41"/>
        <v>0</v>
      </c>
    </row>
    <row r="35" spans="1:27" ht="16.899999999999999" hidden="1" customHeight="1" x14ac:dyDescent="0.25">
      <c r="A35" s="261"/>
      <c r="B35" s="84" t="s">
        <v>99</v>
      </c>
      <c r="C35" s="113">
        <f>Gov.Tax.Calcs!$F$16</f>
        <v>0</v>
      </c>
      <c r="D35" s="86">
        <f>Gov.Tax.Calcs!$F$16</f>
        <v>0</v>
      </c>
      <c r="E35" s="113">
        <f>Gov.Tax.Calcs!$F$16</f>
        <v>0</v>
      </c>
      <c r="F35" s="86">
        <f>Gov.Tax.Calcs!$F$16</f>
        <v>0</v>
      </c>
      <c r="G35" s="113">
        <f>Gov.Tax.Calcs!$F$16</f>
        <v>0</v>
      </c>
      <c r="H35" s="86">
        <f>Gov.Tax.Calcs!$F$16</f>
        <v>0</v>
      </c>
      <c r="I35" s="113">
        <f>Gov.Tax.Calcs!$F$16</f>
        <v>0</v>
      </c>
      <c r="J35" s="86">
        <f>Gov.Tax.Calcs!$F$16</f>
        <v>0</v>
      </c>
      <c r="K35" s="113">
        <f>Gov.Tax.Calcs!$F$16</f>
        <v>0</v>
      </c>
      <c r="L35" s="86">
        <f>Gov.Tax.Calcs!$F$16</f>
        <v>0</v>
      </c>
      <c r="M35" s="85">
        <f>Gov.Tax.Calcs!$F$16</f>
        <v>0</v>
      </c>
      <c r="N35" s="85">
        <f>Gov.Tax.Calcs!$F$16</f>
        <v>0</v>
      </c>
      <c r="O35" s="113">
        <f>Gov.Tax.Calcs!$F$16</f>
        <v>0</v>
      </c>
      <c r="P35" s="86">
        <f>Gov.Tax.Calcs!$F$16</f>
        <v>0</v>
      </c>
      <c r="Q35" s="113">
        <f>Gov.Tax.Calcs!$F$16</f>
        <v>0</v>
      </c>
      <c r="R35" s="86">
        <f>Gov.Tax.Calcs!$F$16</f>
        <v>0</v>
      </c>
      <c r="S35" s="113">
        <f>Gov.Tax.Calcs!$F$16</f>
        <v>0</v>
      </c>
      <c r="T35" s="86">
        <f>Gov.Tax.Calcs!$F$16</f>
        <v>0</v>
      </c>
      <c r="U35" s="113">
        <f>Gov.Tax.Calcs!$F$16</f>
        <v>0</v>
      </c>
      <c r="V35" s="86">
        <f>Gov.Tax.Calcs!$F$16</f>
        <v>0</v>
      </c>
      <c r="W35" s="113">
        <f>Gov.Tax.Calcs!$F$16</f>
        <v>0</v>
      </c>
      <c r="X35" s="86">
        <f>Gov.Tax.Calcs!$F$16</f>
        <v>0</v>
      </c>
      <c r="Y35" s="113">
        <f>Gov.Tax.Calcs!$F$16</f>
        <v>0</v>
      </c>
      <c r="Z35" s="86">
        <f>Gov.Tax.Calcs!$F$16</f>
        <v>0</v>
      </c>
    </row>
    <row r="36" spans="1:27" ht="16.899999999999999" hidden="1" customHeight="1" x14ac:dyDescent="0.25">
      <c r="A36" s="261"/>
      <c r="B36" s="84" t="s">
        <v>100</v>
      </c>
      <c r="C36" s="113">
        <f t="shared" ref="C36:Z36" si="42">VLOOKUP(C35,CLAIM_CODE_TABLE,5,FALSE)</f>
        <v>0</v>
      </c>
      <c r="D36" s="86">
        <f t="shared" si="42"/>
        <v>0</v>
      </c>
      <c r="E36" s="113">
        <f t="shared" si="42"/>
        <v>0</v>
      </c>
      <c r="F36" s="86">
        <f t="shared" si="42"/>
        <v>0</v>
      </c>
      <c r="G36" s="113">
        <f t="shared" si="42"/>
        <v>0</v>
      </c>
      <c r="H36" s="86">
        <f t="shared" si="42"/>
        <v>0</v>
      </c>
      <c r="I36" s="113">
        <f t="shared" si="42"/>
        <v>0</v>
      </c>
      <c r="J36" s="86">
        <f t="shared" si="42"/>
        <v>0</v>
      </c>
      <c r="K36" s="113">
        <f t="shared" si="42"/>
        <v>0</v>
      </c>
      <c r="L36" s="86">
        <f t="shared" si="42"/>
        <v>0</v>
      </c>
      <c r="M36" s="85">
        <f t="shared" si="42"/>
        <v>0</v>
      </c>
      <c r="N36" s="85">
        <f t="shared" si="42"/>
        <v>0</v>
      </c>
      <c r="O36" s="113">
        <f t="shared" si="42"/>
        <v>0</v>
      </c>
      <c r="P36" s="86">
        <f t="shared" si="42"/>
        <v>0</v>
      </c>
      <c r="Q36" s="113">
        <f t="shared" si="42"/>
        <v>0</v>
      </c>
      <c r="R36" s="86">
        <f t="shared" si="42"/>
        <v>0</v>
      </c>
      <c r="S36" s="113">
        <f t="shared" si="42"/>
        <v>0</v>
      </c>
      <c r="T36" s="86">
        <f t="shared" si="42"/>
        <v>0</v>
      </c>
      <c r="U36" s="113">
        <f t="shared" si="42"/>
        <v>0</v>
      </c>
      <c r="V36" s="86">
        <f t="shared" si="42"/>
        <v>0</v>
      </c>
      <c r="W36" s="113">
        <f t="shared" si="42"/>
        <v>0</v>
      </c>
      <c r="X36" s="86">
        <f t="shared" si="42"/>
        <v>0</v>
      </c>
      <c r="Y36" s="113">
        <f t="shared" si="42"/>
        <v>0</v>
      </c>
      <c r="Z36" s="86">
        <f t="shared" si="42"/>
        <v>0</v>
      </c>
    </row>
    <row r="37" spans="1:27" ht="16.899999999999999" hidden="1" customHeight="1" x14ac:dyDescent="0.25">
      <c r="A37" s="261"/>
      <c r="B37" s="84" t="s">
        <v>101</v>
      </c>
      <c r="C37" s="113">
        <f t="shared" ref="C37:Z37" si="43" xml:space="preserve"> 10% * (HOSHUKO_R * (C17+C23))</f>
        <v>44.748000000000005</v>
      </c>
      <c r="D37" s="86">
        <f t="shared" si="43"/>
        <v>0</v>
      </c>
      <c r="E37" s="113">
        <f t="shared" si="43"/>
        <v>65.448000000000008</v>
      </c>
      <c r="F37" s="86">
        <f t="shared" si="43"/>
        <v>0</v>
      </c>
      <c r="G37" s="113">
        <f t="shared" si="43"/>
        <v>65.448000000000008</v>
      </c>
      <c r="H37" s="86">
        <f t="shared" si="43"/>
        <v>0</v>
      </c>
      <c r="I37" s="113">
        <f t="shared" si="43"/>
        <v>44.748000000000005</v>
      </c>
      <c r="J37" s="86">
        <f t="shared" si="43"/>
        <v>0</v>
      </c>
      <c r="K37" s="113">
        <f t="shared" si="43"/>
        <v>89.50800000000001</v>
      </c>
      <c r="L37" s="86">
        <f t="shared" si="43"/>
        <v>0</v>
      </c>
      <c r="M37" s="85">
        <f t="shared" si="43"/>
        <v>89.50800000000001</v>
      </c>
      <c r="N37" s="85">
        <f t="shared" si="43"/>
        <v>0</v>
      </c>
      <c r="O37" s="113">
        <f t="shared" si="43"/>
        <v>68.13600000000001</v>
      </c>
      <c r="P37" s="86">
        <f t="shared" si="43"/>
        <v>0</v>
      </c>
      <c r="Q37" s="113">
        <f t="shared" si="43"/>
        <v>0</v>
      </c>
      <c r="R37" s="86">
        <f t="shared" si="43"/>
        <v>0</v>
      </c>
      <c r="S37" s="113">
        <f t="shared" si="43"/>
        <v>0</v>
      </c>
      <c r="T37" s="86">
        <f t="shared" si="43"/>
        <v>0</v>
      </c>
      <c r="U37" s="113">
        <f t="shared" si="43"/>
        <v>0</v>
      </c>
      <c r="V37" s="86">
        <f t="shared" si="43"/>
        <v>0</v>
      </c>
      <c r="W37" s="113">
        <f t="shared" si="43"/>
        <v>0</v>
      </c>
      <c r="X37" s="86">
        <f t="shared" si="43"/>
        <v>0</v>
      </c>
      <c r="Y37" s="113">
        <f t="shared" si="43"/>
        <v>0</v>
      </c>
      <c r="Z37" s="86">
        <f t="shared" si="43"/>
        <v>0</v>
      </c>
    </row>
    <row r="38" spans="1:27" ht="16.899999999999999" customHeight="1" x14ac:dyDescent="0.25">
      <c r="A38" s="261"/>
      <c r="B38" s="84" t="s">
        <v>10</v>
      </c>
      <c r="C38" s="113">
        <f t="shared" ref="C38:Z38" si="44">IF(C6=0,0,ROUND(( (C32 * C33) -C36 - C37) / HOSHUKO_R,2))</f>
        <v>74.88</v>
      </c>
      <c r="D38" s="86">
        <f t="shared" si="44"/>
        <v>0</v>
      </c>
      <c r="E38" s="113">
        <f t="shared" si="44"/>
        <v>99.36</v>
      </c>
      <c r="F38" s="86">
        <f t="shared" si="44"/>
        <v>0</v>
      </c>
      <c r="G38" s="113">
        <f t="shared" si="44"/>
        <v>99.36</v>
      </c>
      <c r="H38" s="86">
        <f t="shared" si="44"/>
        <v>0</v>
      </c>
      <c r="I38" s="113">
        <f t="shared" si="44"/>
        <v>74.88</v>
      </c>
      <c r="J38" s="86">
        <f t="shared" si="44"/>
        <v>0</v>
      </c>
      <c r="K38" s="113">
        <f t="shared" si="44"/>
        <v>127.84</v>
      </c>
      <c r="L38" s="86">
        <f t="shared" si="44"/>
        <v>0</v>
      </c>
      <c r="M38" s="85">
        <f t="shared" si="44"/>
        <v>127.84</v>
      </c>
      <c r="N38" s="85">
        <f t="shared" si="44"/>
        <v>0</v>
      </c>
      <c r="O38" s="113">
        <f t="shared" si="44"/>
        <v>102.56</v>
      </c>
      <c r="P38" s="86">
        <f t="shared" si="44"/>
        <v>0</v>
      </c>
      <c r="Q38" s="113">
        <f t="shared" si="44"/>
        <v>0</v>
      </c>
      <c r="R38" s="86">
        <f t="shared" si="44"/>
        <v>0</v>
      </c>
      <c r="S38" s="113">
        <f t="shared" si="44"/>
        <v>0</v>
      </c>
      <c r="T38" s="86">
        <f t="shared" si="44"/>
        <v>0</v>
      </c>
      <c r="U38" s="113">
        <f t="shared" si="44"/>
        <v>0</v>
      </c>
      <c r="V38" s="86">
        <f t="shared" si="44"/>
        <v>0</v>
      </c>
      <c r="W38" s="113">
        <f t="shared" si="44"/>
        <v>0</v>
      </c>
      <c r="X38" s="86">
        <f t="shared" si="44"/>
        <v>0</v>
      </c>
      <c r="Y38" s="113">
        <f t="shared" si="44"/>
        <v>0</v>
      </c>
      <c r="Z38" s="86">
        <f t="shared" si="44"/>
        <v>0</v>
      </c>
      <c r="AA38" s="3">
        <f>SUM(C38:Z38)</f>
        <v>706.72</v>
      </c>
    </row>
    <row r="39" spans="1:27" ht="16.899999999999999" hidden="1" customHeight="1" x14ac:dyDescent="0.25">
      <c r="A39" s="261"/>
      <c r="B39" s="84" t="s">
        <v>11</v>
      </c>
      <c r="C39" s="113">
        <v>0</v>
      </c>
      <c r="D39" s="86">
        <v>0</v>
      </c>
      <c r="E39" s="113">
        <v>0</v>
      </c>
      <c r="F39" s="86">
        <v>0</v>
      </c>
      <c r="G39" s="113">
        <v>0</v>
      </c>
      <c r="H39" s="86">
        <v>0</v>
      </c>
      <c r="I39" s="113">
        <v>0</v>
      </c>
      <c r="J39" s="86">
        <v>0</v>
      </c>
      <c r="K39" s="113">
        <v>0</v>
      </c>
      <c r="L39" s="86">
        <v>0</v>
      </c>
      <c r="M39" s="85">
        <v>0</v>
      </c>
      <c r="N39" s="85">
        <v>0</v>
      </c>
      <c r="O39" s="113">
        <v>0</v>
      </c>
      <c r="P39" s="86">
        <v>0</v>
      </c>
      <c r="Q39" s="113">
        <v>0</v>
      </c>
      <c r="R39" s="86">
        <v>0</v>
      </c>
      <c r="S39" s="113">
        <v>0</v>
      </c>
      <c r="T39" s="86">
        <v>0</v>
      </c>
      <c r="U39" s="113">
        <v>0</v>
      </c>
      <c r="V39" s="86">
        <v>0</v>
      </c>
      <c r="W39" s="113">
        <v>0</v>
      </c>
      <c r="X39" s="86">
        <v>0</v>
      </c>
      <c r="Y39" s="113">
        <v>0</v>
      </c>
      <c r="Z39" s="86">
        <v>0</v>
      </c>
    </row>
    <row r="40" spans="1:27" ht="16.899999999999999" hidden="1" customHeight="1" x14ac:dyDescent="0.25">
      <c r="A40" s="261"/>
      <c r="B40" s="84" t="s">
        <v>12</v>
      </c>
      <c r="C40" s="113">
        <v>0</v>
      </c>
      <c r="D40" s="86">
        <v>0</v>
      </c>
      <c r="E40" s="113">
        <v>0</v>
      </c>
      <c r="F40" s="86">
        <v>0</v>
      </c>
      <c r="G40" s="113">
        <v>0</v>
      </c>
      <c r="H40" s="86">
        <v>0</v>
      </c>
      <c r="I40" s="113">
        <v>0</v>
      </c>
      <c r="J40" s="86">
        <v>0</v>
      </c>
      <c r="K40" s="113">
        <v>0</v>
      </c>
      <c r="L40" s="86">
        <v>0</v>
      </c>
      <c r="M40" s="85">
        <v>0</v>
      </c>
      <c r="N40" s="85">
        <v>0</v>
      </c>
      <c r="O40" s="113">
        <v>0</v>
      </c>
      <c r="P40" s="86">
        <v>0</v>
      </c>
      <c r="Q40" s="113">
        <v>0</v>
      </c>
      <c r="R40" s="86">
        <v>0</v>
      </c>
      <c r="S40" s="113">
        <v>0</v>
      </c>
      <c r="T40" s="86">
        <v>0</v>
      </c>
      <c r="U40" s="113">
        <v>0</v>
      </c>
      <c r="V40" s="86">
        <v>0</v>
      </c>
      <c r="W40" s="113">
        <v>0</v>
      </c>
      <c r="X40" s="86">
        <v>0</v>
      </c>
      <c r="Y40" s="113">
        <v>0</v>
      </c>
      <c r="Z40" s="86">
        <v>0</v>
      </c>
    </row>
    <row r="41" spans="1:27" ht="16.899999999999999" hidden="1" customHeight="1" x14ac:dyDescent="0.25">
      <c r="A41" s="261"/>
      <c r="B41" s="84" t="s">
        <v>13</v>
      </c>
      <c r="C41" s="113">
        <v>0</v>
      </c>
      <c r="D41" s="86">
        <v>0</v>
      </c>
      <c r="E41" s="113">
        <v>0</v>
      </c>
      <c r="F41" s="86">
        <v>0</v>
      </c>
      <c r="G41" s="113">
        <v>0</v>
      </c>
      <c r="H41" s="86">
        <v>0</v>
      </c>
      <c r="I41" s="113">
        <v>0</v>
      </c>
      <c r="J41" s="86">
        <v>0</v>
      </c>
      <c r="K41" s="113">
        <v>0</v>
      </c>
      <c r="L41" s="86">
        <v>0</v>
      </c>
      <c r="M41" s="85">
        <v>0</v>
      </c>
      <c r="N41" s="85">
        <v>0</v>
      </c>
      <c r="O41" s="113">
        <v>0</v>
      </c>
      <c r="P41" s="86">
        <v>0</v>
      </c>
      <c r="Q41" s="113">
        <v>0</v>
      </c>
      <c r="R41" s="86">
        <v>0</v>
      </c>
      <c r="S41" s="113">
        <v>0</v>
      </c>
      <c r="T41" s="86">
        <v>0</v>
      </c>
      <c r="U41" s="113">
        <v>0</v>
      </c>
      <c r="V41" s="86">
        <v>0</v>
      </c>
      <c r="W41" s="113">
        <v>0</v>
      </c>
      <c r="X41" s="86">
        <v>0</v>
      </c>
      <c r="Y41" s="113">
        <v>0</v>
      </c>
      <c r="Z41" s="86">
        <v>0</v>
      </c>
    </row>
    <row r="42" spans="1:27" ht="16.899999999999999" hidden="1" customHeight="1" x14ac:dyDescent="0.25">
      <c r="A42" s="261"/>
      <c r="B42" s="84" t="s">
        <v>14</v>
      </c>
      <c r="C42" s="113">
        <v>0</v>
      </c>
      <c r="D42" s="86">
        <v>0</v>
      </c>
      <c r="E42" s="113">
        <v>0</v>
      </c>
      <c r="F42" s="86">
        <v>0</v>
      </c>
      <c r="G42" s="113">
        <v>0</v>
      </c>
      <c r="H42" s="86">
        <v>0</v>
      </c>
      <c r="I42" s="113">
        <v>0</v>
      </c>
      <c r="J42" s="86">
        <v>0</v>
      </c>
      <c r="K42" s="113">
        <v>0</v>
      </c>
      <c r="L42" s="86">
        <v>0</v>
      </c>
      <c r="M42" s="85">
        <v>0</v>
      </c>
      <c r="N42" s="85">
        <v>0</v>
      </c>
      <c r="O42" s="113">
        <v>0</v>
      </c>
      <c r="P42" s="86">
        <v>0</v>
      </c>
      <c r="Q42" s="113">
        <v>0</v>
      </c>
      <c r="R42" s="86">
        <v>0</v>
      </c>
      <c r="S42" s="113">
        <v>0</v>
      </c>
      <c r="T42" s="86">
        <v>0</v>
      </c>
      <c r="U42" s="113">
        <v>0</v>
      </c>
      <c r="V42" s="86">
        <v>0</v>
      </c>
      <c r="W42" s="113">
        <v>0</v>
      </c>
      <c r="X42" s="86">
        <v>0</v>
      </c>
      <c r="Y42" s="113">
        <v>0</v>
      </c>
      <c r="Z42" s="86">
        <v>0</v>
      </c>
    </row>
    <row r="43" spans="1:27" ht="16.899999999999999" hidden="1" customHeight="1" x14ac:dyDescent="0.25">
      <c r="A43" s="261"/>
      <c r="B43" s="84" t="s">
        <v>15</v>
      </c>
      <c r="C43" s="113">
        <v>0</v>
      </c>
      <c r="D43" s="86">
        <v>0</v>
      </c>
      <c r="E43" s="113">
        <v>0</v>
      </c>
      <c r="F43" s="86">
        <v>0</v>
      </c>
      <c r="G43" s="113">
        <v>0</v>
      </c>
      <c r="H43" s="86">
        <v>0</v>
      </c>
      <c r="I43" s="113">
        <v>0</v>
      </c>
      <c r="J43" s="86">
        <v>0</v>
      </c>
      <c r="K43" s="113">
        <v>0</v>
      </c>
      <c r="L43" s="86">
        <v>0</v>
      </c>
      <c r="M43" s="85">
        <v>0</v>
      </c>
      <c r="N43" s="85">
        <v>0</v>
      </c>
      <c r="O43" s="113">
        <v>0</v>
      </c>
      <c r="P43" s="86">
        <v>0</v>
      </c>
      <c r="Q43" s="113">
        <v>0</v>
      </c>
      <c r="R43" s="86">
        <v>0</v>
      </c>
      <c r="S43" s="113">
        <v>0</v>
      </c>
      <c r="T43" s="86">
        <v>0</v>
      </c>
      <c r="U43" s="113">
        <v>0</v>
      </c>
      <c r="V43" s="86">
        <v>0</v>
      </c>
      <c r="W43" s="113">
        <v>0</v>
      </c>
      <c r="X43" s="86">
        <v>0</v>
      </c>
      <c r="Y43" s="113">
        <v>0</v>
      </c>
      <c r="Z43" s="86">
        <v>0</v>
      </c>
    </row>
    <row r="44" spans="1:27" ht="16.899999999999999" hidden="1" customHeight="1" x14ac:dyDescent="0.25">
      <c r="A44" s="261"/>
      <c r="B44" s="84" t="s">
        <v>16</v>
      </c>
      <c r="C44" s="115">
        <v>0</v>
      </c>
      <c r="D44" s="88">
        <v>0</v>
      </c>
      <c r="E44" s="115">
        <v>0</v>
      </c>
      <c r="F44" s="88">
        <v>0</v>
      </c>
      <c r="G44" s="115">
        <v>0</v>
      </c>
      <c r="H44" s="88">
        <v>0</v>
      </c>
      <c r="I44" s="115">
        <v>0</v>
      </c>
      <c r="J44" s="88">
        <v>0</v>
      </c>
      <c r="K44" s="115">
        <v>0</v>
      </c>
      <c r="L44" s="88">
        <v>0</v>
      </c>
      <c r="M44" s="87">
        <v>0</v>
      </c>
      <c r="N44" s="87">
        <v>0</v>
      </c>
      <c r="O44" s="115">
        <v>0</v>
      </c>
      <c r="P44" s="88">
        <v>0</v>
      </c>
      <c r="Q44" s="115">
        <v>0</v>
      </c>
      <c r="R44" s="88">
        <v>0</v>
      </c>
      <c r="S44" s="115">
        <v>0</v>
      </c>
      <c r="T44" s="88">
        <v>0</v>
      </c>
      <c r="U44" s="115">
        <v>0</v>
      </c>
      <c r="V44" s="88">
        <v>0</v>
      </c>
      <c r="W44" s="115">
        <v>0</v>
      </c>
      <c r="X44" s="88">
        <v>0</v>
      </c>
      <c r="Y44" s="115">
        <v>0</v>
      </c>
      <c r="Z44" s="88">
        <v>0</v>
      </c>
    </row>
    <row r="45" spans="1:27" ht="16.899999999999999" customHeight="1" x14ac:dyDescent="0.25">
      <c r="A45" s="261"/>
      <c r="B45" s="89" t="s">
        <v>58</v>
      </c>
      <c r="C45" s="115">
        <v>0</v>
      </c>
      <c r="D45" s="88">
        <v>0</v>
      </c>
      <c r="E45" s="115">
        <v>0</v>
      </c>
      <c r="F45" s="88">
        <v>0</v>
      </c>
      <c r="G45" s="115">
        <v>0</v>
      </c>
      <c r="H45" s="88">
        <v>0</v>
      </c>
      <c r="I45" s="115">
        <v>0</v>
      </c>
      <c r="J45" s="88">
        <v>0</v>
      </c>
      <c r="K45" s="115">
        <v>0</v>
      </c>
      <c r="L45" s="88">
        <v>0</v>
      </c>
      <c r="M45" s="87">
        <v>0</v>
      </c>
      <c r="N45" s="87">
        <v>0</v>
      </c>
      <c r="O45" s="115">
        <v>0</v>
      </c>
      <c r="P45" s="88">
        <v>0</v>
      </c>
      <c r="Q45" s="115">
        <v>0</v>
      </c>
      <c r="R45" s="88">
        <v>0</v>
      </c>
      <c r="S45" s="115">
        <v>0</v>
      </c>
      <c r="T45" s="88">
        <v>0</v>
      </c>
      <c r="U45" s="115">
        <v>0</v>
      </c>
      <c r="V45" s="88">
        <v>0</v>
      </c>
      <c r="W45" s="115">
        <v>0</v>
      </c>
      <c r="X45" s="88">
        <v>0</v>
      </c>
      <c r="Y45" s="115">
        <v>0</v>
      </c>
      <c r="Z45" s="88">
        <v>0</v>
      </c>
    </row>
    <row r="46" spans="1:27" ht="16.899999999999999" customHeight="1" thickBot="1" x14ac:dyDescent="0.3">
      <c r="A46" s="262"/>
      <c r="B46" s="98"/>
      <c r="C46" s="116">
        <f t="shared" ref="C46:Z46" si="45">SUM(C9,C10,C11,C17,C23,C31,C38,C39,C40,C41,C42,C43,C44,C45)</f>
        <v>209.76999999999998</v>
      </c>
      <c r="D46" s="106">
        <f t="shared" si="45"/>
        <v>0</v>
      </c>
      <c r="E46" s="116">
        <f t="shared" si="45"/>
        <v>288.22000000000003</v>
      </c>
      <c r="F46" s="106">
        <f t="shared" si="45"/>
        <v>0</v>
      </c>
      <c r="G46" s="116">
        <f t="shared" si="45"/>
        <v>288.22000000000003</v>
      </c>
      <c r="H46" s="106">
        <f t="shared" si="45"/>
        <v>0</v>
      </c>
      <c r="I46" s="116">
        <f t="shared" si="45"/>
        <v>209.76999999999998</v>
      </c>
      <c r="J46" s="106">
        <f t="shared" si="45"/>
        <v>0</v>
      </c>
      <c r="K46" s="116">
        <f t="shared" si="45"/>
        <v>379.47</v>
      </c>
      <c r="L46" s="106">
        <f t="shared" si="45"/>
        <v>0</v>
      </c>
      <c r="M46" s="99">
        <f t="shared" si="45"/>
        <v>379.47</v>
      </c>
      <c r="N46" s="99">
        <f t="shared" si="45"/>
        <v>0</v>
      </c>
      <c r="O46" s="116">
        <f t="shared" si="45"/>
        <v>298.46000000000004</v>
      </c>
      <c r="P46" s="106">
        <f t="shared" si="45"/>
        <v>0</v>
      </c>
      <c r="Q46" s="116">
        <f t="shared" si="45"/>
        <v>0</v>
      </c>
      <c r="R46" s="106">
        <f t="shared" si="45"/>
        <v>0</v>
      </c>
      <c r="S46" s="116">
        <f t="shared" si="45"/>
        <v>0</v>
      </c>
      <c r="T46" s="106">
        <f t="shared" si="45"/>
        <v>0</v>
      </c>
      <c r="U46" s="116">
        <f t="shared" si="45"/>
        <v>0</v>
      </c>
      <c r="V46" s="106">
        <f t="shared" si="45"/>
        <v>0</v>
      </c>
      <c r="W46" s="116">
        <f t="shared" si="45"/>
        <v>0</v>
      </c>
      <c r="X46" s="106">
        <f t="shared" si="45"/>
        <v>0</v>
      </c>
      <c r="Y46" s="116">
        <f t="shared" si="45"/>
        <v>0</v>
      </c>
      <c r="Z46" s="106">
        <f t="shared" si="45"/>
        <v>0</v>
      </c>
    </row>
    <row r="47" spans="1:27" ht="16.899999999999999" customHeight="1" x14ac:dyDescent="0.25">
      <c r="A47" s="263" t="s">
        <v>20</v>
      </c>
      <c r="B47" s="92" t="s">
        <v>17</v>
      </c>
      <c r="C47" s="117">
        <v>0</v>
      </c>
      <c r="D47" s="94">
        <v>0</v>
      </c>
      <c r="E47" s="117">
        <v>0</v>
      </c>
      <c r="F47" s="94">
        <v>0</v>
      </c>
      <c r="G47" s="117">
        <v>0</v>
      </c>
      <c r="H47" s="94">
        <v>0</v>
      </c>
      <c r="I47" s="117">
        <v>0</v>
      </c>
      <c r="J47" s="94">
        <v>0</v>
      </c>
      <c r="K47" s="117">
        <v>0</v>
      </c>
      <c r="L47" s="94">
        <v>0</v>
      </c>
      <c r="M47" s="93">
        <v>0</v>
      </c>
      <c r="N47" s="93">
        <v>0</v>
      </c>
      <c r="O47" s="117">
        <v>0</v>
      </c>
      <c r="P47" s="94">
        <v>0</v>
      </c>
      <c r="Q47" s="117">
        <v>0</v>
      </c>
      <c r="R47" s="94">
        <v>0</v>
      </c>
      <c r="S47" s="117">
        <v>0</v>
      </c>
      <c r="T47" s="94">
        <v>0</v>
      </c>
      <c r="U47" s="117">
        <v>0</v>
      </c>
      <c r="V47" s="94">
        <v>0</v>
      </c>
      <c r="W47" s="117">
        <v>0</v>
      </c>
      <c r="X47" s="94">
        <v>0</v>
      </c>
      <c r="Y47" s="117">
        <v>0</v>
      </c>
      <c r="Z47" s="94">
        <v>0</v>
      </c>
    </row>
    <row r="48" spans="1:27" ht="16.899999999999999" customHeight="1" x14ac:dyDescent="0.25">
      <c r="A48" s="264"/>
      <c r="B48" s="95" t="s">
        <v>18</v>
      </c>
      <c r="C48" s="118">
        <v>0</v>
      </c>
      <c r="D48" s="97">
        <v>0</v>
      </c>
      <c r="E48" s="118">
        <v>0</v>
      </c>
      <c r="F48" s="97">
        <v>0</v>
      </c>
      <c r="G48" s="118">
        <v>0</v>
      </c>
      <c r="H48" s="97">
        <v>0</v>
      </c>
      <c r="I48" s="118">
        <v>0</v>
      </c>
      <c r="J48" s="97">
        <v>0</v>
      </c>
      <c r="K48" s="118">
        <v>0</v>
      </c>
      <c r="L48" s="97">
        <v>0</v>
      </c>
      <c r="M48" s="96">
        <v>0</v>
      </c>
      <c r="N48" s="96">
        <v>0</v>
      </c>
      <c r="O48" s="118">
        <v>0</v>
      </c>
      <c r="P48" s="97">
        <v>0</v>
      </c>
      <c r="Q48" s="118">
        <v>0</v>
      </c>
      <c r="R48" s="97">
        <v>0</v>
      </c>
      <c r="S48" s="118">
        <v>0</v>
      </c>
      <c r="T48" s="97">
        <v>0</v>
      </c>
      <c r="U48" s="118">
        <v>0</v>
      </c>
      <c r="V48" s="97">
        <v>0</v>
      </c>
      <c r="W48" s="118">
        <v>0</v>
      </c>
      <c r="X48" s="97">
        <v>0</v>
      </c>
      <c r="Y48" s="118">
        <v>0</v>
      </c>
      <c r="Z48" s="97">
        <v>0</v>
      </c>
    </row>
    <row r="49" spans="1:27" ht="16.899999999999999" customHeight="1" thickBot="1" x14ac:dyDescent="0.3">
      <c r="A49" s="265"/>
      <c r="B49" s="103"/>
      <c r="C49" s="144">
        <f>SUM(C47:C48)</f>
        <v>0</v>
      </c>
      <c r="D49" s="105">
        <f t="shared" ref="D49:Z49" si="46">SUM(D47:D48)</f>
        <v>0</v>
      </c>
      <c r="E49" s="145">
        <f t="shared" si="46"/>
        <v>0</v>
      </c>
      <c r="F49" s="105">
        <f t="shared" si="46"/>
        <v>0</v>
      </c>
      <c r="G49" s="145">
        <f t="shared" si="46"/>
        <v>0</v>
      </c>
      <c r="H49" s="105">
        <f t="shared" si="46"/>
        <v>0</v>
      </c>
      <c r="I49" s="145">
        <f t="shared" si="46"/>
        <v>0</v>
      </c>
      <c r="J49" s="105">
        <f t="shared" si="46"/>
        <v>0</v>
      </c>
      <c r="K49" s="145">
        <f t="shared" si="46"/>
        <v>0</v>
      </c>
      <c r="L49" s="105">
        <f t="shared" si="46"/>
        <v>0</v>
      </c>
      <c r="M49" s="104">
        <f t="shared" si="46"/>
        <v>0</v>
      </c>
      <c r="N49" s="104">
        <f t="shared" si="46"/>
        <v>0</v>
      </c>
      <c r="O49" s="145">
        <f t="shared" si="46"/>
        <v>0</v>
      </c>
      <c r="P49" s="105">
        <f t="shared" si="46"/>
        <v>0</v>
      </c>
      <c r="Q49" s="145">
        <f t="shared" si="46"/>
        <v>0</v>
      </c>
      <c r="R49" s="105">
        <f t="shared" si="46"/>
        <v>0</v>
      </c>
      <c r="S49" s="145">
        <f t="shared" si="46"/>
        <v>0</v>
      </c>
      <c r="T49" s="105">
        <f t="shared" si="46"/>
        <v>0</v>
      </c>
      <c r="U49" s="145">
        <f t="shared" si="46"/>
        <v>0</v>
      </c>
      <c r="V49" s="105">
        <f t="shared" si="46"/>
        <v>0</v>
      </c>
      <c r="W49" s="145">
        <f t="shared" si="46"/>
        <v>0</v>
      </c>
      <c r="X49" s="105">
        <f t="shared" si="46"/>
        <v>0</v>
      </c>
      <c r="Y49" s="145">
        <f t="shared" si="46"/>
        <v>0</v>
      </c>
      <c r="Z49" s="105">
        <f t="shared" si="46"/>
        <v>0</v>
      </c>
      <c r="AA49" s="3">
        <f>SUM(C49:Z49)</f>
        <v>0</v>
      </c>
    </row>
    <row r="50" spans="1:27" x14ac:dyDescent="0.25">
      <c r="A50" s="107"/>
      <c r="B50" s="129"/>
      <c r="C50" s="107"/>
      <c r="D50" s="73"/>
      <c r="E50" s="107"/>
      <c r="F50" s="73"/>
      <c r="G50" s="107"/>
      <c r="H50" s="73"/>
      <c r="I50" s="107"/>
      <c r="J50" s="73"/>
      <c r="K50" s="107" t="s">
        <v>59</v>
      </c>
      <c r="L50" s="73"/>
      <c r="M50" s="129"/>
      <c r="N50" s="129"/>
      <c r="O50" s="107"/>
      <c r="P50" s="73"/>
      <c r="Q50" s="107"/>
      <c r="R50" s="73"/>
      <c r="S50" s="107"/>
      <c r="T50" s="73"/>
      <c r="U50" s="107"/>
      <c r="V50" s="73"/>
      <c r="W50" s="107"/>
      <c r="X50" s="73"/>
      <c r="Y50" s="107"/>
      <c r="Z50" s="73"/>
    </row>
    <row r="51" spans="1:27" x14ac:dyDescent="0.25">
      <c r="A51" s="119"/>
      <c r="B51" s="130" t="s">
        <v>102</v>
      </c>
      <c r="C51" s="120">
        <f t="shared" ref="C51:Z51" si="47">C6-C46</f>
        <v>576.35000000000014</v>
      </c>
      <c r="D51" s="121">
        <f t="shared" si="47"/>
        <v>0</v>
      </c>
      <c r="E51" s="120">
        <f t="shared" si="47"/>
        <v>759.94</v>
      </c>
      <c r="F51" s="121">
        <f t="shared" si="47"/>
        <v>0</v>
      </c>
      <c r="G51" s="120">
        <f t="shared" si="47"/>
        <v>759.94</v>
      </c>
      <c r="H51" s="121">
        <f t="shared" si="47"/>
        <v>0</v>
      </c>
      <c r="I51" s="120">
        <f t="shared" si="47"/>
        <v>576.35000000000014</v>
      </c>
      <c r="J51" s="121">
        <f t="shared" si="47"/>
        <v>0</v>
      </c>
      <c r="K51" s="120">
        <f t="shared" si="47"/>
        <v>973.53</v>
      </c>
      <c r="L51" s="121">
        <f t="shared" si="47"/>
        <v>0</v>
      </c>
      <c r="M51" s="131">
        <f t="shared" si="47"/>
        <v>973.53</v>
      </c>
      <c r="N51" s="131">
        <f t="shared" si="47"/>
        <v>0</v>
      </c>
      <c r="O51" s="120">
        <f t="shared" si="47"/>
        <v>783.94</v>
      </c>
      <c r="P51" s="121">
        <f t="shared" si="47"/>
        <v>0</v>
      </c>
      <c r="Q51" s="120">
        <f t="shared" si="47"/>
        <v>0</v>
      </c>
      <c r="R51" s="121">
        <f t="shared" si="47"/>
        <v>0</v>
      </c>
      <c r="S51" s="120">
        <f t="shared" si="47"/>
        <v>0</v>
      </c>
      <c r="T51" s="121">
        <f t="shared" si="47"/>
        <v>0</v>
      </c>
      <c r="U51" s="120">
        <f t="shared" si="47"/>
        <v>0</v>
      </c>
      <c r="V51" s="121">
        <f t="shared" si="47"/>
        <v>0</v>
      </c>
      <c r="W51" s="120">
        <f t="shared" si="47"/>
        <v>0</v>
      </c>
      <c r="X51" s="121">
        <f t="shared" si="47"/>
        <v>0</v>
      </c>
      <c r="Y51" s="120">
        <f t="shared" si="47"/>
        <v>0</v>
      </c>
      <c r="Z51" s="121">
        <f t="shared" si="47"/>
        <v>0</v>
      </c>
      <c r="AA51" s="3">
        <f>SUM(C51:Z51)</f>
        <v>5403.58</v>
      </c>
    </row>
    <row r="52" spans="1:27" x14ac:dyDescent="0.25">
      <c r="A52" s="119"/>
      <c r="B52" s="130" t="s">
        <v>103</v>
      </c>
      <c r="C52" s="119">
        <v>576.35</v>
      </c>
      <c r="D52" s="76"/>
      <c r="E52" s="119">
        <v>759.94</v>
      </c>
      <c r="F52" s="76"/>
      <c r="G52" s="119">
        <v>759.94</v>
      </c>
      <c r="H52" s="76"/>
      <c r="I52" s="119">
        <v>576.35</v>
      </c>
      <c r="J52" s="76"/>
      <c r="K52" s="119">
        <v>973.53</v>
      </c>
      <c r="L52" s="76"/>
      <c r="M52" s="132"/>
      <c r="N52" s="132"/>
      <c r="O52" s="119"/>
      <c r="P52" s="76"/>
      <c r="Q52" s="119"/>
      <c r="R52" s="76"/>
      <c r="S52" s="119"/>
      <c r="T52" s="76"/>
      <c r="U52" s="119"/>
      <c r="V52" s="76"/>
      <c r="W52" s="119"/>
      <c r="X52" s="76"/>
      <c r="Y52" s="119"/>
      <c r="Z52" s="76"/>
      <c r="AA52" s="3">
        <f>SUM(C52:Z52)</f>
        <v>3646.1099999999997</v>
      </c>
    </row>
    <row r="53" spans="1:27" ht="15.75" thickBot="1" x14ac:dyDescent="0.3">
      <c r="A53" s="127"/>
      <c r="B53" s="90" t="s">
        <v>104</v>
      </c>
      <c r="C53" s="122">
        <f>IF(C52=0,0,C52-C51)</f>
        <v>-1.1368683772161603E-13</v>
      </c>
      <c r="D53" s="123">
        <f t="shared" ref="D53:Z53" si="48">IF(D52=0,0,D52-D51)</f>
        <v>0</v>
      </c>
      <c r="E53" s="122">
        <f t="shared" si="48"/>
        <v>0</v>
      </c>
      <c r="F53" s="123">
        <f t="shared" si="48"/>
        <v>0</v>
      </c>
      <c r="G53" s="122">
        <f t="shared" si="48"/>
        <v>0</v>
      </c>
      <c r="H53" s="123">
        <f t="shared" si="48"/>
        <v>0</v>
      </c>
      <c r="I53" s="122">
        <f t="shared" si="48"/>
        <v>-1.1368683772161603E-13</v>
      </c>
      <c r="J53" s="123">
        <f t="shared" si="48"/>
        <v>0</v>
      </c>
      <c r="K53" s="122">
        <f t="shared" si="48"/>
        <v>0</v>
      </c>
      <c r="L53" s="123">
        <f t="shared" si="48"/>
        <v>0</v>
      </c>
      <c r="M53" s="133">
        <f t="shared" si="48"/>
        <v>0</v>
      </c>
      <c r="N53" s="133">
        <f t="shared" si="48"/>
        <v>0</v>
      </c>
      <c r="O53" s="122">
        <f t="shared" si="48"/>
        <v>0</v>
      </c>
      <c r="P53" s="123">
        <f t="shared" si="48"/>
        <v>0</v>
      </c>
      <c r="Q53" s="122">
        <f t="shared" si="48"/>
        <v>0</v>
      </c>
      <c r="R53" s="123">
        <f t="shared" si="48"/>
        <v>0</v>
      </c>
      <c r="S53" s="122">
        <f t="shared" si="48"/>
        <v>0</v>
      </c>
      <c r="T53" s="123">
        <f t="shared" si="48"/>
        <v>0</v>
      </c>
      <c r="U53" s="122">
        <f t="shared" si="48"/>
        <v>0</v>
      </c>
      <c r="V53" s="123">
        <f t="shared" si="48"/>
        <v>0</v>
      </c>
      <c r="W53" s="122">
        <f t="shared" si="48"/>
        <v>0</v>
      </c>
      <c r="X53" s="123">
        <f t="shared" si="48"/>
        <v>0</v>
      </c>
      <c r="Y53" s="122">
        <f t="shared" si="48"/>
        <v>0</v>
      </c>
      <c r="Z53" s="123">
        <f t="shared" si="48"/>
        <v>0</v>
      </c>
    </row>
  </sheetData>
  <mergeCells count="15">
    <mergeCell ref="A4:A6"/>
    <mergeCell ref="A9:A46"/>
    <mergeCell ref="A47:A49"/>
    <mergeCell ref="S2:T2"/>
    <mergeCell ref="U2:V2"/>
    <mergeCell ref="W2:X2"/>
    <mergeCell ref="Y2:Z2"/>
    <mergeCell ref="C2:D2"/>
    <mergeCell ref="E2:F2"/>
    <mergeCell ref="G2:H2"/>
    <mergeCell ref="I2:J2"/>
    <mergeCell ref="K2:L2"/>
    <mergeCell ref="M2:N2"/>
    <mergeCell ref="O2:P2"/>
    <mergeCell ref="Q2:R2"/>
  </mergeCells>
  <pageMargins left="0.7" right="0.7" top="0.75" bottom="0.75" header="0.3" footer="0.3"/>
  <pageSetup orientation="portrait" horizontalDpi="4294967293"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4"/>
  <sheetViews>
    <sheetView workbookViewId="0">
      <selection activeCell="E17" sqref="E17"/>
    </sheetView>
  </sheetViews>
  <sheetFormatPr defaultColWidth="8.85546875" defaultRowHeight="15" x14ac:dyDescent="0.25"/>
  <cols>
    <col min="1" max="1" width="32.5703125" style="146" customWidth="1"/>
    <col min="2" max="3" width="13.28515625" style="149" customWidth="1"/>
    <col min="4" max="4" width="8.85546875" style="146"/>
    <col min="5" max="5" width="13.5703125" style="146" customWidth="1"/>
    <col min="6" max="6" width="19.85546875" style="146" customWidth="1"/>
    <col min="7" max="7" width="18" style="146" customWidth="1"/>
    <col min="8" max="8" width="14.5703125" style="146" customWidth="1"/>
    <col min="9" max="16384" width="8.85546875" style="146"/>
  </cols>
  <sheetData>
    <row r="1" spans="1:9" x14ac:dyDescent="0.25">
      <c r="A1" s="271" t="s">
        <v>164</v>
      </c>
      <c r="B1" s="271"/>
      <c r="C1" s="271"/>
      <c r="F1" s="276" t="s">
        <v>165</v>
      </c>
      <c r="G1" s="276"/>
      <c r="H1" s="276"/>
    </row>
    <row r="2" spans="1:9" x14ac:dyDescent="0.25">
      <c r="A2" s="147" t="s">
        <v>166</v>
      </c>
      <c r="B2" s="148">
        <f>MAX_ANNUAL_CPP</f>
        <v>2564.1</v>
      </c>
      <c r="F2"/>
      <c r="G2"/>
      <c r="H2"/>
    </row>
    <row r="3" spans="1:9" x14ac:dyDescent="0.25">
      <c r="A3" s="147"/>
      <c r="B3" s="150"/>
      <c r="F3" s="151" t="s">
        <v>167</v>
      </c>
      <c r="G3" s="42">
        <f>B55</f>
        <v>1680.4624599999879</v>
      </c>
      <c r="H3" s="42"/>
      <c r="I3" s="149"/>
    </row>
    <row r="4" spans="1:9" ht="15.75" thickBot="1" x14ac:dyDescent="0.3">
      <c r="A4" s="152" t="s">
        <v>168</v>
      </c>
      <c r="B4" s="153">
        <f>MRU_JP_CPP</f>
        <v>2564.1000000000004</v>
      </c>
      <c r="C4" s="153">
        <f>MRU_NP_CPP</f>
        <v>1329.0399999999995</v>
      </c>
      <c r="F4" s="151" t="s">
        <v>169</v>
      </c>
      <c r="G4" s="154">
        <f>C55</f>
        <v>-1956.6700112500012</v>
      </c>
      <c r="H4" s="42"/>
      <c r="I4" s="149"/>
    </row>
    <row r="5" spans="1:9" ht="15.75" thickTop="1" x14ac:dyDescent="0.25">
      <c r="A5" s="152" t="s">
        <v>149</v>
      </c>
      <c r="B5" s="149">
        <v>0</v>
      </c>
      <c r="C5" s="153">
        <f>UOFC_CPP</f>
        <v>0</v>
      </c>
      <c r="F5" s="155" t="s">
        <v>170</v>
      </c>
      <c r="G5" s="156">
        <f>SUM(G3:G4) * -1</f>
        <v>276.20755125001324</v>
      </c>
      <c r="H5" s="42"/>
      <c r="I5" s="149"/>
    </row>
    <row r="6" spans="1:9" x14ac:dyDescent="0.25">
      <c r="A6" s="152" t="s">
        <v>150</v>
      </c>
      <c r="B6" s="157">
        <v>0</v>
      </c>
      <c r="C6" s="158">
        <f>HOSHU_CPP</f>
        <v>268.08</v>
      </c>
      <c r="F6" s="155"/>
      <c r="G6" s="53"/>
      <c r="H6" s="53"/>
      <c r="I6" s="159"/>
    </row>
    <row r="7" spans="1:9" x14ac:dyDescent="0.25">
      <c r="A7" s="160" t="s">
        <v>171</v>
      </c>
      <c r="B7" s="161">
        <f>SUM(B4:B6)</f>
        <v>2564.1000000000004</v>
      </c>
      <c r="C7" s="161">
        <f>SUM(C4:C6)</f>
        <v>1597.1199999999994</v>
      </c>
      <c r="F7" s="155"/>
      <c r="G7" s="53"/>
      <c r="H7" s="53"/>
      <c r="I7" s="159"/>
    </row>
    <row r="8" spans="1:9" x14ac:dyDescent="0.25">
      <c r="E8" s="162"/>
      <c r="F8" s="155"/>
      <c r="G8" s="53"/>
      <c r="H8" s="53"/>
      <c r="I8" s="159"/>
    </row>
    <row r="9" spans="1:9" x14ac:dyDescent="0.25">
      <c r="A9" s="152" t="s">
        <v>172</v>
      </c>
      <c r="B9" s="149">
        <v>0</v>
      </c>
      <c r="C9" s="161">
        <f>FOURLIFE_ANNUAL_PAY*9.9%</f>
        <v>70.983000000000004</v>
      </c>
      <c r="F9"/>
      <c r="G9" s="163"/>
      <c r="H9" s="163"/>
    </row>
    <row r="10" spans="1:9" x14ac:dyDescent="0.25">
      <c r="A10" s="152"/>
    </row>
    <row r="11" spans="1:9" x14ac:dyDescent="0.25">
      <c r="A11" s="152"/>
    </row>
    <row r="12" spans="1:9" x14ac:dyDescent="0.25">
      <c r="A12" s="271" t="s">
        <v>173</v>
      </c>
      <c r="B12" s="271"/>
      <c r="C12" s="271"/>
      <c r="E12" s="152"/>
    </row>
    <row r="13" spans="1:9" x14ac:dyDescent="0.25">
      <c r="A13" s="147" t="s">
        <v>166</v>
      </c>
      <c r="B13" s="148">
        <f>MAX_ANNUAL_EI</f>
        <v>836.19</v>
      </c>
      <c r="F13" s="146" t="s">
        <v>155</v>
      </c>
      <c r="G13" s="146" t="s">
        <v>156</v>
      </c>
      <c r="H13" s="146" t="s">
        <v>174</v>
      </c>
      <c r="I13" s="146" t="s">
        <v>175</v>
      </c>
    </row>
    <row r="14" spans="1:9" x14ac:dyDescent="0.25">
      <c r="A14" s="147"/>
      <c r="B14" s="150"/>
      <c r="E14" s="146" t="s">
        <v>21</v>
      </c>
      <c r="F14" s="146">
        <v>0</v>
      </c>
      <c r="G14" s="146">
        <f>717/12</f>
        <v>59.75</v>
      </c>
      <c r="H14" s="146">
        <v>0</v>
      </c>
    </row>
    <row r="15" spans="1:9" x14ac:dyDescent="0.25">
      <c r="A15" s="152" t="s">
        <v>176</v>
      </c>
      <c r="B15" s="153">
        <f>MRU_JP_EI</f>
        <v>836.19</v>
      </c>
      <c r="C15" s="153">
        <f>MRU_NP_EI</f>
        <v>475.59999999999991</v>
      </c>
      <c r="E15" s="146" t="s">
        <v>22</v>
      </c>
      <c r="F15" s="146">
        <v>0</v>
      </c>
      <c r="G15" s="146">
        <f t="shared" ref="G15:G25" si="0">717/12</f>
        <v>59.75</v>
      </c>
      <c r="H15" s="146">
        <v>0</v>
      </c>
    </row>
    <row r="16" spans="1:9" x14ac:dyDescent="0.25">
      <c r="A16" s="152" t="s">
        <v>149</v>
      </c>
      <c r="B16" s="149">
        <v>0</v>
      </c>
      <c r="C16" s="153">
        <f>UOFC_EI</f>
        <v>0</v>
      </c>
      <c r="E16" s="146" t="s">
        <v>23</v>
      </c>
      <c r="F16" s="146">
        <v>1110</v>
      </c>
      <c r="G16" s="146">
        <f t="shared" si="0"/>
        <v>59.75</v>
      </c>
      <c r="H16" s="146">
        <v>0</v>
      </c>
    </row>
    <row r="17" spans="1:8" x14ac:dyDescent="0.25">
      <c r="A17" s="152" t="s">
        <v>150</v>
      </c>
      <c r="B17" s="157">
        <v>0</v>
      </c>
      <c r="C17" s="158">
        <f>HOSHU_EI</f>
        <v>121.53999999999999</v>
      </c>
      <c r="E17" s="146" t="s">
        <v>24</v>
      </c>
      <c r="F17" s="146">
        <v>660</v>
      </c>
      <c r="G17" s="146">
        <f t="shared" si="0"/>
        <v>59.75</v>
      </c>
      <c r="H17" s="146">
        <v>0</v>
      </c>
    </row>
    <row r="18" spans="1:8" x14ac:dyDescent="0.25">
      <c r="A18" s="160" t="s">
        <v>177</v>
      </c>
      <c r="B18" s="161">
        <f>SUM(B15:B17)</f>
        <v>836.19</v>
      </c>
      <c r="C18" s="161">
        <f>SUM(C15:C17)</f>
        <v>597.13999999999987</v>
      </c>
      <c r="E18" s="146" t="s">
        <v>25</v>
      </c>
      <c r="F18" s="146">
        <v>0</v>
      </c>
      <c r="G18" s="146">
        <f t="shared" si="0"/>
        <v>59.75</v>
      </c>
      <c r="H18" s="146">
        <v>0</v>
      </c>
    </row>
    <row r="19" spans="1:8" x14ac:dyDescent="0.25">
      <c r="E19" s="146" t="s">
        <v>26</v>
      </c>
      <c r="F19" s="146">
        <v>0</v>
      </c>
      <c r="G19" s="146">
        <f t="shared" si="0"/>
        <v>59.75</v>
      </c>
      <c r="H19" s="146">
        <v>0</v>
      </c>
    </row>
    <row r="20" spans="1:8" x14ac:dyDescent="0.25">
      <c r="E20" s="146" t="s">
        <v>27</v>
      </c>
      <c r="F20" s="146">
        <v>1000</v>
      </c>
      <c r="G20" s="146">
        <f t="shared" si="0"/>
        <v>59.75</v>
      </c>
      <c r="H20" s="146">
        <v>0</v>
      </c>
    </row>
    <row r="21" spans="1:8" x14ac:dyDescent="0.25">
      <c r="A21" s="271" t="s">
        <v>178</v>
      </c>
      <c r="B21" s="271"/>
      <c r="C21" s="271"/>
      <c r="E21" s="146" t="s">
        <v>28</v>
      </c>
      <c r="F21" s="146">
        <v>650</v>
      </c>
      <c r="G21" s="146">
        <f t="shared" si="0"/>
        <v>59.75</v>
      </c>
      <c r="H21" s="146">
        <v>0</v>
      </c>
    </row>
    <row r="22" spans="1:8" x14ac:dyDescent="0.25">
      <c r="A22"/>
      <c r="B22" s="42"/>
      <c r="C22" s="42"/>
      <c r="E22" s="146" t="s">
        <v>29</v>
      </c>
      <c r="F22" s="146">
        <v>0</v>
      </c>
      <c r="G22" s="146">
        <f t="shared" si="0"/>
        <v>59.75</v>
      </c>
      <c r="H22" s="146">
        <v>0</v>
      </c>
    </row>
    <row r="23" spans="1:8" x14ac:dyDescent="0.25">
      <c r="A23" s="164" t="s">
        <v>179</v>
      </c>
      <c r="B23" s="165">
        <f>MRU_JP_EMPL_INCOME</f>
        <v>110705.80599999995</v>
      </c>
      <c r="C23" s="165">
        <f>MRU_NP_EMPL_INCOME</f>
        <v>29181.919999999991</v>
      </c>
      <c r="E23" s="146" t="s">
        <v>30</v>
      </c>
      <c r="F23" s="146">
        <v>500</v>
      </c>
      <c r="G23" s="146">
        <f t="shared" si="0"/>
        <v>59.75</v>
      </c>
      <c r="H23" s="146">
        <v>0</v>
      </c>
    </row>
    <row r="24" spans="1:8" x14ac:dyDescent="0.25">
      <c r="A24" s="164" t="s">
        <v>180</v>
      </c>
      <c r="B24" s="42">
        <v>0</v>
      </c>
      <c r="C24" s="165">
        <f>UOFC_EMPL_INCOME</f>
        <v>0</v>
      </c>
      <c r="E24" s="146" t="s">
        <v>31</v>
      </c>
      <c r="F24" s="146">
        <v>0</v>
      </c>
      <c r="G24" s="146">
        <f t="shared" si="0"/>
        <v>59.75</v>
      </c>
      <c r="H24" s="146">
        <v>0</v>
      </c>
    </row>
    <row r="25" spans="1:8" x14ac:dyDescent="0.25">
      <c r="A25" s="164" t="s">
        <v>181</v>
      </c>
      <c r="B25" s="166">
        <v>0</v>
      </c>
      <c r="C25" s="167">
        <f>HOSHU_EMPL_INCOME</f>
        <v>7456.9600000000009</v>
      </c>
      <c r="E25" s="146" t="s">
        <v>32</v>
      </c>
      <c r="F25" s="146">
        <v>1150</v>
      </c>
      <c r="G25" s="146">
        <f t="shared" si="0"/>
        <v>59.75</v>
      </c>
      <c r="H25" s="146">
        <v>0</v>
      </c>
    </row>
    <row r="26" spans="1:8" x14ac:dyDescent="0.25">
      <c r="A26" s="168" t="s">
        <v>182</v>
      </c>
      <c r="B26" s="169">
        <f>SUM(B23:B25)</f>
        <v>110705.80599999995</v>
      </c>
      <c r="C26" s="169">
        <f>SUM(C23:C25)</f>
        <v>36638.87999999999</v>
      </c>
      <c r="E26" s="170" t="s">
        <v>183</v>
      </c>
      <c r="F26" s="171">
        <f>SUM(F14:F25)</f>
        <v>5070</v>
      </c>
      <c r="G26" s="171">
        <f t="shared" ref="G26:H26" si="1">SUM(G14:G25)</f>
        <v>717</v>
      </c>
      <c r="H26" s="170">
        <f t="shared" si="1"/>
        <v>0</v>
      </c>
    </row>
    <row r="27" spans="1:8" x14ac:dyDescent="0.25">
      <c r="A27" s="168"/>
      <c r="B27" s="42"/>
      <c r="C27" s="42"/>
    </row>
    <row r="28" spans="1:8" ht="15.75" thickBot="1" x14ac:dyDescent="0.3">
      <c r="A28" s="151" t="s">
        <v>184</v>
      </c>
      <c r="B28" s="171">
        <f>CASB_ANNUAL_PAY</f>
        <v>5070</v>
      </c>
      <c r="C28" s="42">
        <v>0</v>
      </c>
    </row>
    <row r="29" spans="1:8" ht="15.75" thickBot="1" x14ac:dyDescent="0.3">
      <c r="A29" s="151" t="s">
        <v>185</v>
      </c>
      <c r="B29" s="42">
        <v>0</v>
      </c>
      <c r="C29" s="171">
        <f>FOURLIFE_ANNUAL_PAY</f>
        <v>717</v>
      </c>
      <c r="E29" s="172"/>
      <c r="F29" s="277" t="s">
        <v>186</v>
      </c>
      <c r="G29" s="275"/>
      <c r="H29" s="275"/>
    </row>
    <row r="30" spans="1:8" ht="15.75" thickBot="1" x14ac:dyDescent="0.3">
      <c r="A30" s="151" t="s">
        <v>187</v>
      </c>
      <c r="B30" s="166">
        <f>MISC_ANNUAL_PAY</f>
        <v>0</v>
      </c>
      <c r="C30" s="166">
        <v>0</v>
      </c>
      <c r="E30" s="173"/>
      <c r="F30" s="278" t="s">
        <v>188</v>
      </c>
      <c r="G30" s="275"/>
      <c r="H30" s="275"/>
    </row>
    <row r="31" spans="1:8" ht="15.75" thickBot="1" x14ac:dyDescent="0.3">
      <c r="A31" s="168" t="s">
        <v>189</v>
      </c>
      <c r="B31" s="174">
        <f>SUM(B28:B30)</f>
        <v>5070</v>
      </c>
      <c r="C31" s="174">
        <f>SUM(C28:C30)</f>
        <v>717</v>
      </c>
      <c r="E31" s="175"/>
      <c r="F31" s="274" t="s">
        <v>190</v>
      </c>
      <c r="G31" s="275"/>
      <c r="H31" s="275"/>
    </row>
    <row r="32" spans="1:8" ht="15.75" thickTop="1" x14ac:dyDescent="0.25">
      <c r="A32" s="168" t="s">
        <v>191</v>
      </c>
      <c r="B32" s="169">
        <f>B26+B31</f>
        <v>115775.80599999995</v>
      </c>
      <c r="C32" s="169">
        <f>C26+C31</f>
        <v>37355.87999999999</v>
      </c>
    </row>
    <row r="33" spans="1:8" x14ac:dyDescent="0.25">
      <c r="A33" s="168"/>
      <c r="B33" s="42"/>
      <c r="C33" s="42"/>
      <c r="E33" s="272" t="s">
        <v>192</v>
      </c>
      <c r="F33" s="272"/>
      <c r="G33" s="272"/>
      <c r="H33" s="272"/>
    </row>
    <row r="34" spans="1:8" x14ac:dyDescent="0.25">
      <c r="A34" s="168"/>
      <c r="B34" s="42"/>
      <c r="C34" s="42"/>
    </row>
    <row r="35" spans="1:8" x14ac:dyDescent="0.25">
      <c r="A35" s="271" t="s">
        <v>193</v>
      </c>
      <c r="B35" s="271"/>
      <c r="C35" s="271"/>
      <c r="E35" s="152" t="s">
        <v>194</v>
      </c>
      <c r="F35" s="149">
        <v>241</v>
      </c>
    </row>
    <row r="36" spans="1:8" x14ac:dyDescent="0.25">
      <c r="A36" s="168"/>
      <c r="B36" s="42"/>
      <c r="C36" s="42"/>
      <c r="E36" s="152" t="s">
        <v>195</v>
      </c>
      <c r="F36" s="149">
        <v>0</v>
      </c>
    </row>
    <row r="37" spans="1:8" x14ac:dyDescent="0.25">
      <c r="A37" s="176" t="s">
        <v>196</v>
      </c>
      <c r="B37" s="42"/>
      <c r="C37" s="42"/>
      <c r="E37" s="152" t="s">
        <v>197</v>
      </c>
      <c r="F37" s="157">
        <v>0</v>
      </c>
    </row>
    <row r="38" spans="1:8" x14ac:dyDescent="0.25">
      <c r="A38" t="s">
        <v>198</v>
      </c>
      <c r="B38" s="165">
        <f>MRU_JP_MRFA + MRU_JP_MRSA</f>
        <v>564.68999999999994</v>
      </c>
      <c r="C38" s="165">
        <f>MRU_JP_MRFA</f>
        <v>156.68999999999997</v>
      </c>
      <c r="E38" s="160" t="s">
        <v>151</v>
      </c>
      <c r="F38" s="171">
        <f>SUM(F35:F37)</f>
        <v>241</v>
      </c>
    </row>
    <row r="39" spans="1:8" x14ac:dyDescent="0.25">
      <c r="A39" t="s">
        <v>199</v>
      </c>
      <c r="B39" s="166">
        <v>0</v>
      </c>
      <c r="C39" s="167">
        <f>UOFC_CAUT + UOFC_TUCFA</f>
        <v>0</v>
      </c>
    </row>
    <row r="40" spans="1:8" x14ac:dyDescent="0.25">
      <c r="A40" s="168" t="s">
        <v>200</v>
      </c>
      <c r="B40" s="169">
        <f>SUM(B38:B39)</f>
        <v>564.68999999999994</v>
      </c>
      <c r="C40" s="169">
        <f>SUM(C38:C39)</f>
        <v>156.68999999999997</v>
      </c>
    </row>
    <row r="41" spans="1:8" x14ac:dyDescent="0.25">
      <c r="A41" t="s">
        <v>201</v>
      </c>
      <c r="B41" s="165">
        <f>MRU_JP_RPP</f>
        <v>11567.88</v>
      </c>
      <c r="C41" s="42">
        <f>MRU_NP_RPP</f>
        <v>0</v>
      </c>
    </row>
    <row r="42" spans="1:8" x14ac:dyDescent="0.25">
      <c r="A42" t="s">
        <v>202</v>
      </c>
      <c r="B42" s="177">
        <v>0</v>
      </c>
      <c r="C42" s="171">
        <f>CHILD_CARE</f>
        <v>241</v>
      </c>
      <c r="E42" s="272" t="s">
        <v>203</v>
      </c>
      <c r="F42" s="272"/>
      <c r="G42" s="272"/>
      <c r="H42" s="272"/>
    </row>
    <row r="43" spans="1:8" x14ac:dyDescent="0.25">
      <c r="A43" s="70" t="s">
        <v>204</v>
      </c>
      <c r="B43" s="178">
        <v>0</v>
      </c>
      <c r="C43" s="178">
        <f>C9/2</f>
        <v>35.491500000000002</v>
      </c>
      <c r="E43" s="146" t="s">
        <v>205</v>
      </c>
      <c r="F43" s="146">
        <v>2237</v>
      </c>
      <c r="G43" s="146">
        <v>2384</v>
      </c>
    </row>
    <row r="44" spans="1:8" ht="15.75" thickBot="1" x14ac:dyDescent="0.3">
      <c r="A44" s="176" t="s">
        <v>206</v>
      </c>
      <c r="B44" s="174">
        <f>SUM(B40:B43)</f>
        <v>12132.57</v>
      </c>
      <c r="C44" s="174">
        <f>SUM(C40:C43)</f>
        <v>433.18149999999991</v>
      </c>
      <c r="E44" s="146" t="s">
        <v>207</v>
      </c>
      <c r="F44" s="149">
        <v>164</v>
      </c>
      <c r="G44" s="149">
        <v>0</v>
      </c>
    </row>
    <row r="45" spans="1:8" ht="15.75" thickTop="1" x14ac:dyDescent="0.25">
      <c r="A45" s="155" t="s">
        <v>208</v>
      </c>
      <c r="B45" s="169">
        <f>B32-B44</f>
        <v>103643.23599999995</v>
      </c>
      <c r="C45" s="169">
        <f>C32-C44</f>
        <v>36922.698499999991</v>
      </c>
      <c r="E45" s="146" t="s">
        <v>209</v>
      </c>
      <c r="F45" s="157">
        <f>[1]Summary!D10</f>
        <v>1312.0800000000002</v>
      </c>
      <c r="G45" s="157">
        <f>[1]Summary!D10</f>
        <v>1312.0800000000002</v>
      </c>
    </row>
    <row r="46" spans="1:8" x14ac:dyDescent="0.25">
      <c r="A46" s="155"/>
      <c r="B46" s="42"/>
      <c r="C46" s="42"/>
      <c r="E46" s="179" t="s">
        <v>210</v>
      </c>
      <c r="F46" s="149">
        <f>SUM(F44:F45)</f>
        <v>1476.0800000000002</v>
      </c>
      <c r="G46" s="146">
        <f>MED_EXPENSES</f>
        <v>1476.0800000000002</v>
      </c>
    </row>
    <row r="47" spans="1:8" ht="15.75" thickBot="1" x14ac:dyDescent="0.3">
      <c r="A47" s="155"/>
      <c r="B47" s="42"/>
      <c r="C47" s="42"/>
      <c r="E47" s="180" t="s">
        <v>211</v>
      </c>
      <c r="F47" s="181">
        <f>MIN(F43,3%*NP_TAXABLE_INCOME)</f>
        <v>1107.6809549999996</v>
      </c>
      <c r="G47" s="181">
        <f>MIN(G43,3%*NP_TAXABLE_INCOME)</f>
        <v>1107.6809549999996</v>
      </c>
      <c r="H47" s="182" t="s">
        <v>212</v>
      </c>
    </row>
    <row r="48" spans="1:8" ht="15.75" thickTop="1" x14ac:dyDescent="0.25">
      <c r="A48" s="271" t="s">
        <v>213</v>
      </c>
      <c r="B48" s="271"/>
      <c r="C48" s="271"/>
      <c r="E48" s="179" t="s">
        <v>214</v>
      </c>
      <c r="F48" s="183">
        <f>MAX(0,MED_EXPENSES-F47)</f>
        <v>368.39904500000057</v>
      </c>
      <c r="G48" s="183">
        <f>MAX(0,MED_EXPENSES-G47)</f>
        <v>368.39904500000057</v>
      </c>
    </row>
    <row r="49" spans="1:8" x14ac:dyDescent="0.25">
      <c r="E49" s="179"/>
    </row>
    <row r="50" spans="1:8" x14ac:dyDescent="0.25">
      <c r="A50" s="146" t="s">
        <v>215</v>
      </c>
      <c r="B50" s="161">
        <f>JP_NET_FED_TAX</f>
        <v>16939.187859999987</v>
      </c>
      <c r="C50" s="161">
        <f>NP_NET_FED_TAX</f>
        <v>2697.9321932499988</v>
      </c>
    </row>
    <row r="51" spans="1:8" x14ac:dyDescent="0.25">
      <c r="A51" s="146" t="s">
        <v>216</v>
      </c>
      <c r="B51" s="161">
        <f>JP_NET_AB_TAX</f>
        <v>8155.2945999999956</v>
      </c>
      <c r="C51" s="161">
        <f>NP_NET_AB_TAX</f>
        <v>1182.2547954999991</v>
      </c>
      <c r="E51" s="272" t="s">
        <v>217</v>
      </c>
      <c r="F51" s="272"/>
      <c r="G51" s="272"/>
      <c r="H51" s="272"/>
    </row>
    <row r="52" spans="1:8" x14ac:dyDescent="0.25">
      <c r="A52" s="146" t="s">
        <v>218</v>
      </c>
      <c r="B52" s="157">
        <v>0</v>
      </c>
      <c r="C52" s="184">
        <f>C9</f>
        <v>70.983000000000004</v>
      </c>
    </row>
    <row r="53" spans="1:8" x14ac:dyDescent="0.25">
      <c r="A53" s="160" t="s">
        <v>219</v>
      </c>
      <c r="B53" s="161">
        <f>SUM(B50:B52)</f>
        <v>25094.482459999985</v>
      </c>
      <c r="C53" s="161">
        <f>SUM(C50:C52)</f>
        <v>3951.1699887499981</v>
      </c>
      <c r="E53" s="146" t="s">
        <v>151</v>
      </c>
      <c r="F53" s="149">
        <v>1920</v>
      </c>
    </row>
    <row r="54" spans="1:8" ht="15.75" thickBot="1" x14ac:dyDescent="0.3">
      <c r="A54" s="185" t="s">
        <v>220</v>
      </c>
      <c r="B54" s="186">
        <f>B66</f>
        <v>23414.019999999997</v>
      </c>
      <c r="C54" s="186">
        <f>C66</f>
        <v>5907.8399999999992</v>
      </c>
      <c r="E54" s="182" t="s">
        <v>221</v>
      </c>
      <c r="F54" s="149">
        <v>200</v>
      </c>
    </row>
    <row r="55" spans="1:8" ht="17.25" customHeight="1" thickTop="1" x14ac:dyDescent="0.25">
      <c r="A55" s="187" t="s">
        <v>222</v>
      </c>
      <c r="B55" s="156">
        <f>B53-B54</f>
        <v>1680.4624599999879</v>
      </c>
      <c r="C55" s="156">
        <f>C53-C54</f>
        <v>-1956.6700112500012</v>
      </c>
      <c r="E55" s="146" t="s">
        <v>223</v>
      </c>
      <c r="F55" s="149">
        <f>F53-F54</f>
        <v>1720</v>
      </c>
      <c r="G55" s="146" t="s">
        <v>224</v>
      </c>
    </row>
    <row r="56" spans="1:8" x14ac:dyDescent="0.25">
      <c r="A56" s="155"/>
      <c r="B56" s="42"/>
      <c r="C56" s="42"/>
      <c r="F56" s="149"/>
    </row>
    <row r="57" spans="1:8" x14ac:dyDescent="0.25">
      <c r="A57" s="155"/>
      <c r="B57" s="42"/>
      <c r="C57" s="42"/>
      <c r="E57" s="146" t="s">
        <v>225</v>
      </c>
      <c r="F57" s="149">
        <f>15%*F54</f>
        <v>30</v>
      </c>
      <c r="G57" s="146" t="s">
        <v>226</v>
      </c>
      <c r="H57" s="149">
        <f>10%*F54</f>
        <v>20</v>
      </c>
    </row>
    <row r="58" spans="1:8" ht="15.75" thickBot="1" x14ac:dyDescent="0.3">
      <c r="A58" s="271" t="s">
        <v>227</v>
      </c>
      <c r="B58" s="271"/>
      <c r="C58" s="271"/>
      <c r="E58" s="146" t="s">
        <v>228</v>
      </c>
      <c r="F58" s="181">
        <f>29%*F55</f>
        <v>498.79999999999995</v>
      </c>
      <c r="G58" s="146" t="s">
        <v>229</v>
      </c>
      <c r="H58" s="181">
        <f>21%*F55</f>
        <v>361.2</v>
      </c>
    </row>
    <row r="59" spans="1:8" ht="15.75" thickTop="1" x14ac:dyDescent="0.25">
      <c r="A59"/>
      <c r="B59" s="42" t="s">
        <v>74</v>
      </c>
      <c r="C59" s="42" t="s">
        <v>230</v>
      </c>
      <c r="E59" s="146" t="s">
        <v>231</v>
      </c>
      <c r="F59" s="149">
        <f>SUM(F57:F58)</f>
        <v>528.79999999999995</v>
      </c>
      <c r="G59" s="146" t="s">
        <v>232</v>
      </c>
      <c r="H59" s="149">
        <f>SUM(H57:H58)</f>
        <v>381.2</v>
      </c>
    </row>
    <row r="60" spans="1:8" x14ac:dyDescent="0.25">
      <c r="A60" s="164" t="s">
        <v>233</v>
      </c>
      <c r="B60" s="188">
        <f>MRU_JP_AB_TAX + MRU_JP_FED_TAX</f>
        <v>23414.019999999997</v>
      </c>
      <c r="C60" s="188">
        <f>MRU_NP_AB_TAX + MRU_NP_FED_TAX</f>
        <v>4244.079999999999</v>
      </c>
    </row>
    <row r="61" spans="1:8" x14ac:dyDescent="0.25">
      <c r="A61" s="164" t="s">
        <v>234</v>
      </c>
      <c r="B61" s="189">
        <v>0</v>
      </c>
      <c r="C61" s="188">
        <f>UOFC_AB_TAX + UOFC_FED_TAX</f>
        <v>0</v>
      </c>
    </row>
    <row r="62" spans="1:8" x14ac:dyDescent="0.25">
      <c r="A62" s="164" t="s">
        <v>235</v>
      </c>
      <c r="B62" s="190">
        <v>0</v>
      </c>
      <c r="C62" s="191">
        <f>HOSHU_AB_TAX + HOSHU_FED_TAX</f>
        <v>1663.76</v>
      </c>
      <c r="E62" s="272" t="s">
        <v>236</v>
      </c>
      <c r="F62" s="272"/>
      <c r="G62" s="272"/>
      <c r="H62" s="272"/>
    </row>
    <row r="63" spans="1:8" x14ac:dyDescent="0.25">
      <c r="A63" s="168" t="s">
        <v>237</v>
      </c>
      <c r="B63" s="169">
        <f>SUM(B60:B62)</f>
        <v>23414.019999999997</v>
      </c>
      <c r="C63" s="169">
        <f>SUM(C60:C62)</f>
        <v>5907.8399999999992</v>
      </c>
    </row>
    <row r="64" spans="1:8" x14ac:dyDescent="0.25">
      <c r="A64" t="s">
        <v>238</v>
      </c>
      <c r="B64" s="42">
        <v>0</v>
      </c>
      <c r="C64" s="42">
        <v>0</v>
      </c>
      <c r="E64" s="146" t="s">
        <v>239</v>
      </c>
      <c r="F64" s="146">
        <v>0</v>
      </c>
    </row>
    <row r="65" spans="1:8" ht="15.75" thickBot="1" x14ac:dyDescent="0.3">
      <c r="A65" t="s">
        <v>240</v>
      </c>
      <c r="B65" s="154">
        <v>0</v>
      </c>
      <c r="C65" s="154">
        <v>0</v>
      </c>
      <c r="E65" s="146" t="s">
        <v>241</v>
      </c>
      <c r="F65" s="157">
        <v>99</v>
      </c>
    </row>
    <row r="66" spans="1:8" ht="15.75" thickTop="1" x14ac:dyDescent="0.25">
      <c r="A66" s="168" t="s">
        <v>242</v>
      </c>
      <c r="B66" s="169">
        <f>SUM(B63:B65)</f>
        <v>23414.019999999997</v>
      </c>
      <c r="C66" s="169">
        <f>SUM(C63:C65)</f>
        <v>5907.8399999999992</v>
      </c>
      <c r="E66" s="146" t="s">
        <v>151</v>
      </c>
      <c r="F66" s="149">
        <f>F64*F65</f>
        <v>0</v>
      </c>
    </row>
    <row r="67" spans="1:8" x14ac:dyDescent="0.25">
      <c r="A67" s="168"/>
      <c r="B67" s="42"/>
      <c r="C67" s="42"/>
    </row>
    <row r="68" spans="1:8" x14ac:dyDescent="0.25">
      <c r="A68" s="168"/>
      <c r="B68" s="42"/>
      <c r="C68" s="42"/>
    </row>
    <row r="69" spans="1:8" x14ac:dyDescent="0.25">
      <c r="A69" s="273" t="s">
        <v>243</v>
      </c>
      <c r="B69" s="273"/>
      <c r="C69" s="273"/>
      <c r="E69" s="272" t="s">
        <v>244</v>
      </c>
      <c r="F69" s="272"/>
      <c r="G69" s="272"/>
      <c r="H69" s="272"/>
    </row>
    <row r="70" spans="1:8" x14ac:dyDescent="0.25">
      <c r="B70" s="146"/>
      <c r="C70" s="146"/>
    </row>
    <row r="71" spans="1:8" x14ac:dyDescent="0.25">
      <c r="A71" t="s">
        <v>245</v>
      </c>
      <c r="B71" s="165">
        <f>FED_BASIC_PERSONAL_AMT</f>
        <v>11635</v>
      </c>
      <c r="C71" s="165">
        <f>FED_BASIC_PERSONAL_AMT</f>
        <v>11635</v>
      </c>
      <c r="E71" s="146" t="s">
        <v>246</v>
      </c>
      <c r="F71" s="149">
        <f>JP_TAXABLE_INCOME</f>
        <v>103643.23599999995</v>
      </c>
    </row>
    <row r="72" spans="1:8" x14ac:dyDescent="0.25">
      <c r="A72" s="151" t="s">
        <v>247</v>
      </c>
      <c r="B72" s="165">
        <f>B7</f>
        <v>2564.1000000000004</v>
      </c>
      <c r="C72" s="165">
        <f>C7</f>
        <v>1597.1199999999994</v>
      </c>
      <c r="E72" s="146" t="s">
        <v>248</v>
      </c>
      <c r="F72" s="157">
        <f>NP_TAXABLE_INCOME</f>
        <v>36922.698499999991</v>
      </c>
    </row>
    <row r="73" spans="1:8" x14ac:dyDescent="0.25">
      <c r="A73" s="70" t="s">
        <v>249</v>
      </c>
      <c r="B73" s="42">
        <v>0</v>
      </c>
      <c r="C73" s="169">
        <f>C52/2</f>
        <v>35.491500000000002</v>
      </c>
      <c r="E73" s="146" t="s">
        <v>250</v>
      </c>
      <c r="F73" s="149">
        <f>SUM(F71:F72)</f>
        <v>140565.93449999994</v>
      </c>
    </row>
    <row r="74" spans="1:8" x14ac:dyDescent="0.25">
      <c r="A74" s="151" t="s">
        <v>251</v>
      </c>
      <c r="B74" s="165">
        <f>B18</f>
        <v>836.19</v>
      </c>
      <c r="C74" s="165">
        <f>C18</f>
        <v>597.13999999999987</v>
      </c>
    </row>
    <row r="75" spans="1:8" x14ac:dyDescent="0.25">
      <c r="A75" t="s">
        <v>252</v>
      </c>
      <c r="B75" s="165">
        <f>CANADA_EMP_CREDIT</f>
        <v>1178</v>
      </c>
      <c r="C75" s="165">
        <f>CANADA_EMP_CREDIT</f>
        <v>1178</v>
      </c>
      <c r="E75" s="146" t="s">
        <v>253</v>
      </c>
      <c r="F75" s="149">
        <v>5400</v>
      </c>
    </row>
    <row r="76" spans="1:8" x14ac:dyDescent="0.25">
      <c r="A76" t="s">
        <v>254</v>
      </c>
      <c r="B76" s="171">
        <f>BUS_PASS_TOTAL</f>
        <v>0</v>
      </c>
      <c r="C76" s="42">
        <v>0</v>
      </c>
      <c r="E76" s="192" t="s">
        <v>255</v>
      </c>
      <c r="F76" s="157">
        <f>F75*2</f>
        <v>10800</v>
      </c>
    </row>
    <row r="77" spans="1:8" x14ac:dyDescent="0.25">
      <c r="A77" s="70" t="s">
        <v>203</v>
      </c>
      <c r="B77" s="166">
        <v>0</v>
      </c>
      <c r="C77" s="193">
        <f>FED_MEDICAL_EXP_CLAIM</f>
        <v>368.39904500000057</v>
      </c>
      <c r="E77" s="146" t="s">
        <v>256</v>
      </c>
      <c r="F77" s="149">
        <f>35000*13.5%</f>
        <v>4725</v>
      </c>
    </row>
    <row r="78" spans="1:8" ht="15.75" thickBot="1" x14ac:dyDescent="0.3">
      <c r="A78" s="155" t="s">
        <v>257</v>
      </c>
      <c r="B78" s="169">
        <f>SUM(B71:B77)</f>
        <v>16213.29</v>
      </c>
      <c r="C78" s="169">
        <f>SUM(C71:C77)</f>
        <v>15411.150544999999</v>
      </c>
      <c r="E78" s="146" t="s">
        <v>258</v>
      </c>
      <c r="F78" s="181">
        <f>5.7%*(F73-65000)</f>
        <v>4307.2582664999973</v>
      </c>
    </row>
    <row r="79" spans="1:8" ht="15.75" thickTop="1" x14ac:dyDescent="0.25">
      <c r="A79" t="s">
        <v>259</v>
      </c>
      <c r="B79" s="194">
        <f>B78*15%</f>
        <v>2431.9935</v>
      </c>
      <c r="C79" s="194">
        <f>C78*15%</f>
        <v>2311.6725817499996</v>
      </c>
      <c r="E79" s="146" t="s">
        <v>151</v>
      </c>
      <c r="F79" s="149">
        <f>F76-F77-F78</f>
        <v>1767.7417335000027</v>
      </c>
    </row>
    <row r="80" spans="1:8" ht="15.75" thickBot="1" x14ac:dyDescent="0.3">
      <c r="A80" t="s">
        <v>260</v>
      </c>
      <c r="B80" s="195"/>
      <c r="C80" s="196">
        <f>FED_DONATION_TOTAL</f>
        <v>528.79999999999995</v>
      </c>
      <c r="E80" s="146" t="s">
        <v>261</v>
      </c>
      <c r="F80" s="183">
        <f>F79/12</f>
        <v>147.31181112500022</v>
      </c>
      <c r="G80" s="146" t="s">
        <v>262</v>
      </c>
    </row>
    <row r="81" spans="1:3" ht="15.75" thickTop="1" x14ac:dyDescent="0.25">
      <c r="A81" s="155" t="s">
        <v>242</v>
      </c>
      <c r="B81" s="169">
        <f>SUM(B79:B80)</f>
        <v>2431.9935</v>
      </c>
      <c r="C81" s="169">
        <f>SUM(C79:C80)</f>
        <v>2840.4725817499993</v>
      </c>
    </row>
    <row r="82" spans="1:3" x14ac:dyDescent="0.25">
      <c r="A82" s="176"/>
      <c r="B82" s="42"/>
      <c r="C82" s="42"/>
    </row>
    <row r="83" spans="1:3" x14ac:dyDescent="0.25">
      <c r="A83"/>
      <c r="B83" s="42"/>
      <c r="C83" s="42"/>
    </row>
    <row r="84" spans="1:3" x14ac:dyDescent="0.25">
      <c r="A84" s="273" t="s">
        <v>263</v>
      </c>
      <c r="B84" s="273"/>
      <c r="C84" s="273"/>
    </row>
    <row r="86" spans="1:3" x14ac:dyDescent="0.25">
      <c r="A86" s="146" t="s">
        <v>264</v>
      </c>
      <c r="B86" s="197">
        <f>JP_TAXABLE_INCOME</f>
        <v>103643.23599999995</v>
      </c>
      <c r="C86" s="197">
        <f>NP_TAXABLE_INCOME</f>
        <v>36922.698499999991</v>
      </c>
    </row>
    <row r="87" spans="1:3" x14ac:dyDescent="0.25">
      <c r="A87" s="151" t="str">
        <f>CONCATENATE("$",FED_TAX_CUTOFF_1," @ ",FED_TAX_RATE_0*100,"%")</f>
        <v>$45916 @ 15%</v>
      </c>
      <c r="B87" s="42">
        <f>IF(B86&gt;FED_TAX_CUTOFF_2,0,IF(B86&gt;FED_TAX_CUTOFF_1,FED_TAX_ROLLOVER_1,FED_TAX_RATE_0*B86))</f>
        <v>0</v>
      </c>
      <c r="C87" s="42">
        <f>IF(C86&gt;FED_TAX_CUTOFF_2,0,IF(C86&gt;FED_TAX_CUTOFF_1,FED_TAX_ROLLOVER_1,FED_TAX_RATE_0*C86))</f>
        <v>5538.4047749999982</v>
      </c>
    </row>
    <row r="88" spans="1:3" x14ac:dyDescent="0.25">
      <c r="A88" s="151" t="str">
        <f>CONCATENATE("$",FED_TAX_CUTOFF_2," @ ",FED_TAX_RATE_1*100,"%")</f>
        <v>$91831 @ 20.5%</v>
      </c>
      <c r="B88" s="42">
        <f>IF(B86&lt;FED_TAX_CUTOFF_1,0,IF(B86&gt;FED_TAX_CUTOFF_2,FED_TAX_ROLLOVER_2,(B86-FED_TAX_CUTOFF_1)*FED_TAX_RATE_1))</f>
        <v>16300</v>
      </c>
      <c r="C88" s="42">
        <f>IF(C86&lt;FED_TAX_CUTOFF_1,0,IF(C86&gt;FED_TAX_CUTOFF_2,FED_TAX_ROLLOVER_2,(C86-FED_TAX_CUTOFF_1)*FED_TAX_RATE_1))</f>
        <v>0</v>
      </c>
    </row>
    <row r="89" spans="1:3" x14ac:dyDescent="0.25">
      <c r="A89" s="151" t="str">
        <f>CONCATENATE("over $",FED_TAX_CUTOFF_2," @ ",FED_TAX_RATE_2*100,"%")</f>
        <v>over $91831 @ 26%</v>
      </c>
      <c r="B89" s="166">
        <f>IF(B86&lt;FED_TAX_CUTOFF_2,0,IF(B86&gt;FED_TAX_CUTOFF_3,FED_TAX_ROLLOVER_3,(B86-FED_TAX_CUTOFF_2)*FED_TAX_RATE_2))</f>
        <v>3071.1813599999859</v>
      </c>
      <c r="C89" s="166">
        <f>IF(C86&lt;FED_TAX_CUTOFF_2,0,IF(C86&gt;FED_TAX_CUTOFF_3,FED_TAX_ROLLOVER_3,(C86-FED_TAX_CUTOFF_2)*FED_TAX_RATE_2))</f>
        <v>0</v>
      </c>
    </row>
    <row r="90" spans="1:3" x14ac:dyDescent="0.25">
      <c r="A90" s="155" t="s">
        <v>265</v>
      </c>
      <c r="B90" s="169">
        <f>SUM(B87:B89)</f>
        <v>19371.181359999988</v>
      </c>
      <c r="C90" s="169">
        <f>SUM(C87:C89)</f>
        <v>5538.4047749999982</v>
      </c>
    </row>
    <row r="91" spans="1:3" x14ac:dyDescent="0.25">
      <c r="A91" s="155"/>
      <c r="B91" s="42"/>
      <c r="C91" s="42"/>
    </row>
    <row r="92" spans="1:3" x14ac:dyDescent="0.25">
      <c r="A92" s="155"/>
      <c r="B92" s="42"/>
      <c r="C92" s="42"/>
    </row>
    <row r="93" spans="1:3" x14ac:dyDescent="0.25">
      <c r="A93" s="273" t="s">
        <v>266</v>
      </c>
      <c r="B93" s="273"/>
      <c r="C93" s="273"/>
    </row>
    <row r="95" spans="1:3" x14ac:dyDescent="0.25">
      <c r="A95" s="151" t="s">
        <v>267</v>
      </c>
      <c r="B95" s="169">
        <f>B90</f>
        <v>19371.181359999988</v>
      </c>
      <c r="C95" s="169">
        <f>C90</f>
        <v>5538.4047749999982</v>
      </c>
    </row>
    <row r="96" spans="1:3" x14ac:dyDescent="0.25">
      <c r="A96" s="151" t="s">
        <v>268</v>
      </c>
      <c r="B96" s="194">
        <f>B81</f>
        <v>2431.9935</v>
      </c>
      <c r="C96" s="194">
        <f>C81</f>
        <v>2840.4725817499993</v>
      </c>
    </row>
    <row r="97" spans="1:3" x14ac:dyDescent="0.25">
      <c r="A97" s="168" t="s">
        <v>269</v>
      </c>
      <c r="B97" s="169">
        <f>B95-B96</f>
        <v>16939.187859999987</v>
      </c>
      <c r="C97" s="169">
        <f>C95-C96</f>
        <v>2697.9321932499988</v>
      </c>
    </row>
    <row r="98" spans="1:3" x14ac:dyDescent="0.25">
      <c r="A98" s="151"/>
      <c r="B98" s="42"/>
      <c r="C98" s="42"/>
    </row>
    <row r="99" spans="1:3" x14ac:dyDescent="0.25">
      <c r="A99" s="151"/>
      <c r="B99" s="42"/>
      <c r="C99" s="42"/>
    </row>
    <row r="100" spans="1:3" x14ac:dyDescent="0.25">
      <c r="A100"/>
      <c r="B100" s="42"/>
      <c r="C100" s="42"/>
    </row>
    <row r="101" spans="1:3" x14ac:dyDescent="0.25">
      <c r="A101" s="270" t="s">
        <v>270</v>
      </c>
      <c r="B101" s="270"/>
      <c r="C101" s="270"/>
    </row>
    <row r="102" spans="1:3" x14ac:dyDescent="0.25">
      <c r="B102" s="146"/>
      <c r="C102" s="146"/>
    </row>
    <row r="103" spans="1:3" x14ac:dyDescent="0.25">
      <c r="A103" t="s">
        <v>245</v>
      </c>
      <c r="B103" s="165">
        <f>AB_BASIC_PERSONAL_AMT</f>
        <v>18690</v>
      </c>
      <c r="C103" s="165">
        <f>AB_BASIC_PERSONAL_AMT</f>
        <v>18690</v>
      </c>
    </row>
    <row r="104" spans="1:3" x14ac:dyDescent="0.25">
      <c r="A104" s="151" t="s">
        <v>247</v>
      </c>
      <c r="B104" s="165">
        <f>B7</f>
        <v>2564.1000000000004</v>
      </c>
      <c r="C104" s="165">
        <f>C7</f>
        <v>1597.1199999999994</v>
      </c>
    </row>
    <row r="105" spans="1:3" x14ac:dyDescent="0.25">
      <c r="A105" s="70" t="s">
        <v>249</v>
      </c>
      <c r="B105" s="42"/>
      <c r="C105" s="169">
        <f>C9/2</f>
        <v>35.491500000000002</v>
      </c>
    </row>
    <row r="106" spans="1:3" x14ac:dyDescent="0.25">
      <c r="A106" s="151" t="s">
        <v>251</v>
      </c>
      <c r="B106" s="165">
        <f>B18</f>
        <v>836.19</v>
      </c>
      <c r="C106" s="165">
        <f>C18</f>
        <v>597.13999999999987</v>
      </c>
    </row>
    <row r="107" spans="1:3" x14ac:dyDescent="0.25">
      <c r="A107" s="70" t="s">
        <v>203</v>
      </c>
      <c r="B107" s="166">
        <v>0</v>
      </c>
      <c r="C107" s="193">
        <f>AB_MEDICAL_EXPENSE_CLAIM</f>
        <v>368.39904500000057</v>
      </c>
    </row>
    <row r="108" spans="1:3" x14ac:dyDescent="0.25">
      <c r="A108" s="155" t="s">
        <v>257</v>
      </c>
      <c r="B108" s="169">
        <f>SUM(B103:B107)</f>
        <v>22090.289999999997</v>
      </c>
      <c r="C108" s="169">
        <f>SUM(C103:C107)</f>
        <v>21288.150545</v>
      </c>
    </row>
    <row r="109" spans="1:3" x14ac:dyDescent="0.25">
      <c r="A109" s="151" t="s">
        <v>271</v>
      </c>
      <c r="B109" s="194">
        <f>B108*10%</f>
        <v>2209.029</v>
      </c>
      <c r="C109" s="194">
        <f>C108*10%</f>
        <v>2128.8150545000003</v>
      </c>
    </row>
    <row r="110" spans="1:3" ht="15.75" thickBot="1" x14ac:dyDescent="0.3">
      <c r="A110" t="s">
        <v>260</v>
      </c>
      <c r="C110" s="196">
        <f>AB_DONATION_TOTAL</f>
        <v>381.2</v>
      </c>
    </row>
    <row r="111" spans="1:3" ht="15.75" thickTop="1" x14ac:dyDescent="0.25">
      <c r="A111" s="155" t="s">
        <v>242</v>
      </c>
      <c r="B111" s="169">
        <f>SUM(B109:B110)</f>
        <v>2209.029</v>
      </c>
      <c r="C111" s="169">
        <f>SUM(C109:C110)</f>
        <v>2510.0150545000001</v>
      </c>
    </row>
    <row r="112" spans="1:3" x14ac:dyDescent="0.25">
      <c r="A112" s="176"/>
      <c r="B112" s="42"/>
      <c r="C112" s="42"/>
    </row>
    <row r="113" spans="1:3" x14ac:dyDescent="0.25">
      <c r="A113"/>
      <c r="B113" s="42"/>
      <c r="C113" s="42"/>
    </row>
    <row r="114" spans="1:3" x14ac:dyDescent="0.25">
      <c r="A114" s="270" t="s">
        <v>272</v>
      </c>
      <c r="B114" s="270"/>
      <c r="C114" s="270"/>
    </row>
    <row r="116" spans="1:3" ht="15.75" thickBot="1" x14ac:dyDescent="0.3">
      <c r="A116" s="198" t="s">
        <v>273</v>
      </c>
      <c r="B116" s="199">
        <f>JP_TAXABLE_INCOME*10%</f>
        <v>10364.323599999996</v>
      </c>
      <c r="C116" s="199">
        <f>NP_TAXABLE_INCOME*10%</f>
        <v>3692.2698499999992</v>
      </c>
    </row>
    <row r="117" spans="1:3" ht="15.75" thickTop="1" x14ac:dyDescent="0.25">
      <c r="A117" s="155" t="s">
        <v>265</v>
      </c>
      <c r="B117" s="169">
        <f>SUM(B116:B116)</f>
        <v>10364.323599999996</v>
      </c>
      <c r="C117" s="169">
        <f>SUM(C116:C116)</f>
        <v>3692.2698499999992</v>
      </c>
    </row>
    <row r="118" spans="1:3" x14ac:dyDescent="0.25">
      <c r="A118" s="155"/>
      <c r="B118" s="42"/>
      <c r="C118" s="42"/>
    </row>
    <row r="119" spans="1:3" x14ac:dyDescent="0.25">
      <c r="A119" s="155"/>
      <c r="B119" s="42"/>
      <c r="C119" s="42"/>
    </row>
    <row r="120" spans="1:3" x14ac:dyDescent="0.25">
      <c r="A120" s="270" t="s">
        <v>274</v>
      </c>
      <c r="B120" s="270"/>
      <c r="C120" s="270"/>
    </row>
    <row r="122" spans="1:3" x14ac:dyDescent="0.25">
      <c r="A122" s="151" t="s">
        <v>267</v>
      </c>
      <c r="B122" s="169">
        <f>B117</f>
        <v>10364.323599999996</v>
      </c>
      <c r="C122" s="169">
        <f>C117</f>
        <v>3692.2698499999992</v>
      </c>
    </row>
    <row r="123" spans="1:3" x14ac:dyDescent="0.25">
      <c r="A123" s="151" t="s">
        <v>268</v>
      </c>
      <c r="B123" s="194">
        <f>B111</f>
        <v>2209.029</v>
      </c>
      <c r="C123" s="194">
        <f>C111</f>
        <v>2510.0150545000001</v>
      </c>
    </row>
    <row r="124" spans="1:3" x14ac:dyDescent="0.25">
      <c r="A124" s="168" t="s">
        <v>275</v>
      </c>
      <c r="B124" s="169">
        <f>B122-B123</f>
        <v>8155.2945999999956</v>
      </c>
      <c r="C124" s="169">
        <f>C122-C123</f>
        <v>1182.2547954999991</v>
      </c>
    </row>
  </sheetData>
  <mergeCells count="21">
    <mergeCell ref="E51:H51"/>
    <mergeCell ref="A1:C1"/>
    <mergeCell ref="F1:H1"/>
    <mergeCell ref="A12:C12"/>
    <mergeCell ref="A21:C21"/>
    <mergeCell ref="F29:H29"/>
    <mergeCell ref="F30:H30"/>
    <mergeCell ref="F31:H31"/>
    <mergeCell ref="E33:H33"/>
    <mergeCell ref="A35:C35"/>
    <mergeCell ref="E42:H42"/>
    <mergeCell ref="A48:C48"/>
    <mergeCell ref="A101:C101"/>
    <mergeCell ref="A114:C114"/>
    <mergeCell ref="A120:C120"/>
    <mergeCell ref="A58:C58"/>
    <mergeCell ref="E62:H62"/>
    <mergeCell ref="A69:C69"/>
    <mergeCell ref="E69:H69"/>
    <mergeCell ref="A84:C84"/>
    <mergeCell ref="A93:C93"/>
  </mergeCells>
  <conditionalFormatting sqref="B55:C55">
    <cfRule type="cellIs" dxfId="4" priority="3" operator="lessThan">
      <formula>0</formula>
    </cfRule>
    <cfRule type="cellIs" dxfId="3" priority="4" operator="greaterThan">
      <formula>0</formula>
    </cfRule>
  </conditionalFormatting>
  <conditionalFormatting sqref="G5">
    <cfRule type="cellIs" dxfId="2" priority="1" operator="greaterThan">
      <formula>0</formula>
    </cfRule>
    <cfRule type="cellIs" dxfId="1" priority="2" operator="lessThan">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4"/>
  <sheetViews>
    <sheetView workbookViewId="0">
      <selection activeCell="K13" sqref="K13"/>
    </sheetView>
  </sheetViews>
  <sheetFormatPr defaultRowHeight="15" x14ac:dyDescent="0.25"/>
  <cols>
    <col min="2" max="2" width="20.5703125" bestFit="1" customWidth="1"/>
    <col min="3" max="3" width="12" bestFit="1" customWidth="1"/>
    <col min="6" max="6" width="11.5703125" bestFit="1" customWidth="1"/>
    <col min="7" max="7" width="10.28515625" customWidth="1"/>
  </cols>
  <sheetData>
    <row r="1" spans="2:14" ht="15.75" thickBot="1" x14ac:dyDescent="0.3"/>
    <row r="2" spans="2:14" ht="19.5" thickBot="1" x14ac:dyDescent="0.35">
      <c r="B2" s="236" t="s">
        <v>468</v>
      </c>
      <c r="C2" s="238"/>
      <c r="F2" s="236" t="s">
        <v>470</v>
      </c>
      <c r="G2" s="237"/>
      <c r="H2" s="237"/>
      <c r="I2" s="237"/>
      <c r="J2" s="238"/>
    </row>
    <row r="3" spans="2:14" x14ac:dyDescent="0.25">
      <c r="B3" t="s">
        <v>60</v>
      </c>
      <c r="C3">
        <v>2564.1</v>
      </c>
      <c r="F3" t="s">
        <v>78</v>
      </c>
      <c r="G3" t="s">
        <v>79</v>
      </c>
      <c r="H3" t="s">
        <v>81</v>
      </c>
      <c r="I3" t="s">
        <v>80</v>
      </c>
      <c r="J3" t="s">
        <v>82</v>
      </c>
    </row>
    <row r="4" spans="2:14" x14ac:dyDescent="0.25">
      <c r="B4" t="s">
        <v>62</v>
      </c>
      <c r="C4" s="4">
        <v>4.9500000000000002E-2</v>
      </c>
      <c r="F4">
        <v>0</v>
      </c>
      <c r="G4">
        <v>0</v>
      </c>
      <c r="H4">
        <v>0</v>
      </c>
      <c r="I4">
        <v>0</v>
      </c>
      <c r="J4">
        <v>0</v>
      </c>
      <c r="N4" s="6"/>
    </row>
    <row r="5" spans="2:14" x14ac:dyDescent="0.25">
      <c r="B5" t="s">
        <v>61</v>
      </c>
      <c r="C5">
        <v>836.19</v>
      </c>
      <c r="F5">
        <v>1</v>
      </c>
      <c r="G5">
        <v>11635</v>
      </c>
      <c r="H5">
        <v>1745.25</v>
      </c>
      <c r="I5">
        <v>18690</v>
      </c>
      <c r="J5">
        <v>1869</v>
      </c>
      <c r="N5" s="4"/>
    </row>
    <row r="6" spans="2:14" x14ac:dyDescent="0.25">
      <c r="B6" t="s">
        <v>68</v>
      </c>
      <c r="C6" s="4">
        <v>1.6299999999999999E-2</v>
      </c>
      <c r="N6" s="6"/>
    </row>
    <row r="7" spans="2:14" x14ac:dyDescent="0.25">
      <c r="B7" t="s">
        <v>94</v>
      </c>
      <c r="C7">
        <v>1178</v>
      </c>
      <c r="N7" s="6"/>
    </row>
    <row r="8" spans="2:14" x14ac:dyDescent="0.25">
      <c r="B8" t="s">
        <v>133</v>
      </c>
      <c r="C8" s="53">
        <v>55300</v>
      </c>
    </row>
    <row r="9" spans="2:14" x14ac:dyDescent="0.25">
      <c r="B9" t="s">
        <v>134</v>
      </c>
      <c r="C9">
        <v>51300</v>
      </c>
    </row>
    <row r="10" spans="2:14" x14ac:dyDescent="0.25">
      <c r="B10" t="s">
        <v>276</v>
      </c>
      <c r="C10">
        <v>11635</v>
      </c>
    </row>
    <row r="11" spans="2:14" x14ac:dyDescent="0.25">
      <c r="B11" t="s">
        <v>277</v>
      </c>
      <c r="C11">
        <v>18690</v>
      </c>
    </row>
    <row r="12" spans="2:14" ht="15.75" thickBot="1" x14ac:dyDescent="0.3"/>
    <row r="13" spans="2:14" ht="19.5" thickBot="1" x14ac:dyDescent="0.35">
      <c r="B13" s="236" t="s">
        <v>469</v>
      </c>
      <c r="C13" s="237"/>
      <c r="D13" s="237"/>
      <c r="E13" s="237"/>
      <c r="F13" s="238"/>
    </row>
    <row r="14" spans="2:14" ht="15.75" thickBot="1" x14ac:dyDescent="0.3">
      <c r="B14" s="33"/>
      <c r="C14" s="35" t="s">
        <v>74</v>
      </c>
      <c r="D14" s="200" t="s">
        <v>75</v>
      </c>
      <c r="E14" s="46" t="s">
        <v>76</v>
      </c>
      <c r="F14" s="47" t="s">
        <v>77</v>
      </c>
    </row>
    <row r="15" spans="2:14" x14ac:dyDescent="0.25">
      <c r="B15" s="34" t="s">
        <v>143</v>
      </c>
      <c r="C15" s="36">
        <v>1</v>
      </c>
      <c r="D15" s="37">
        <v>1</v>
      </c>
      <c r="E15" s="37">
        <v>0</v>
      </c>
      <c r="F15" s="38">
        <v>0</v>
      </c>
    </row>
    <row r="16" spans="2:14" ht="15.75" thickBot="1" x14ac:dyDescent="0.3">
      <c r="B16" s="10" t="s">
        <v>144</v>
      </c>
      <c r="C16" s="39">
        <v>1</v>
      </c>
      <c r="D16" s="40">
        <v>1</v>
      </c>
      <c r="E16" s="40">
        <v>0</v>
      </c>
      <c r="F16" s="41">
        <v>0</v>
      </c>
    </row>
    <row r="18" spans="2:9" ht="15.75" thickBot="1" x14ac:dyDescent="0.3"/>
    <row r="19" spans="2:9" ht="21.75" thickBot="1" x14ac:dyDescent="0.4">
      <c r="B19" s="280" t="s">
        <v>83</v>
      </c>
      <c r="C19" s="281"/>
      <c r="D19" s="281"/>
      <c r="E19" s="282"/>
      <c r="G19" s="283" t="s">
        <v>87</v>
      </c>
      <c r="H19" s="284"/>
      <c r="I19" s="285"/>
    </row>
    <row r="20" spans="2:9" x14ac:dyDescent="0.25">
      <c r="B20" s="201" t="s">
        <v>283</v>
      </c>
      <c r="C20" s="202" t="s">
        <v>84</v>
      </c>
      <c r="D20" s="201" t="s">
        <v>85</v>
      </c>
      <c r="E20" s="203" t="s">
        <v>152</v>
      </c>
      <c r="G20" t="s">
        <v>86</v>
      </c>
      <c r="H20" t="s">
        <v>84</v>
      </c>
      <c r="I20" t="s">
        <v>85</v>
      </c>
    </row>
    <row r="21" spans="2:9" x14ac:dyDescent="0.25">
      <c r="B21" s="204">
        <v>0</v>
      </c>
      <c r="C21" s="205">
        <v>0.15</v>
      </c>
      <c r="D21" s="204">
        <v>0</v>
      </c>
      <c r="E21" s="146"/>
      <c r="G21">
        <v>0</v>
      </c>
      <c r="H21" s="6">
        <v>0.1</v>
      </c>
      <c r="I21">
        <v>0</v>
      </c>
    </row>
    <row r="22" spans="2:9" x14ac:dyDescent="0.25">
      <c r="B22" s="206">
        <v>45916</v>
      </c>
      <c r="C22" s="207">
        <v>0.20499999999999999</v>
      </c>
      <c r="D22" s="206">
        <v>2525</v>
      </c>
      <c r="E22" s="146">
        <f>ROUND((FED_TAX_CUTOFF_1-B21)*FED_TAX_RATE_0,0)</f>
        <v>6887</v>
      </c>
      <c r="G22">
        <v>126625</v>
      </c>
      <c r="H22" s="6">
        <v>0.12</v>
      </c>
      <c r="I22">
        <v>2533</v>
      </c>
    </row>
    <row r="23" spans="2:9" x14ac:dyDescent="0.25">
      <c r="B23" s="204">
        <v>91831</v>
      </c>
      <c r="C23" s="205">
        <v>0.26</v>
      </c>
      <c r="D23" s="204">
        <v>7576</v>
      </c>
      <c r="E23" s="146">
        <f>ROUND(((FED_TAX_CUTOFF_2-FED_TAX_CUTOFF_1)*FED_TAX_RATE_1)+((FED_TAX_CUTOFF_1-B21)*FED_TAX_RATE_0),0)</f>
        <v>16300</v>
      </c>
      <c r="G23">
        <v>151950</v>
      </c>
      <c r="H23" s="6">
        <v>0.13</v>
      </c>
      <c r="I23">
        <v>4052</v>
      </c>
    </row>
    <row r="24" spans="2:9" x14ac:dyDescent="0.25">
      <c r="B24" s="208">
        <v>142353</v>
      </c>
      <c r="C24" s="209">
        <v>0.28999999999999998</v>
      </c>
      <c r="D24" s="208">
        <v>11847</v>
      </c>
      <c r="E24" s="146">
        <f>ROUND(((FED_TAX_CUTOFF_3-FED_TAX_CUTOFF_2)*FED_TAX_RATE_2)+((FED_TAX_CUTOFF_2-FED_TAX_CUTOFF_1)*FED_TAX_RATE_1)+((FED_TAX_CUTOFF_1-B21)*FED_TAX_RATE_0),0)</f>
        <v>29436</v>
      </c>
    </row>
  </sheetData>
  <mergeCells count="5">
    <mergeCell ref="B13:F13"/>
    <mergeCell ref="B2:C2"/>
    <mergeCell ref="F2:J2"/>
    <mergeCell ref="B19:E19"/>
    <mergeCell ref="G19:I19"/>
  </mergeCells>
  <pageMargins left="0.7" right="0.7" top="0.75" bottom="0.75" header="0.3" footer="0.3"/>
  <drawing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115</vt:i4>
      </vt:variant>
    </vt:vector>
  </HeadingPairs>
  <TitlesOfParts>
    <vt:vector size="129" baseType="lpstr">
      <vt:lpstr>Overview</vt:lpstr>
      <vt:lpstr>Expenses</vt:lpstr>
      <vt:lpstr>T4 Summary</vt:lpstr>
      <vt:lpstr>MRU-J-Pay-Stub</vt:lpstr>
      <vt:lpstr>MRU-N-Pay-Stub</vt:lpstr>
      <vt:lpstr>UofC-Pay-Stub</vt:lpstr>
      <vt:lpstr>Hoshuko-Pay-Stub</vt:lpstr>
      <vt:lpstr>Tax Estimates</vt:lpstr>
      <vt:lpstr>Gov.Tax.Calcs</vt:lpstr>
      <vt:lpstr>MRU.Staff.Constants</vt:lpstr>
      <vt:lpstr>MRU.Faculty.Constants</vt:lpstr>
      <vt:lpstr>UofC.Faculty.Constants</vt:lpstr>
      <vt:lpstr>Hoshuko.Constants</vt:lpstr>
      <vt:lpstr>Calculation Notes</vt:lpstr>
      <vt:lpstr>AB_BASIC_PERSONAL_AMT</vt:lpstr>
      <vt:lpstr>AB_DONATION_TOTAL</vt:lpstr>
      <vt:lpstr>AB_MEDICAL_EXPENSE_CLAIM</vt:lpstr>
      <vt:lpstr>AB_RATE_TABLE</vt:lpstr>
      <vt:lpstr>annual_expenses</vt:lpstr>
      <vt:lpstr>BUS_PASS_TOTAL</vt:lpstr>
      <vt:lpstr>CANADA_EMP_CREDIT</vt:lpstr>
      <vt:lpstr>CASB_ANNUAL_PAY</vt:lpstr>
      <vt:lpstr>CHILD_CARE</vt:lpstr>
      <vt:lpstr>CLAIM_CODE_TABLE</vt:lpstr>
      <vt:lpstr>CLASSES_PER_SEM_UOFC_FALL</vt:lpstr>
      <vt:lpstr>CLASSES_PER_SEM_UOFC_SPR</vt:lpstr>
      <vt:lpstr>CLASSES_PER_SEM_UOFC_SUM</vt:lpstr>
      <vt:lpstr>CLASSES_PER_SEM_UOFC_WINT</vt:lpstr>
      <vt:lpstr>CPP_RATE</vt:lpstr>
      <vt:lpstr>EI_RATE</vt:lpstr>
      <vt:lpstr>EST_ANNUAL_EXP</vt:lpstr>
      <vt:lpstr>EST_CHILD_CARE_BEN</vt:lpstr>
      <vt:lpstr>EST_TAX_OWING</vt:lpstr>
      <vt:lpstr>FED_BASIC_PERSONAL_AMT</vt:lpstr>
      <vt:lpstr>FED_DONATION_TOTAL</vt:lpstr>
      <vt:lpstr>FED_MEDICAL_EXP_CLAIM</vt:lpstr>
      <vt:lpstr>FED_RATE_TABLE</vt:lpstr>
      <vt:lpstr>FED_TAX_CUTOFF_1</vt:lpstr>
      <vt:lpstr>FED_TAX_CUTOFF_2</vt:lpstr>
      <vt:lpstr>FED_TAX_CUTOFF_3</vt:lpstr>
      <vt:lpstr>FED_TAX_RATE_0</vt:lpstr>
      <vt:lpstr>FED_TAX_RATE_1</vt:lpstr>
      <vt:lpstr>FED_TAX_RATE_2</vt:lpstr>
      <vt:lpstr>FED_TAX_RATE_3</vt:lpstr>
      <vt:lpstr>FED_TAX_ROLLOVER_1</vt:lpstr>
      <vt:lpstr>FED_TAX_ROLLOVER_2</vt:lpstr>
      <vt:lpstr>FED_TAX_ROLLOVER_3</vt:lpstr>
      <vt:lpstr>FOURLIFE_ANNUAL_PAY</vt:lpstr>
      <vt:lpstr>HOSHU_AB_TAX</vt:lpstr>
      <vt:lpstr>HOSHU_ACT_TAKEHOME</vt:lpstr>
      <vt:lpstr>HOSHU_CPP</vt:lpstr>
      <vt:lpstr>HOSHU_DUES</vt:lpstr>
      <vt:lpstr>HOSHU_EARNINGS</vt:lpstr>
      <vt:lpstr>HOSHU_EI</vt:lpstr>
      <vt:lpstr>HOSHU_EMPL_INCOME</vt:lpstr>
      <vt:lpstr>HOSHU_EST_TAKEHOME</vt:lpstr>
      <vt:lpstr>HOSHU_FED_TAX</vt:lpstr>
      <vt:lpstr>HOSHU_RPP</vt:lpstr>
      <vt:lpstr>HOSHU_TAXABLE_BEN</vt:lpstr>
      <vt:lpstr>HOSHUKO_R</vt:lpstr>
      <vt:lpstr>inflation</vt:lpstr>
      <vt:lpstr>JP_NET_AB_TAX</vt:lpstr>
      <vt:lpstr>JP_NET_FED_TAX</vt:lpstr>
      <vt:lpstr>JP_TAXABLE_INCOME</vt:lpstr>
      <vt:lpstr>LAB_HRS_PER_WK_FALL_J</vt:lpstr>
      <vt:lpstr>LAB_HRS_PER_WK_FALL_N</vt:lpstr>
      <vt:lpstr>LAB_HRS_PER_WK_SPR_J</vt:lpstr>
      <vt:lpstr>LAB_HRS_PER_WK_SPR_N</vt:lpstr>
      <vt:lpstr>LAB_HRS_PER_WK_WINT_J</vt:lpstr>
      <vt:lpstr>LAB_HRS_PER_WK_WINT_N</vt:lpstr>
      <vt:lpstr>LEC_HRS_PER_WK_FALL_J</vt:lpstr>
      <vt:lpstr>LEC_HRS_PER_WK_FALL_N</vt:lpstr>
      <vt:lpstr>LEC_HRS_PER_WK_SPR_J</vt:lpstr>
      <vt:lpstr>LEC_HRS_PER_WK_SPR_N</vt:lpstr>
      <vt:lpstr>LEC_HRS_PER_WK_WINT_J</vt:lpstr>
      <vt:lpstr>LEC_HRS_PER_WK_WINT_N</vt:lpstr>
      <vt:lpstr>MAX_ANNUAL_CPP</vt:lpstr>
      <vt:lpstr>MAX_ANNUAL_EI</vt:lpstr>
      <vt:lpstr>MAX_INSURABLE_EARNINGS</vt:lpstr>
      <vt:lpstr>MAX_PENSIONABLE_EARNINGS</vt:lpstr>
      <vt:lpstr>MED_EXPENSES</vt:lpstr>
      <vt:lpstr>MISC_ANNUAL_PAY</vt:lpstr>
      <vt:lpstr>MRU_J_ACT_TAKEHOME</vt:lpstr>
      <vt:lpstr>MRU_J_EST_TAKEHOME</vt:lpstr>
      <vt:lpstr>MRU_J_R</vt:lpstr>
      <vt:lpstr>MRU_JP_AB_TAX</vt:lpstr>
      <vt:lpstr>MRU_JP_CPP</vt:lpstr>
      <vt:lpstr>MRU_JP_EARNINGS</vt:lpstr>
      <vt:lpstr>MRU_JP_EI</vt:lpstr>
      <vt:lpstr>MRU_JP_EMPL_INCOME</vt:lpstr>
      <vt:lpstr>MRU_JP_FED_TAX</vt:lpstr>
      <vt:lpstr>MRU_JP_MRFA</vt:lpstr>
      <vt:lpstr>MRU_JP_MRSA</vt:lpstr>
      <vt:lpstr>MRU_JP_RPP</vt:lpstr>
      <vt:lpstr>MRU_JP_TAXABLE_BEN</vt:lpstr>
      <vt:lpstr>MRU_N_ACT_TAKEHOME</vt:lpstr>
      <vt:lpstr>MRU_N_EST_TAKEHOME</vt:lpstr>
      <vt:lpstr>MRU_N_R</vt:lpstr>
      <vt:lpstr>MRU_NP_AB_TAX</vt:lpstr>
      <vt:lpstr>MRU_NP_CPP</vt:lpstr>
      <vt:lpstr>MRU_NP_EARNINGS</vt:lpstr>
      <vt:lpstr>MRU_NP_EI</vt:lpstr>
      <vt:lpstr>MRU_NP_EMPL_INCOME</vt:lpstr>
      <vt:lpstr>MRU_NP_FED_TAX</vt:lpstr>
      <vt:lpstr>MRU_NP_MRFA</vt:lpstr>
      <vt:lpstr>MRU_NP_RPP</vt:lpstr>
      <vt:lpstr>MRU_NP_TAXABLE_BEN</vt:lpstr>
      <vt:lpstr>NP_NET_AB_TAX</vt:lpstr>
      <vt:lpstr>NP_NET_FED_TAX</vt:lpstr>
      <vt:lpstr>NP_TAXABLE_INCOME</vt:lpstr>
      <vt:lpstr>TUT_HRS_PER_WK_FALL_J</vt:lpstr>
      <vt:lpstr>TUT_HRS_PER_WK_FALL_N</vt:lpstr>
      <vt:lpstr>TUT_HRS_PER_WK_SPR_J</vt:lpstr>
      <vt:lpstr>TUT_HRS_PER_WK_SPR_N</vt:lpstr>
      <vt:lpstr>TUT_HRS_PER_WK_WINT_J</vt:lpstr>
      <vt:lpstr>TUT_HRS_PER_WK_WINT_N</vt:lpstr>
      <vt:lpstr>UOFC_AB_TAX</vt:lpstr>
      <vt:lpstr>UOFC_ACT_TAKEHOME</vt:lpstr>
      <vt:lpstr>UOFC_CAUT</vt:lpstr>
      <vt:lpstr>UOFC_CPP</vt:lpstr>
      <vt:lpstr>UOFC_EARNINGS</vt:lpstr>
      <vt:lpstr>UOFC_EI</vt:lpstr>
      <vt:lpstr>UOFC_EMPL_INCOME</vt:lpstr>
      <vt:lpstr>UOFC_EST_TAKEHOME</vt:lpstr>
      <vt:lpstr>UOFC_FED_TAX</vt:lpstr>
      <vt:lpstr>UOFC_N_R</vt:lpstr>
      <vt:lpstr>UOFC_RPP</vt:lpstr>
      <vt:lpstr>UOFC_TAXABLE_BEN</vt:lpstr>
      <vt:lpstr>UOFC_TUCFA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jpratt</dc:creator>
  <cp:lastModifiedBy>Jordan Pratt</cp:lastModifiedBy>
  <dcterms:created xsi:type="dcterms:W3CDTF">2017-05-22T12:04:56Z</dcterms:created>
  <dcterms:modified xsi:type="dcterms:W3CDTF">2017-05-24T22:50:37Z</dcterms:modified>
</cp:coreProperties>
</file>