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6b2cb582c89f4a/Documents/"/>
    </mc:Choice>
  </mc:AlternateContent>
  <xr:revisionPtr revIDLastSave="1587" documentId="8_{4A6A2F59-8A15-614F-A547-6D2A19FC3E0A}" xr6:coauthVersionLast="47" xr6:coauthVersionMax="47" xr10:uidLastSave="{014D03EE-A776-6846-AF74-F58CCC9B808F}"/>
  <bookViews>
    <workbookView xWindow="0" yWindow="0" windowWidth="33600" windowHeight="21000" activeTab="9" xr2:uid="{57F8C55B-EC27-9342-AE87-D33F5BF425D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definedNames>
    <definedName name="_xlchart.v1.0" hidden="1">Sheet9!$F$39</definedName>
    <definedName name="_xlchart.v1.1" hidden="1">Sheet9!$F$40:$F$116</definedName>
    <definedName name="_xlchart.v1.2" hidden="1">Sheet9!$G$39</definedName>
    <definedName name="_xlchart.v1.3" hidden="1">Sheet9!$G$40:$G$116</definedName>
    <definedName name="_xlchart.v1.4" hidden="1">Sheet9!$F$39</definedName>
    <definedName name="_xlchart.v1.5" hidden="1">Sheet9!$F$40:$F$116</definedName>
    <definedName name="_xlchart.v1.6" hidden="1">Sheet9!$G$39</definedName>
    <definedName name="_xlchart.v1.7" hidden="1">Sheet9!$G$40:$G$116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1" l="1"/>
  <c r="F26" i="11"/>
  <c r="B26" i="11"/>
  <c r="C26" i="11" s="1"/>
  <c r="D26" i="11" s="1"/>
  <c r="B13" i="11"/>
  <c r="B14" i="11" s="1"/>
  <c r="B15" i="10"/>
  <c r="B14" i="10"/>
  <c r="G7" i="10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6" i="10"/>
  <c r="F6" i="10"/>
  <c r="H5" i="10"/>
  <c r="F7" i="10"/>
  <c r="F8" i="10" s="1"/>
  <c r="F9" i="10" s="1"/>
  <c r="F10" i="10" s="1"/>
  <c r="F11" i="10" s="1"/>
  <c r="F12" i="10" s="1"/>
  <c r="F13" i="10" s="1"/>
  <c r="B40" i="9"/>
  <c r="B41" i="9" s="1"/>
  <c r="G32" i="9"/>
  <c r="G33" i="9"/>
  <c r="D23" i="9"/>
  <c r="H23" i="9" s="1"/>
  <c r="D24" i="9"/>
  <c r="H24" i="9" s="1"/>
  <c r="D25" i="9"/>
  <c r="H25" i="9" s="1"/>
  <c r="D26" i="9"/>
  <c r="H26" i="9" s="1"/>
  <c r="D27" i="9"/>
  <c r="H27" i="9" s="1"/>
  <c r="D28" i="9"/>
  <c r="H28" i="9" s="1"/>
  <c r="D29" i="9"/>
  <c r="H29" i="9" s="1"/>
  <c r="D30" i="9"/>
  <c r="H30" i="9" s="1"/>
  <c r="D31" i="9"/>
  <c r="H31" i="9" s="1"/>
  <c r="D32" i="9"/>
  <c r="H32" i="9" s="1"/>
  <c r="D33" i="9"/>
  <c r="H33" i="9" s="1"/>
  <c r="D22" i="9"/>
  <c r="H22" i="9" s="1"/>
  <c r="C23" i="9"/>
  <c r="G23" i="9" s="1"/>
  <c r="C24" i="9"/>
  <c r="G24" i="9" s="1"/>
  <c r="C25" i="9"/>
  <c r="G25" i="9" s="1"/>
  <c r="C26" i="9"/>
  <c r="G26" i="9" s="1"/>
  <c r="C27" i="9"/>
  <c r="G27" i="9" s="1"/>
  <c r="C28" i="9"/>
  <c r="G28" i="9" s="1"/>
  <c r="C29" i="9"/>
  <c r="G29" i="9" s="1"/>
  <c r="C30" i="9"/>
  <c r="G30" i="9" s="1"/>
  <c r="C31" i="9"/>
  <c r="G31" i="9" s="1"/>
  <c r="C32" i="9"/>
  <c r="C33" i="9"/>
  <c r="C22" i="9"/>
  <c r="G22" i="9" s="1"/>
  <c r="B23" i="9"/>
  <c r="F23" i="9" s="1"/>
  <c r="B24" i="9"/>
  <c r="F24" i="9" s="1"/>
  <c r="B25" i="9"/>
  <c r="F25" i="9" s="1"/>
  <c r="B26" i="9"/>
  <c r="F26" i="9" s="1"/>
  <c r="B27" i="9"/>
  <c r="F27" i="9" s="1"/>
  <c r="B28" i="9"/>
  <c r="F28" i="9" s="1"/>
  <c r="B29" i="9"/>
  <c r="F29" i="9" s="1"/>
  <c r="B30" i="9"/>
  <c r="F30" i="9" s="1"/>
  <c r="B31" i="9"/>
  <c r="F31" i="9" s="1"/>
  <c r="B32" i="9"/>
  <c r="F32" i="9" s="1"/>
  <c r="B33" i="9"/>
  <c r="F33" i="9" s="1"/>
  <c r="B22" i="9"/>
  <c r="F22" i="9" s="1"/>
  <c r="B15" i="8"/>
  <c r="B8" i="8"/>
  <c r="B10" i="8" s="1"/>
  <c r="B11" i="8" s="1"/>
  <c r="B19" i="7"/>
  <c r="B7" i="7"/>
  <c r="B4" i="7"/>
  <c r="B9" i="7" s="1"/>
  <c r="B14" i="7"/>
  <c r="B15" i="6"/>
  <c r="B19" i="6"/>
  <c r="B20" i="6" s="1"/>
  <c r="B12" i="6"/>
  <c r="B16" i="6" s="1"/>
  <c r="B14" i="5"/>
  <c r="B10" i="5"/>
  <c r="B14" i="4"/>
  <c r="B20" i="4"/>
  <c r="B21" i="4"/>
  <c r="B22" i="4" s="1"/>
  <c r="D17" i="3"/>
  <c r="D18" i="3" s="1"/>
  <c r="D19" i="3" s="1"/>
  <c r="D20" i="3" s="1"/>
  <c r="D21" i="3" s="1"/>
  <c r="C17" i="3"/>
  <c r="C18" i="3" s="1"/>
  <c r="B17" i="3"/>
  <c r="B18" i="3" s="1"/>
  <c r="E18" i="3" s="1"/>
  <c r="C10" i="3"/>
  <c r="B10" i="3"/>
  <c r="C6" i="3"/>
  <c r="C12" i="3" s="1"/>
  <c r="B6" i="3"/>
  <c r="B12" i="3" s="1"/>
  <c r="B18" i="2"/>
  <c r="B19" i="2" s="1"/>
  <c r="B17" i="2"/>
  <c r="B15" i="2"/>
  <c r="B14" i="2"/>
  <c r="B12" i="1"/>
  <c r="B21" i="1" s="1"/>
  <c r="B5" i="1"/>
  <c r="B9" i="1" s="1"/>
  <c r="C13" i="10"/>
  <c r="H7" i="10"/>
  <c r="H15" i="10"/>
  <c r="H23" i="10"/>
  <c r="H17" i="10"/>
  <c r="H18" i="10"/>
  <c r="H20" i="10"/>
  <c r="H13" i="10"/>
  <c r="H22" i="10"/>
  <c r="H8" i="10"/>
  <c r="H16" i="10"/>
  <c r="H24" i="10"/>
  <c r="H9" i="10"/>
  <c r="H10" i="10"/>
  <c r="H12" i="10"/>
  <c r="H14" i="10"/>
  <c r="H11" i="10"/>
  <c r="H19" i="10"/>
  <c r="H21" i="10"/>
  <c r="H6" i="10"/>
  <c r="D45" i="9"/>
  <c r="D43" i="9"/>
  <c r="D44" i="9"/>
  <c r="D41" i="9"/>
  <c r="D40" i="9"/>
  <c r="C22" i="1"/>
  <c r="C9" i="1"/>
  <c r="C18" i="2"/>
  <c r="C15" i="2"/>
  <c r="C14" i="2"/>
  <c r="C17" i="2"/>
  <c r="C5" i="1"/>
  <c r="C19" i="2"/>
  <c r="C21" i="1"/>
  <c r="E26" i="11" l="1"/>
  <c r="B27" i="11"/>
  <c r="C27" i="11" s="1"/>
  <c r="F14" i="10"/>
  <c r="G34" i="9"/>
  <c r="H34" i="9"/>
  <c r="B43" i="9"/>
  <c r="B44" i="9"/>
  <c r="F34" i="9"/>
  <c r="B21" i="8"/>
  <c r="B20" i="8"/>
  <c r="B16" i="7"/>
  <c r="B22" i="7" s="1"/>
  <c r="B28" i="7"/>
  <c r="B17" i="6"/>
  <c r="B22" i="6" s="1"/>
  <c r="F12" i="6" s="1"/>
  <c r="B16" i="5"/>
  <c r="F6" i="5" s="1"/>
  <c r="F18" i="3"/>
  <c r="C19" i="3"/>
  <c r="E17" i="3"/>
  <c r="F17" i="3"/>
  <c r="B18" i="4"/>
  <c r="B24" i="4" s="1"/>
  <c r="F4" i="4" s="1"/>
  <c r="B19" i="3"/>
  <c r="B20" i="3" s="1"/>
  <c r="D22" i="3"/>
  <c r="B22" i="1"/>
  <c r="B28" i="11" l="1"/>
  <c r="B29" i="11" s="1"/>
  <c r="D27" i="11"/>
  <c r="E27" i="11"/>
  <c r="F15" i="10"/>
  <c r="B45" i="9"/>
  <c r="B22" i="8"/>
  <c r="B24" i="8" s="1"/>
  <c r="B30" i="7"/>
  <c r="E5" i="7" s="1"/>
  <c r="F19" i="3"/>
  <c r="C20" i="3"/>
  <c r="E19" i="3"/>
  <c r="B21" i="3"/>
  <c r="E20" i="3"/>
  <c r="C28" i="11" l="1"/>
  <c r="F27" i="11"/>
  <c r="H27" i="11" s="1"/>
  <c r="D28" i="11"/>
  <c r="E28" i="11"/>
  <c r="B30" i="11"/>
  <c r="C30" i="11" s="1"/>
  <c r="C29" i="11"/>
  <c r="F16" i="10"/>
  <c r="G39" i="9"/>
  <c r="J39" i="9"/>
  <c r="F7" i="8"/>
  <c r="I7" i="8"/>
  <c r="C21" i="3"/>
  <c r="F20" i="3"/>
  <c r="B22" i="3"/>
  <c r="E22" i="3" s="1"/>
  <c r="E21" i="3"/>
  <c r="F28" i="11" l="1"/>
  <c r="H28" i="11" s="1"/>
  <c r="D29" i="11"/>
  <c r="E29" i="11"/>
  <c r="D30" i="11"/>
  <c r="E30" i="11"/>
  <c r="C31" i="11"/>
  <c r="F17" i="10"/>
  <c r="C22" i="3"/>
  <c r="F22" i="3" s="1"/>
  <c r="F21" i="3"/>
  <c r="E31" i="11" l="1"/>
  <c r="F30" i="11"/>
  <c r="H30" i="11" s="1"/>
  <c r="D31" i="11"/>
  <c r="F29" i="11"/>
  <c r="F18" i="10"/>
  <c r="F31" i="11" l="1"/>
  <c r="H29" i="11"/>
  <c r="F19" i="10"/>
  <c r="H31" i="11" l="1"/>
  <c r="H33" i="11"/>
  <c r="F20" i="10"/>
  <c r="F21" i="10" l="1"/>
  <c r="F22" i="10" l="1"/>
  <c r="F23" i="10" l="1"/>
  <c r="F24" i="10" l="1"/>
  <c r="B13" i="10"/>
</calcChain>
</file>

<file path=xl/sharedStrings.xml><?xml version="1.0" encoding="utf-8"?>
<sst xmlns="http://schemas.openxmlformats.org/spreadsheetml/2006/main" count="247" uniqueCount="197">
  <si>
    <t>Budget</t>
  </si>
  <si>
    <t>Income:</t>
  </si>
  <si>
    <t>Salary:</t>
  </si>
  <si>
    <t>Taxes(22%):</t>
  </si>
  <si>
    <t>Medical:</t>
  </si>
  <si>
    <t>Dental:</t>
  </si>
  <si>
    <t>Retirement:</t>
  </si>
  <si>
    <t>Net Income:</t>
  </si>
  <si>
    <t>Expenses:</t>
  </si>
  <si>
    <t>Rent:</t>
  </si>
  <si>
    <t>Food:</t>
  </si>
  <si>
    <t>Car/Transportation:</t>
  </si>
  <si>
    <t>Travel:</t>
  </si>
  <si>
    <t>Apt. Items</t>
  </si>
  <si>
    <t>Pet:</t>
  </si>
  <si>
    <t>Gifts:</t>
  </si>
  <si>
    <t>Savings:</t>
  </si>
  <si>
    <t>Loans:</t>
  </si>
  <si>
    <t>Total Expenses:</t>
  </si>
  <si>
    <t>Net Savings:</t>
  </si>
  <si>
    <t>NCAA T-Shirt Vendor Case</t>
  </si>
  <si>
    <t>Givens:</t>
  </si>
  <si>
    <t>Costs:</t>
  </si>
  <si>
    <t>Fixed:</t>
  </si>
  <si>
    <t>Variable:</t>
  </si>
  <si>
    <t>per shirt</t>
  </si>
  <si>
    <t>Number of Shirts ordered:</t>
  </si>
  <si>
    <t>Total Cost:</t>
  </si>
  <si>
    <t>Revenue:</t>
  </si>
  <si>
    <t>Full Price:</t>
  </si>
  <si>
    <t>Reduced Price:</t>
  </si>
  <si>
    <t>Number of Shirts ordered (FP):</t>
  </si>
  <si>
    <t>Number of Shirts ordered (Reduced):</t>
  </si>
  <si>
    <t>Total Revenue:</t>
  </si>
  <si>
    <t>Total Profit:</t>
  </si>
  <si>
    <t>Demand</t>
  </si>
  <si>
    <t>Woodworks Bookshelf Co.</t>
  </si>
  <si>
    <t>Cherry</t>
  </si>
  <si>
    <t>Unit Cost:</t>
  </si>
  <si>
    <t>Board feet:</t>
  </si>
  <si>
    <t>Materials Cost:</t>
  </si>
  <si>
    <t>Oak</t>
  </si>
  <si>
    <t>Labor Req'd:</t>
  </si>
  <si>
    <t>Labor Rate:</t>
  </si>
  <si>
    <t>Labor Cost:</t>
  </si>
  <si>
    <t>Cost Increases:</t>
  </si>
  <si>
    <t>Year</t>
  </si>
  <si>
    <t>Labor</t>
  </si>
  <si>
    <t>Total Cherry</t>
  </si>
  <si>
    <t>Total Oak</t>
  </si>
  <si>
    <t>Quality Sweater Co.</t>
  </si>
  <si>
    <t>Printing:</t>
  </si>
  <si>
    <t>per catalog</t>
  </si>
  <si>
    <t>Mailing:</t>
  </si>
  <si>
    <t>Re. Envelopes:</t>
  </si>
  <si>
    <t>per order</t>
  </si>
  <si>
    <t>Inputs:</t>
  </si>
  <si>
    <t>Labor and Materials:</t>
  </si>
  <si>
    <t>Avg. Customer order:</t>
  </si>
  <si>
    <t>Catalogs Ordered:</t>
  </si>
  <si>
    <t>Response Rate:</t>
  </si>
  <si>
    <t>dummy</t>
  </si>
  <si>
    <t>Total Orders:</t>
  </si>
  <si>
    <t>Total Costs:</t>
  </si>
  <si>
    <t>Catalog Cost:</t>
  </si>
  <si>
    <t>Order Costs:</t>
  </si>
  <si>
    <t>Profit:</t>
  </si>
  <si>
    <t>a) Data Table</t>
  </si>
  <si>
    <t>Profits:</t>
  </si>
  <si>
    <t xml:space="preserve">Haute Dog </t>
  </si>
  <si>
    <t>Sales:</t>
  </si>
  <si>
    <t>Days Open</t>
  </si>
  <si>
    <t>Daily Sales</t>
  </si>
  <si>
    <t>Start-up Cost</t>
  </si>
  <si>
    <t>Variable Cost</t>
  </si>
  <si>
    <t>Total weekly cost:</t>
  </si>
  <si>
    <t>Price</t>
  </si>
  <si>
    <t>Total weekly revenue:</t>
  </si>
  <si>
    <t>Weekly profit:</t>
  </si>
  <si>
    <t>days per week</t>
  </si>
  <si>
    <t>hot dogs per day</t>
  </si>
  <si>
    <t>per hot dog</t>
  </si>
  <si>
    <t>Data Table</t>
  </si>
  <si>
    <t>Weekly Profit</t>
  </si>
  <si>
    <t>B&amp;N BookStore</t>
  </si>
  <si>
    <t>Sold at:</t>
  </si>
  <si>
    <t>Hardback</t>
  </si>
  <si>
    <t>Paperback (leftovers)</t>
  </si>
  <si>
    <t>Unit Cost</t>
  </si>
  <si>
    <t>Order:</t>
  </si>
  <si>
    <t>Demand:</t>
  </si>
  <si>
    <t>(500-4500)</t>
  </si>
  <si>
    <t>paperbacks:</t>
  </si>
  <si>
    <t>Revenue from hardbacks:</t>
  </si>
  <si>
    <t>Revenue from paperbacks:</t>
  </si>
  <si>
    <t>Ordered</t>
  </si>
  <si>
    <t xml:space="preserve">atleast </t>
  </si>
  <si>
    <t>PROFIT:</t>
  </si>
  <si>
    <t>Order Amount</t>
  </si>
  <si>
    <t>Copy Shop</t>
  </si>
  <si>
    <t>Dallv Demand</t>
  </si>
  <si>
    <t>annual demand</t>
  </si>
  <si>
    <t>Costs</t>
  </si>
  <si>
    <t>Total annual costs</t>
  </si>
  <si>
    <t>Maximum Copies per year</t>
  </si>
  <si>
    <t>Number of Copiers Rented</t>
  </si>
  <si>
    <t>Copies Made per Year</t>
  </si>
  <si>
    <t>Rent tor one copier</t>
  </si>
  <si>
    <t>Total rent for copiers</t>
  </si>
  <si>
    <t>operation cost per copy</t>
  </si>
  <si>
    <t>Total operation costs</t>
  </si>
  <si>
    <t>total annual fixed cost</t>
  </si>
  <si>
    <t>Monthly fixed cost</t>
  </si>
  <si>
    <t>Revenue</t>
  </si>
  <si>
    <t>Price per copy</t>
  </si>
  <si>
    <t xml:space="preserve">Total annual revenue </t>
  </si>
  <si>
    <t>Total Annual Profit</t>
  </si>
  <si>
    <t>Daily Demand</t>
  </si>
  <si>
    <t>No. of Copiers</t>
  </si>
  <si>
    <t>The Screamin' Blue Jays</t>
  </si>
  <si>
    <t>Tour</t>
  </si>
  <si>
    <t>Number of weeks</t>
  </si>
  <si>
    <t>Concerts per week</t>
  </si>
  <si>
    <t>Total Concerts</t>
  </si>
  <si>
    <t>Rent per show</t>
  </si>
  <si>
    <t>Total Rent</t>
  </si>
  <si>
    <t>Ticket Price</t>
  </si>
  <si>
    <t>Total ticket rev</t>
  </si>
  <si>
    <t>Profit</t>
  </si>
  <si>
    <t>Concession sales per ticket</t>
  </si>
  <si>
    <t>Venue Capacity</t>
  </si>
  <si>
    <t>People</t>
  </si>
  <si>
    <t>Percentage</t>
  </si>
  <si>
    <t>Total Cost</t>
  </si>
  <si>
    <t>Total concession</t>
  </si>
  <si>
    <t>Seat sold%</t>
  </si>
  <si>
    <t>Weeks</t>
  </si>
  <si>
    <t>Month</t>
  </si>
  <si>
    <t>Demand (00s)</t>
  </si>
  <si>
    <t>19th Hole Problem</t>
  </si>
  <si>
    <t>Intercept(b):</t>
  </si>
  <si>
    <t>Slope(m):</t>
  </si>
  <si>
    <t>Power: y=ax^b</t>
  </si>
  <si>
    <t xml:space="preserve">Constant(a): </t>
  </si>
  <si>
    <t>Exponent(b):</t>
  </si>
  <si>
    <t>Exponential: y=ae^(bx)</t>
  </si>
  <si>
    <t>Predictions based on Models:</t>
  </si>
  <si>
    <t>Linear: y=mx+b</t>
  </si>
  <si>
    <t>Linear</t>
  </si>
  <si>
    <t>Power</t>
  </si>
  <si>
    <t>Exponential</t>
  </si>
  <si>
    <t>Absolute Percent Error</t>
  </si>
  <si>
    <t>Average OR MAPE:</t>
  </si>
  <si>
    <t>Cost:</t>
  </si>
  <si>
    <t>per set of clubs</t>
  </si>
  <si>
    <t>Sale Price:</t>
  </si>
  <si>
    <t>Demand(00s):</t>
  </si>
  <si>
    <t>Actual Demand:</t>
  </si>
  <si>
    <t>Modelling the Business</t>
  </si>
  <si>
    <t>NPV Example</t>
  </si>
  <si>
    <t>Year 1</t>
  </si>
  <si>
    <t>Final Cost of Development</t>
  </si>
  <si>
    <t>Gross Margins (Revenue-Cost)</t>
  </si>
  <si>
    <t>(In millions)</t>
  </si>
  <si>
    <t>Useful Life in Years</t>
  </si>
  <si>
    <t>Annual Rate (till 8)</t>
  </si>
  <si>
    <t>Annual Rate (to 20)</t>
  </si>
  <si>
    <t>Discount Rate</t>
  </si>
  <si>
    <t>End of Year</t>
  </si>
  <si>
    <t>Gross Margins ($M)</t>
  </si>
  <si>
    <t>Cash Flows:</t>
  </si>
  <si>
    <t>decrease</t>
  </si>
  <si>
    <t>increase</t>
  </si>
  <si>
    <t>Years till decrease</t>
  </si>
  <si>
    <t>Diff Way</t>
  </si>
  <si>
    <t>Development Cost:</t>
  </si>
  <si>
    <t>Net Present Value:</t>
  </si>
  <si>
    <t>(Net) Present Value:</t>
  </si>
  <si>
    <t>million</t>
  </si>
  <si>
    <t>Practice</t>
  </si>
  <si>
    <t>Cash Inflow (end of year)</t>
  </si>
  <si>
    <t>Initial Investment</t>
  </si>
  <si>
    <t>Net Present Value</t>
  </si>
  <si>
    <t>Q1</t>
  </si>
  <si>
    <t>Q3</t>
  </si>
  <si>
    <t>No. of units</t>
  </si>
  <si>
    <t>Year 2</t>
  </si>
  <si>
    <t>Year 3</t>
  </si>
  <si>
    <t>Year 4</t>
  </si>
  <si>
    <t>Year 5</t>
  </si>
  <si>
    <t>Per year increase (g)</t>
  </si>
  <si>
    <t>VC</t>
  </si>
  <si>
    <t>SGA</t>
  </si>
  <si>
    <t>Percentage drop</t>
  </si>
  <si>
    <t>Profits</t>
  </si>
  <si>
    <t>goal seek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</si>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</sst>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₹&quot;#,##0.00_);[Red]\(&quot;₹&quot;#,##0.00\)"/>
    <numFmt numFmtId="44" formatCode="_(&quot;₹&quot;* #,##0.00_);_(&quot;₹&quot;* \(#,##0.00\);_(&quot;₹&quot;* &quot;-&quot;??_);_(@_)"/>
    <numFmt numFmtId="164" formatCode="&quot;₹&quot;#,##0.00"/>
    <numFmt numFmtId="165" formatCode="_(&quot;₹&quot;* #,##0_);_(&quot;₹&quot;* \(#,##0\);_(&quot;₹&quot;* &quot;-&quot;??_);_(@_)"/>
    <numFmt numFmtId="173" formatCode="0.0"/>
    <numFmt numFmtId="174" formatCode="0.0%"/>
    <numFmt numFmtId="175" formatCode="_([$$-409]* #,##0.00_);_([$$-409]* \(#,##0.00\);_([$$-409]* &quot;-&quot;??_);_(@_)"/>
    <numFmt numFmtId="178" formatCode="_([$$-409]* #,##0_);_([$$-409]* \(#,##0\);_([$$-409]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rgb="FF1F1F1F"/>
      <name val="Arial"/>
      <family val="2"/>
    </font>
    <font>
      <b/>
      <sz val="16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1F1F1F"/>
      <name val="Calibri"/>
      <family val="2"/>
      <scheme val="minor"/>
    </font>
    <font>
      <sz val="16"/>
      <color rgb="FF1F1F1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 tint="-0.34998626667073579"/>
      <name val="Calibri"/>
      <family val="2"/>
      <scheme val="minor"/>
    </font>
    <font>
      <b/>
      <sz val="16"/>
      <color rgb="FF1F1F1F"/>
      <name val="Calibri Light"/>
      <family val="2"/>
      <scheme val="major"/>
    </font>
    <font>
      <sz val="16"/>
      <color rgb="FF1F1F1F"/>
      <name val="Calibri Light"/>
      <family val="2"/>
      <scheme val="major"/>
    </font>
    <font>
      <sz val="8"/>
      <name val="Calibri"/>
      <family val="2"/>
      <scheme val="minor"/>
    </font>
    <font>
      <sz val="12"/>
      <color rgb="FF92D05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43">
    <xf numFmtId="0" fontId="0" fillId="0" borderId="0" xfId="0"/>
    <xf numFmtId="44" fontId="0" fillId="0" borderId="0" xfId="1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165" fontId="0" fillId="0" borderId="0" xfId="1" applyNumberFormat="1" applyFont="1" applyAlignment="1"/>
    <xf numFmtId="165" fontId="4" fillId="0" borderId="0" xfId="1" applyNumberFormat="1" applyFont="1" applyAlignment="1"/>
    <xf numFmtId="165" fontId="4" fillId="0" borderId="0" xfId="1" applyNumberFormat="1" applyFont="1"/>
    <xf numFmtId="0" fontId="2" fillId="0" borderId="1" xfId="2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right"/>
    </xf>
    <xf numFmtId="44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44" fontId="0" fillId="0" borderId="2" xfId="0" applyNumberFormat="1" applyBorder="1" applyAlignment="1">
      <alignment horizontal="center"/>
    </xf>
    <xf numFmtId="10" fontId="4" fillId="0" borderId="4" xfId="1" applyNumberFormat="1" applyFont="1" applyFill="1" applyBorder="1" applyAlignment="1">
      <alignment horizontal="center"/>
    </xf>
    <xf numFmtId="44" fontId="4" fillId="0" borderId="4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44" fontId="0" fillId="0" borderId="2" xfId="1" applyFont="1" applyFill="1" applyBorder="1" applyAlignment="1">
      <alignment horizontal="center"/>
    </xf>
    <xf numFmtId="4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2" borderId="0" xfId="0" applyNumberForma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indent="1"/>
    </xf>
    <xf numFmtId="164" fontId="5" fillId="0" borderId="0" xfId="1" applyNumberFormat="1" applyFont="1"/>
    <xf numFmtId="0" fontId="5" fillId="0" borderId="0" xfId="0" applyFont="1" applyAlignment="1">
      <alignment horizontal="left"/>
    </xf>
    <xf numFmtId="164" fontId="5" fillId="0" borderId="0" xfId="0" applyNumberFormat="1" applyFont="1"/>
    <xf numFmtId="44" fontId="5" fillId="0" borderId="0" xfId="0" applyNumberFormat="1" applyFont="1"/>
    <xf numFmtId="0" fontId="5" fillId="0" borderId="0" xfId="1" applyNumberFormat="1" applyFont="1" applyFill="1"/>
    <xf numFmtId="164" fontId="5" fillId="0" borderId="0" xfId="1" applyNumberFormat="1" applyFont="1" applyFill="1"/>
    <xf numFmtId="9" fontId="5" fillId="0" borderId="0" xfId="0" applyNumberFormat="1" applyFont="1"/>
    <xf numFmtId="10" fontId="5" fillId="0" borderId="0" xfId="0" applyNumberFormat="1" applyFont="1"/>
    <xf numFmtId="44" fontId="6" fillId="0" borderId="0" xfId="0" applyNumberFormat="1" applyFont="1"/>
    <xf numFmtId="165" fontId="5" fillId="0" borderId="0" xfId="0" applyNumberFormat="1" applyFont="1"/>
    <xf numFmtId="10" fontId="5" fillId="2" borderId="0" xfId="1" applyNumberFormat="1" applyFont="1" applyFill="1"/>
    <xf numFmtId="44" fontId="7" fillId="0" borderId="0" xfId="0" applyNumberFormat="1" applyFont="1"/>
    <xf numFmtId="0" fontId="8" fillId="0" borderId="1" xfId="2" applyFont="1" applyAlignment="1">
      <alignment horizontal="center"/>
    </xf>
    <xf numFmtId="0" fontId="9" fillId="0" borderId="0" xfId="0" applyFont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165" fontId="0" fillId="0" borderId="26" xfId="1" applyNumberFormat="1" applyFont="1" applyBorder="1"/>
    <xf numFmtId="165" fontId="0" fillId="0" borderId="27" xfId="1" applyNumberFormat="1" applyFont="1" applyBorder="1"/>
    <xf numFmtId="165" fontId="0" fillId="0" borderId="28" xfId="1" applyNumberFormat="1" applyFont="1" applyBorder="1"/>
    <xf numFmtId="165" fontId="0" fillId="0" borderId="21" xfId="1" applyNumberFormat="1" applyFont="1" applyBorder="1"/>
    <xf numFmtId="165" fontId="0" fillId="0" borderId="2" xfId="1" applyNumberFormat="1" applyFont="1" applyBorder="1"/>
    <xf numFmtId="165" fontId="0" fillId="0" borderId="7" xfId="1" applyNumberFormat="1" applyFont="1" applyBorder="1"/>
    <xf numFmtId="165" fontId="0" fillId="0" borderId="22" xfId="1" applyNumberFormat="1" applyFont="1" applyBorder="1"/>
    <xf numFmtId="165" fontId="0" fillId="0" borderId="16" xfId="1" applyNumberFormat="1" applyFont="1" applyBorder="1"/>
    <xf numFmtId="165" fontId="0" fillId="0" borderId="17" xfId="1" applyNumberFormat="1" applyFont="1" applyBorder="1"/>
    <xf numFmtId="165" fontId="7" fillId="0" borderId="9" xfId="0" applyNumberFormat="1" applyFont="1" applyBorder="1"/>
    <xf numFmtId="44" fontId="7" fillId="0" borderId="9" xfId="0" applyNumberFormat="1" applyFont="1" applyBorder="1"/>
    <xf numFmtId="3" fontId="0" fillId="0" borderId="0" xfId="0" applyNumberFormat="1"/>
    <xf numFmtId="44" fontId="7" fillId="0" borderId="2" xfId="0" applyNumberFormat="1" applyFont="1" applyBorder="1"/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44" fontId="0" fillId="2" borderId="0" xfId="1" applyFont="1" applyFill="1" applyAlignment="1">
      <alignment horizontal="center"/>
    </xf>
    <xf numFmtId="9" fontId="0" fillId="0" borderId="0" xfId="0" applyNumberFormat="1"/>
    <xf numFmtId="165" fontId="0" fillId="0" borderId="0" xfId="1" applyNumberFormat="1" applyFont="1"/>
    <xf numFmtId="165" fontId="7" fillId="0" borderId="0" xfId="0" applyNumberFormat="1" applyFont="1"/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2" applyAlignment="1">
      <alignment horizontal="center"/>
    </xf>
    <xf numFmtId="0" fontId="2" fillId="0" borderId="0" xfId="2" applyBorder="1" applyAlignment="1">
      <alignment horizontal="center"/>
    </xf>
    <xf numFmtId="0" fontId="3" fillId="0" borderId="1" xfId="2" applyFont="1" applyAlignment="1">
      <alignment horizontal="center"/>
    </xf>
    <xf numFmtId="0" fontId="8" fillId="0" borderId="1" xfId="2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textRotation="90"/>
    </xf>
    <xf numFmtId="0" fontId="4" fillId="0" borderId="15" xfId="0" applyFont="1" applyBorder="1" applyAlignment="1">
      <alignment horizontal="center" textRotation="90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0" fillId="0" borderId="1" xfId="2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2" fillId="0" borderId="2" xfId="0" applyFont="1" applyBorder="1"/>
    <xf numFmtId="0" fontId="13" fillId="3" borderId="2" xfId="0" applyFont="1" applyFill="1" applyBorder="1"/>
    <xf numFmtId="173" fontId="11" fillId="0" borderId="2" xfId="0" applyNumberFormat="1" applyFont="1" applyBorder="1"/>
    <xf numFmtId="0" fontId="13" fillId="0" borderId="2" xfId="0" applyFont="1" applyBorder="1"/>
    <xf numFmtId="0" fontId="14" fillId="0" borderId="2" xfId="0" applyFont="1" applyBorder="1"/>
    <xf numFmtId="0" fontId="14" fillId="0" borderId="0" xfId="0" applyFont="1"/>
    <xf numFmtId="0" fontId="14" fillId="0" borderId="32" xfId="0" applyFont="1" applyBorder="1" applyAlignment="1">
      <alignment horizontal="center"/>
    </xf>
    <xf numFmtId="0" fontId="14" fillId="0" borderId="33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174" fontId="11" fillId="0" borderId="2" xfId="3" applyNumberFormat="1" applyFont="1" applyBorder="1"/>
    <xf numFmtId="0" fontId="13" fillId="0" borderId="32" xfId="0" applyFont="1" applyBorder="1"/>
    <xf numFmtId="174" fontId="11" fillId="0" borderId="2" xfId="0" applyNumberFormat="1" applyFont="1" applyBorder="1"/>
    <xf numFmtId="174" fontId="11" fillId="4" borderId="2" xfId="0" applyNumberFormat="1" applyFont="1" applyFill="1" applyBorder="1"/>
    <xf numFmtId="175" fontId="11" fillId="0" borderId="0" xfId="0" applyNumberFormat="1" applyFont="1"/>
    <xf numFmtId="175" fontId="11" fillId="4" borderId="0" xfId="1" applyNumberFormat="1" applyFont="1" applyFill="1"/>
    <xf numFmtId="1" fontId="11" fillId="0" borderId="0" xfId="0" applyNumberFormat="1" applyFont="1"/>
    <xf numFmtId="178" fontId="11" fillId="0" borderId="0" xfId="0" applyNumberFormat="1" applyFont="1"/>
    <xf numFmtId="174" fontId="11" fillId="0" borderId="0" xfId="0" applyNumberFormat="1" applyFont="1" applyBorder="1"/>
    <xf numFmtId="174" fontId="11" fillId="0" borderId="0" xfId="0" applyNumberFormat="1" applyFont="1" applyFill="1" applyBorder="1"/>
    <xf numFmtId="178" fontId="15" fillId="0" borderId="0" xfId="0" applyNumberFormat="1" applyFont="1"/>
    <xf numFmtId="178" fontId="15" fillId="0" borderId="2" xfId="0" applyNumberFormat="1" applyFont="1" applyBorder="1"/>
    <xf numFmtId="178" fontId="11" fillId="0" borderId="2" xfId="0" applyNumberFormat="1" applyFont="1" applyBorder="1"/>
    <xf numFmtId="0" fontId="2" fillId="0" borderId="1" xfId="2"/>
    <xf numFmtId="175" fontId="0" fillId="0" borderId="0" xfId="0" applyNumberFormat="1"/>
    <xf numFmtId="9" fontId="0" fillId="0" borderId="0" xfId="3" applyNumberFormat="1" applyFont="1"/>
    <xf numFmtId="0" fontId="4" fillId="0" borderId="2" xfId="0" applyFont="1" applyBorder="1"/>
    <xf numFmtId="0" fontId="4" fillId="0" borderId="34" xfId="0" applyFont="1" applyBorder="1" applyAlignment="1">
      <alignment horizontal="center"/>
    </xf>
    <xf numFmtId="175" fontId="0" fillId="0" borderId="2" xfId="0" applyNumberFormat="1" applyBorder="1"/>
    <xf numFmtId="8" fontId="0" fillId="0" borderId="0" xfId="0" applyNumberFormat="1"/>
    <xf numFmtId="0" fontId="0" fillId="0" borderId="0" xfId="3" applyNumberFormat="1" applyFont="1"/>
    <xf numFmtId="175" fontId="4" fillId="0" borderId="0" xfId="0" applyNumberFormat="1" applyFont="1"/>
    <xf numFmtId="0" fontId="16" fillId="0" borderId="0" xfId="0" applyFont="1"/>
    <xf numFmtId="0" fontId="17" fillId="0" borderId="0" xfId="0" applyFont="1"/>
    <xf numFmtId="2" fontId="0" fillId="0" borderId="0" xfId="0" applyNumberFormat="1"/>
    <xf numFmtId="9" fontId="19" fillId="0" borderId="0" xfId="0" applyNumberFormat="1" applyFont="1"/>
    <xf numFmtId="9" fontId="0" fillId="0" borderId="0" xfId="0" applyNumberFormat="1" applyFont="1"/>
    <xf numFmtId="0" fontId="0" fillId="0" borderId="2" xfId="0" applyBorder="1" applyAlignment="1">
      <alignment horizontal="center"/>
    </xf>
    <xf numFmtId="10" fontId="19" fillId="0" borderId="0" xfId="0" applyNumberFormat="1" applyFont="1"/>
    <xf numFmtId="2" fontId="0" fillId="0" borderId="2" xfId="0" applyNumberFormat="1" applyBorder="1"/>
    <xf numFmtId="1" fontId="0" fillId="0" borderId="2" xfId="0" applyNumberFormat="1" applyBorder="1"/>
    <xf numFmtId="0" fontId="0" fillId="0" borderId="35" xfId="0" applyBorder="1"/>
    <xf numFmtId="2" fontId="0" fillId="0" borderId="27" xfId="0" applyNumberFormat="1" applyBorder="1"/>
    <xf numFmtId="9" fontId="0" fillId="0" borderId="32" xfId="3" applyFont="1" applyBorder="1"/>
    <xf numFmtId="0" fontId="20" fillId="0" borderId="0" xfId="4"/>
  </cellXfs>
  <cellStyles count="5">
    <cellStyle name="Currency" xfId="1" builtinId="4"/>
    <cellStyle name="Heading 1" xfId="2" builtinId="16"/>
    <cellStyle name="Hyperlink" xfId="4" builtinId="8"/>
    <cellStyle name="Normal" xfId="0" builtinId="0"/>
    <cellStyle name="Per cent" xfId="3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1F1F1F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1F1F1F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1F1F1F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1F1F1F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1F1F1F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Woodworks Bookshelf Co. (Cost</a:t>
            </a:r>
            <a:r>
              <a:rPr lang="en-GB" baseline="0"/>
              <a:t> Projection)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Sheet3!$E$16</c:f>
              <c:strCache>
                <c:ptCount val="1"/>
                <c:pt idx="0">
                  <c:v>Total Cherry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Sheet3!$A$17:$A$22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Sheet3!$E$17:$E$22</c:f>
              <c:numCache>
                <c:formatCode>_("₹"* #,##0.00_);_("₹"* \(#,##0.00\);_("₹"* "-"??_);_(@_)</c:formatCode>
                <c:ptCount val="6"/>
                <c:pt idx="0">
                  <c:v>461</c:v>
                </c:pt>
                <c:pt idx="1">
                  <c:v>469.4</c:v>
                </c:pt>
                <c:pt idx="2">
                  <c:v>477.96163999999999</c:v>
                </c:pt>
                <c:pt idx="3">
                  <c:v>486.68819995999996</c:v>
                </c:pt>
                <c:pt idx="4">
                  <c:v>495.58302956803993</c:v>
                </c:pt>
                <c:pt idx="5">
                  <c:v>504.64954977880791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A0-9E46-8C84-1CF5EB64C733}"/>
            </c:ext>
          </c:extLst>
        </c:ser>
        <c:ser>
          <c:idx val="4"/>
          <c:order val="1"/>
          <c:tx>
            <c:strRef>
              <c:f>Sheet3!$F$16</c:f>
              <c:strCache>
                <c:ptCount val="1"/>
                <c:pt idx="0">
                  <c:v>Total Oak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Sheet3!$A$17:$A$22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Sheet3!$F$17:$F$22</c:f>
              <c:numCache>
                <c:formatCode>_("₹"* #,##0.00_);_("₹"* \(#,##0.00\);_("₹"* "-"??_);_(@_)</c:formatCode>
                <c:ptCount val="6"/>
                <c:pt idx="0">
                  <c:v>425</c:v>
                </c:pt>
                <c:pt idx="1">
                  <c:v>431.63299999999998</c:v>
                </c:pt>
                <c:pt idx="2">
                  <c:v>438.36988099999996</c:v>
                </c:pt>
                <c:pt idx="3">
                  <c:v>445.21227577699995</c:v>
                </c:pt>
                <c:pt idx="4">
                  <c:v>452.16184286720886</c:v>
                </c:pt>
                <c:pt idx="5">
                  <c:v>459.22026697398138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A0-9E46-8C84-1CF5EB64C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896528"/>
        <c:axId val="1945898256"/>
      </c:lineChart>
      <c:catAx>
        <c:axId val="194589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898256"/>
        <c:crosses val="autoZero"/>
        <c:auto val="1"/>
        <c:lblAlgn val="ctr"/>
        <c:lblOffset val="100"/>
        <c:noMultiLvlLbl val="0"/>
      </c:catAx>
      <c:valAx>
        <c:axId val="194589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Costs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89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Quality</a:t>
            </a:r>
            <a:r>
              <a:rPr lang="en-GB" baseline="0"/>
              <a:t> Sweater Co. Response Rate vs.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Sheet4!$E$5:$E$15</c:f>
              <c:numCache>
                <c:formatCode>0.00%</c:formatCode>
                <c:ptCount val="11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</c:numCache>
            </c:numRef>
          </c:cat>
          <c:val>
            <c:numRef>
              <c:f>Sheet4!$F$5:$F$15</c:f>
              <c:numCache>
                <c:formatCode>_("₹"* #,##0_);_("₹"* \(#,##0\);_("₹"* "-"??_);_(@_)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E3-684D-B453-1F407D464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7252735"/>
        <c:axId val="1037293023"/>
      </c:barChart>
      <c:catAx>
        <c:axId val="103725273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293023"/>
        <c:crosses val="autoZero"/>
        <c:auto val="1"/>
        <c:lblAlgn val="ctr"/>
        <c:lblOffset val="100"/>
        <c:noMultiLvlLbl val="0"/>
      </c:catAx>
      <c:valAx>
        <c:axId val="103729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25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Haute Dog:</a:t>
            </a:r>
          </a:p>
          <a:p>
            <a:pPr>
              <a:defRPr/>
            </a:pPr>
            <a:r>
              <a:rPr lang="en-GB" baseline="0"/>
              <a:t> Daily Sales vs Profit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Sheet5!$E$7:$E$21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cat>
          <c:val>
            <c:numRef>
              <c:f>Sheet5!$F$7:$F$21</c:f>
              <c:numCache>
                <c:formatCode>_("₹"* #,##0.00_);_("₹"* \(#,##0.00\);_("₹"* "-"??_);_(@_)</c:formatCode>
                <c:ptCount val="15"/>
                <c:pt idx="0">
                  <c:v>-290</c:v>
                </c:pt>
                <c:pt idx="1">
                  <c:v>-80</c:v>
                </c:pt>
                <c:pt idx="2">
                  <c:v>130</c:v>
                </c:pt>
                <c:pt idx="3">
                  <c:v>340</c:v>
                </c:pt>
                <c:pt idx="4">
                  <c:v>550</c:v>
                </c:pt>
                <c:pt idx="5">
                  <c:v>760</c:v>
                </c:pt>
                <c:pt idx="6">
                  <c:v>970</c:v>
                </c:pt>
                <c:pt idx="7">
                  <c:v>1180</c:v>
                </c:pt>
                <c:pt idx="8">
                  <c:v>1390</c:v>
                </c:pt>
                <c:pt idx="9">
                  <c:v>1600</c:v>
                </c:pt>
                <c:pt idx="10">
                  <c:v>1810</c:v>
                </c:pt>
                <c:pt idx="11">
                  <c:v>2020</c:v>
                </c:pt>
                <c:pt idx="12">
                  <c:v>2230</c:v>
                </c:pt>
                <c:pt idx="13">
                  <c:v>2440</c:v>
                </c:pt>
                <c:pt idx="14">
                  <c:v>2650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A-6F48-BB45-3FA554359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613152"/>
        <c:axId val="126531616"/>
      </c:barChart>
      <c:catAx>
        <c:axId val="1266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31616"/>
        <c:crosses val="autoZero"/>
        <c:auto val="1"/>
        <c:lblAlgn val="ctr"/>
        <c:lblOffset val="100"/>
        <c:noMultiLvlLbl val="0"/>
      </c:catAx>
      <c:valAx>
        <c:axId val="12653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1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Sheet7!$F$4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Sheet7!$D$5:$E$10</c:f>
              <c:multiLvlStrCache>
                <c:ptCount val="6"/>
                <c:lvl>
                  <c:pt idx="0">
                    <c:v> ₹(2,800.00)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  <c:lvl>
                  <c:pt idx="0">
                    <c:v>No. of Copiers</c:v>
                  </c:pt>
                </c:lvl>
              </c:multiLvlStrCache>
            </c:multiLvlStrRef>
          </c:cat>
          <c:val>
            <c:numRef>
              <c:f>Sheet7!$F$5:$F$10</c:f>
              <c:numCache>
                <c:formatCode>General</c:formatCode>
                <c:ptCount val="6"/>
                <c:pt idx="0">
                  <c:v>500</c:v>
                </c:pt>
                <c:pt idx="1">
                  <c:v>-2800</c:v>
                </c:pt>
                <c:pt idx="2">
                  <c:v>-2025</c:v>
                </c:pt>
                <c:pt idx="3">
                  <c:v>-7025</c:v>
                </c:pt>
                <c:pt idx="4">
                  <c:v>-12025</c:v>
                </c:pt>
                <c:pt idx="5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1-4E4B-B6A2-3A0AA8E70719}"/>
            </c:ext>
          </c:extLst>
        </c:ser>
        <c:ser>
          <c:idx val="1"/>
          <c:order val="1"/>
          <c:tx>
            <c:strRef>
              <c:f>Sheet7!$G$4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Sheet7!$D$5:$E$10</c:f>
              <c:multiLvlStrCache>
                <c:ptCount val="6"/>
                <c:lvl>
                  <c:pt idx="0">
                    <c:v> ₹(2,800.00)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  <c:lvl>
                  <c:pt idx="0">
                    <c:v>No. of Copiers</c:v>
                  </c:pt>
                </c:lvl>
              </c:multiLvlStrCache>
            </c:multiLvlStrRef>
          </c:cat>
          <c:val>
            <c:numRef>
              <c:f>Sheet7!$G$5:$G$10</c:f>
              <c:numCache>
                <c:formatCode>General</c:formatCode>
                <c:ptCount val="6"/>
                <c:pt idx="0">
                  <c:v>1000</c:v>
                </c:pt>
                <c:pt idx="1">
                  <c:v>-2800</c:v>
                </c:pt>
                <c:pt idx="2">
                  <c:v>-800</c:v>
                </c:pt>
                <c:pt idx="3">
                  <c:v>1200</c:v>
                </c:pt>
                <c:pt idx="4">
                  <c:v>750</c:v>
                </c:pt>
                <c:pt idx="5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41-4E4B-B6A2-3A0AA8E70719}"/>
            </c:ext>
          </c:extLst>
        </c:ser>
        <c:ser>
          <c:idx val="2"/>
          <c:order val="2"/>
          <c:tx>
            <c:strRef>
              <c:f>Sheet7!$H$4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Sheet7!$D$5:$E$10</c:f>
              <c:multiLvlStrCache>
                <c:ptCount val="6"/>
                <c:lvl>
                  <c:pt idx="0">
                    <c:v> ₹(2,800.00)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  <c:lvl>
                  <c:pt idx="0">
                    <c:v>No. of Copiers</c:v>
                  </c:pt>
                </c:lvl>
              </c:multiLvlStrCache>
            </c:multiLvlStrRef>
          </c:cat>
          <c:val>
            <c:numRef>
              <c:f>Sheet7!$H$5:$H$10</c:f>
              <c:numCache>
                <c:formatCode>General</c:formatCode>
                <c:ptCount val="6"/>
                <c:pt idx="0">
                  <c:v>1500</c:v>
                </c:pt>
                <c:pt idx="1">
                  <c:v>-2800</c:v>
                </c:pt>
                <c:pt idx="2">
                  <c:v>-800</c:v>
                </c:pt>
                <c:pt idx="3">
                  <c:v>1200</c:v>
                </c:pt>
                <c:pt idx="4">
                  <c:v>3200</c:v>
                </c:pt>
                <c:pt idx="5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41-4E4B-B6A2-3A0AA8E70719}"/>
            </c:ext>
          </c:extLst>
        </c:ser>
        <c:ser>
          <c:idx val="3"/>
          <c:order val="3"/>
          <c:tx>
            <c:strRef>
              <c:f>Sheet7!$I$4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Sheet7!$D$5:$E$10</c:f>
              <c:multiLvlStrCache>
                <c:ptCount val="6"/>
                <c:lvl>
                  <c:pt idx="0">
                    <c:v> ₹(2,800.00)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</c:lvl>
                <c:lvl>
                  <c:pt idx="0">
                    <c:v>No. of Copiers</c:v>
                  </c:pt>
                </c:lvl>
              </c:multiLvlStrCache>
            </c:multiLvlStrRef>
          </c:cat>
          <c:val>
            <c:numRef>
              <c:f>Sheet7!$I$5:$I$10</c:f>
              <c:numCache>
                <c:formatCode>General</c:formatCode>
                <c:ptCount val="6"/>
                <c:pt idx="0">
                  <c:v>2000</c:v>
                </c:pt>
                <c:pt idx="1">
                  <c:v>-2800</c:v>
                </c:pt>
                <c:pt idx="2">
                  <c:v>-800</c:v>
                </c:pt>
                <c:pt idx="3">
                  <c:v>1200</c:v>
                </c:pt>
                <c:pt idx="4">
                  <c:v>3200</c:v>
                </c:pt>
                <c:pt idx="5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41-4E4B-B6A2-3A0AA8E70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831824"/>
        <c:axId val="1328119631"/>
      </c:barChart>
      <c:catAx>
        <c:axId val="64083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9631"/>
        <c:crosses val="autoZero"/>
        <c:auto val="1"/>
        <c:lblAlgn val="ctr"/>
        <c:lblOffset val="100"/>
        <c:noMultiLvlLbl val="0"/>
      </c:catAx>
      <c:valAx>
        <c:axId val="132811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3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500 DD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Sheet7!$E$5:$E$10</c:f>
              <c:numCache>
                <c:formatCode>General</c:formatCode>
                <c:ptCount val="6"/>
                <c:pt idx="0" formatCode="_(&quot;₹&quot;* #,##0.00_);_(&quot;₹&quot;* \(#,##0.00\);_(&quot;₹&quot;* &quot;-&quot;??_);_(@_)">
                  <c:v>-2800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Sheet7!$F$5:$F$10</c:f>
              <c:numCache>
                <c:formatCode>General</c:formatCode>
                <c:ptCount val="6"/>
                <c:pt idx="0">
                  <c:v>500</c:v>
                </c:pt>
                <c:pt idx="1">
                  <c:v>-2800</c:v>
                </c:pt>
                <c:pt idx="2">
                  <c:v>-2025</c:v>
                </c:pt>
                <c:pt idx="3">
                  <c:v>-7025</c:v>
                </c:pt>
                <c:pt idx="4">
                  <c:v>-12025</c:v>
                </c:pt>
                <c:pt idx="5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F-014A-B504-8B1D3B4D7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7729215"/>
        <c:axId val="2137869439"/>
      </c:barChart>
      <c:catAx>
        <c:axId val="2137729215"/>
        <c:scaling>
          <c:orientation val="minMax"/>
        </c:scaling>
        <c:delete val="0"/>
        <c:axPos val="b"/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69439"/>
        <c:crosses val="autoZero"/>
        <c:auto val="1"/>
        <c:lblAlgn val="ctr"/>
        <c:lblOffset val="100"/>
        <c:noMultiLvlLbl val="0"/>
      </c:catAx>
      <c:valAx>
        <c:axId val="213786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72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vs Demand (Linear)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Sheet9!$C$2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616164358765499"/>
                  <c:y val="-0.6070717063981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Sheet9!$B$3:$B$14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Sheet9!$C$3:$C$14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9B-A74E-BCC8-76FB5B281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508303"/>
        <c:axId val="1868516575"/>
      </c:scatterChart>
      <c:valAx>
        <c:axId val="186850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516575"/>
        <c:crosses val="autoZero"/>
        <c:crossBetween val="midCat"/>
      </c:valAx>
      <c:valAx>
        <c:axId val="18685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Demand(00s)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50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vs Demand (Power)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Sheet9!$C$2</c:f>
              <c:strCache>
                <c:ptCount val="1"/>
                <c:pt idx="0">
                  <c:v>Demand (00s)</c:v>
                </c:pt>
              </c:strCache>
            </c:strRef>
          </c:tx>
          <c:spPr>
            <a:ln>
              <a:noFill/>
            </a:ln>
          </c:spPr>
          <c:xVal>
            <c:numRef>
              <c:f>Sheet9!$B$3:$B$14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Sheet9!$C$3:$C$14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C333-3641-BAA3-A0DC176BF4FA}"/>
            </c:ext>
          </c:extLst>
        </c:ser>
        <c:ser>
          <c:idx val="5"/>
          <c:order val="1"/>
          <c:tx>
            <c:strRef>
              <c:f>Sheet9!$C$2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Sheet9!$B$3:$B$14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Sheet9!$C$3:$C$14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C333-3641-BAA3-A0DC176BF4FA}"/>
            </c:ext>
          </c:extLst>
        </c:ser>
        <c:ser>
          <c:idx val="6"/>
          <c:order val="2"/>
          <c:tx>
            <c:strRef>
              <c:f>Sheet9!$C$2</c:f>
              <c:strCache>
                <c:ptCount val="1"/>
                <c:pt idx="0">
                  <c:v>Demand (00s)</c:v>
                </c:pt>
              </c:strCache>
            </c:strRef>
          </c:tx>
          <c:spPr>
            <a:ln>
              <a:noFill/>
            </a:ln>
          </c:spPr>
          <c:xVal>
            <c:numRef>
              <c:f>Sheet9!$B$3:$B$14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Sheet9!$C$3:$C$14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C333-3641-BAA3-A0DC176BF4FA}"/>
            </c:ext>
          </c:extLst>
        </c:ser>
        <c:ser>
          <c:idx val="7"/>
          <c:order val="3"/>
          <c:tx>
            <c:strRef>
              <c:f>Sheet9!$C$2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Sheet9!$B$3:$B$14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Sheet9!$C$3:$C$14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C333-3641-BAA3-A0DC176BF4FA}"/>
            </c:ext>
          </c:extLst>
        </c:ser>
        <c:ser>
          <c:idx val="2"/>
          <c:order val="4"/>
          <c:tx>
            <c:strRef>
              <c:f>Sheet9!$C$2</c:f>
              <c:strCache>
                <c:ptCount val="1"/>
                <c:pt idx="0">
                  <c:v>Demand (00s)</c:v>
                </c:pt>
              </c:strCache>
            </c:strRef>
          </c:tx>
          <c:spPr>
            <a:ln>
              <a:noFill/>
            </a:ln>
          </c:spPr>
          <c:xVal>
            <c:numRef>
              <c:f>Sheet9!$B$3:$B$14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Sheet9!$C$3:$C$14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333-3641-BAA3-A0DC176BF4FA}"/>
            </c:ext>
          </c:extLst>
        </c:ser>
        <c:ser>
          <c:idx val="3"/>
          <c:order val="5"/>
          <c:tx>
            <c:strRef>
              <c:f>Sheet9!$C$2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Sheet9!$B$3:$B$14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Sheet9!$C$3:$C$14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333-3641-BAA3-A0DC176BF4FA}"/>
            </c:ext>
          </c:extLst>
        </c:ser>
        <c:ser>
          <c:idx val="1"/>
          <c:order val="6"/>
          <c:tx>
            <c:strRef>
              <c:f>Sheet9!$C$2</c:f>
              <c:strCache>
                <c:ptCount val="1"/>
                <c:pt idx="0">
                  <c:v>Demand (00s)</c:v>
                </c:pt>
              </c:strCache>
            </c:strRef>
          </c:tx>
          <c:spPr>
            <a:ln>
              <a:noFill/>
            </a:ln>
          </c:spPr>
          <c:xVal>
            <c:numRef>
              <c:f>Sheet9!$B$3:$B$14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Sheet9!$C$3:$C$14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333-3641-BAA3-A0DC176BF4FA}"/>
            </c:ext>
          </c:extLst>
        </c:ser>
        <c:ser>
          <c:idx val="0"/>
          <c:order val="7"/>
          <c:tx>
            <c:strRef>
              <c:f>Sheet9!$C$2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6.3570212030706189E-2"/>
                  <c:y val="-0.56821716562538116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Sheet9!$B$3:$B$14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Sheet9!$C$3:$C$14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333-3641-BAA3-A0DC176BF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508303"/>
        <c:axId val="1868516575"/>
      </c:scatterChart>
      <c:valAx>
        <c:axId val="186850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516575"/>
        <c:crosses val="autoZero"/>
        <c:crossBetween val="midCat"/>
      </c:valAx>
      <c:valAx>
        <c:axId val="18685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Demand(00s)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50830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vs Demand(Exponential)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Sheet9!$C$2</c:f>
              <c:strCache>
                <c:ptCount val="1"/>
                <c:pt idx="0">
                  <c:v>Demand (00s)</c:v>
                </c:pt>
              </c:strCache>
            </c:strRef>
          </c:tx>
          <c:spPr>
            <a:ln>
              <a:noFill/>
            </a:ln>
          </c:spPr>
          <c:trendline>
            <c:trendlineType val="exp"/>
            <c:dispRSqr val="0"/>
            <c:dispEq val="1"/>
            <c:trendlineLbl>
              <c:layout>
                <c:manualLayout>
                  <c:x val="0.10832473527016019"/>
                  <c:y val="-0.57389648583083741"/>
                </c:manualLayout>
              </c:layout>
              <c:numFmt formatCode="General" sourceLinked="0"/>
            </c:trendlineLbl>
          </c:trendline>
          <c:xVal>
            <c:numRef>
              <c:f>Sheet9!$B$3:$B$14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Sheet9!$C$3:$C$14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68-2341-BAAB-64DBAF3312E8}"/>
            </c:ext>
          </c:extLst>
        </c:ser>
        <c:ser>
          <c:idx val="3"/>
          <c:order val="1"/>
          <c:tx>
            <c:strRef>
              <c:f>Sheet9!$C$2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Sheet9!$B$3:$B$14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Sheet9!$C$3:$C$14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68-2341-BAAB-64DBAF3312E8}"/>
            </c:ext>
          </c:extLst>
        </c:ser>
        <c:ser>
          <c:idx val="1"/>
          <c:order val="2"/>
          <c:tx>
            <c:strRef>
              <c:f>Sheet9!$C$2</c:f>
              <c:strCache>
                <c:ptCount val="1"/>
                <c:pt idx="0">
                  <c:v>Demand (00s)</c:v>
                </c:pt>
              </c:strCache>
            </c:strRef>
          </c:tx>
          <c:spPr>
            <a:ln>
              <a:noFill/>
            </a:ln>
          </c:spPr>
          <c:xVal>
            <c:numRef>
              <c:f>Sheet9!$B$3:$B$14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Sheet9!$C$3:$C$14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68-2341-BAAB-64DBAF3312E8}"/>
            </c:ext>
          </c:extLst>
        </c:ser>
        <c:ser>
          <c:idx val="0"/>
          <c:order val="3"/>
          <c:tx>
            <c:strRef>
              <c:f>Sheet9!$C$2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Sheet9!$C$3:$C$14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68-2341-BAAB-64DBAF331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508303"/>
        <c:axId val="1868516575"/>
      </c:scatterChart>
      <c:valAx>
        <c:axId val="186850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516575"/>
        <c:crosses val="autoZero"/>
        <c:crossBetween val="midCat"/>
      </c:valAx>
      <c:valAx>
        <c:axId val="18685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Demand(00s)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50830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Price</a:t>
            </a:r>
            <a:r>
              <a:rPr lang="en-GB" baseline="0"/>
              <a:t> vs Profit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67344706911634"/>
          <c:y val="0.19208333333333333"/>
          <c:w val="0.80309689413823271"/>
          <c:h val="0.63699037620297461"/>
        </c:manualLayout>
      </c:layout>
      <c:lineChart>
        <c:grouping val="standard"/>
        <c:varyColors val="0"/>
        <c:ser>
          <c:idx val="0"/>
          <c:order val="0"/>
          <c:tx>
            <c:strRef>
              <c:f>Sheet9!$G$39</c:f>
              <c:strCache>
                <c:ptCount val="1"/>
                <c:pt idx="0">
                  <c:v> $9,55,163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Sheet9!$F$40:$F$116</c:f>
              <c:numCache>
                <c:formatCode>_([$$-409]* #,##0_);_([$$-409]* \(#,##0\);_([$$-409]* "-"??_);_(@_)</c:formatCode>
                <c:ptCount val="77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  <c:pt idx="65">
                  <c:v>910</c:v>
                </c:pt>
                <c:pt idx="66">
                  <c:v>920</c:v>
                </c:pt>
                <c:pt idx="67">
                  <c:v>930</c:v>
                </c:pt>
                <c:pt idx="68">
                  <c:v>940</c:v>
                </c:pt>
                <c:pt idx="69">
                  <c:v>950</c:v>
                </c:pt>
                <c:pt idx="70">
                  <c:v>960</c:v>
                </c:pt>
                <c:pt idx="71">
                  <c:v>970</c:v>
                </c:pt>
                <c:pt idx="72">
                  <c:v>980</c:v>
                </c:pt>
                <c:pt idx="73">
                  <c:v>990</c:v>
                </c:pt>
                <c:pt idx="74">
                  <c:v>1000</c:v>
                </c:pt>
                <c:pt idx="75">
                  <c:v>1010</c:v>
                </c:pt>
                <c:pt idx="76">
                  <c:v>1020</c:v>
                </c:pt>
              </c:numCache>
            </c:numRef>
          </c:cat>
          <c:val>
            <c:numRef>
              <c:f>Sheet9!$G$40:$G$116</c:f>
              <c:numCache>
                <c:formatCode>_([$$-409]* #,##0_);_([$$-409]* \(#,##0\);_([$$-409]* "-"??_);_(@_)</c:formatCode>
                <c:ptCount val="77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1024731.2726827315</c:v>
                </c:pt>
                <c:pt idx="36">
                  <c:v>1021022.2237432048</c:v>
                </c:pt>
                <c:pt idx="37">
                  <c:v>1017088.2634793159</c:v>
                </c:pt>
                <c:pt idx="38">
                  <c:v>1012954.7173026291</c:v>
                </c:pt>
                <c:pt idx="39">
                  <c:v>1008644.4924491229</c:v>
                </c:pt>
                <c:pt idx="40">
                  <c:v>1004178.3234829371</c:v>
                </c:pt>
                <c:pt idx="41">
                  <c:v>999574.99043870345</c:v>
                </c:pt>
                <c:pt idx="42">
                  <c:v>994851.51295467373</c:v>
                </c:pt>
                <c:pt idx="43">
                  <c:v>990023.32329994719</c:v>
                </c:pt>
                <c:pt idx="44">
                  <c:v>985104.42081539321</c:v>
                </c:pt>
                <c:pt idx="45">
                  <c:v>980107.50995916908</c:v>
                </c:pt>
                <c:pt idx="46">
                  <c:v>975044.1238656675</c:v>
                </c:pt>
                <c:pt idx="47">
                  <c:v>969924.73508398188</c:v>
                </c:pt>
                <c:pt idx="48">
                  <c:v>964758.8549528002</c:v>
                </c:pt>
                <c:pt idx="49">
                  <c:v>959555.12288789009</c:v>
                </c:pt>
                <c:pt idx="50">
                  <c:v>954321.38670201262</c:v>
                </c:pt>
                <c:pt idx="51">
                  <c:v>949064.7749414182</c:v>
                </c:pt>
                <c:pt idx="52">
                  <c:v>943791.76210536808</c:v>
                </c:pt>
                <c:pt idx="53">
                  <c:v>938508.22751260083</c:v>
                </c:pt>
                <c:pt idx="54">
                  <c:v>933219.50848926988</c:v>
                </c:pt>
                <c:pt idx="55">
                  <c:v>927930.44847494666</c:v>
                </c:pt>
                <c:pt idx="56">
                  <c:v>922645.44057495799</c:v>
                </c:pt>
                <c:pt idx="57">
                  <c:v>917368.46702761366</c:v>
                </c:pt>
                <c:pt idx="58">
                  <c:v>912103.13500239153</c:v>
                </c:pt>
                <c:pt idx="59">
                  <c:v>906852.70909909625</c:v>
                </c:pt>
                <c:pt idx="60">
                  <c:v>901620.14087741717</c:v>
                </c:pt>
                <c:pt idx="61">
                  <c:v>896408.09571059258</c:v>
                </c:pt>
                <c:pt idx="62">
                  <c:v>891218.97722535138</c:v>
                </c:pt>
                <c:pt idx="63">
                  <c:v>886054.94956237264</c:v>
                </c:pt>
                <c:pt idx="64">
                  <c:v>880917.95766693447</c:v>
                </c:pt>
                <c:pt idx="65">
                  <c:v>875809.74579744879</c:v>
                </c:pt>
                <c:pt idx="66">
                  <c:v>870731.87442029815</c:v>
                </c:pt>
                <c:pt idx="67">
                  <c:v>865685.73564207088</c:v>
                </c:pt>
                <c:pt idx="68">
                  <c:v>860672.56731504342</c:v>
                </c:pt>
                <c:pt idx="69">
                  <c:v>855693.46593807475</c:v>
                </c:pt>
                <c:pt idx="70">
                  <c:v>850749.39846291335</c:v>
                </c:pt>
                <c:pt idx="71">
                  <c:v>845841.21310510824</c:v>
                </c:pt>
                <c:pt idx="72">
                  <c:v>840969.6492489638</c:v>
                </c:pt>
                <c:pt idx="73">
                  <c:v>836135.34652733605</c:v>
                </c:pt>
                <c:pt idx="74">
                  <c:v>831338.85314930137</c:v>
                </c:pt>
                <c:pt idx="75">
                  <c:v>826580.6335417449</c:v>
                </c:pt>
                <c:pt idx="76">
                  <c:v>821861.07536470343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9B-6146-93E9-B4C6A677A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35088"/>
        <c:axId val="2058992399"/>
      </c:lineChart>
      <c:catAx>
        <c:axId val="62335088"/>
        <c:scaling>
          <c:orientation val="minMax"/>
        </c:scaling>
        <c:delete val="0"/>
        <c:axPos val="b"/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992399"/>
        <c:crosses val="autoZero"/>
        <c:auto val="1"/>
        <c:lblAlgn val="ctr"/>
        <c:lblOffset val="100"/>
        <c:noMultiLvlLbl val="0"/>
      </c:catAx>
      <c:valAx>
        <c:axId val="205899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68790</xdr:colOff>
      <xdr:row>2</xdr:row>
      <xdr:rowOff>101248</xdr:rowOff>
    </xdr:from>
    <xdr:to>
      <xdr:col>12</xdr:col>
      <xdr:colOff>495651</xdr:colOff>
      <xdr:row>15</xdr:row>
      <xdr:rowOff>198615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1A2E2D-6B37-3022-BA9C-058305C8C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746760</xdr:colOff>
      <xdr:row>16</xdr:row>
      <xdr:rowOff>142240</xdr:rowOff>
    </xdr:from>
    <xdr:to>
      <xdr:col>8</xdr:col>
      <xdr:colOff>269240</xdr:colOff>
      <xdr:row>30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8940E2-A404-9479-EEA4-268C70309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260350</xdr:colOff>
      <xdr:row>3</xdr:row>
      <xdr:rowOff>50800</xdr:rowOff>
    </xdr:from>
    <xdr:to>
      <xdr:col>13</xdr:col>
      <xdr:colOff>704850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FC4D15-857F-A53A-AEF9-86D20FD44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776941</xdr:colOff>
      <xdr:row>16</xdr:row>
      <xdr:rowOff>141195</xdr:rowOff>
    </xdr:from>
    <xdr:to>
      <xdr:col>7</xdr:col>
      <xdr:colOff>763868</xdr:colOff>
      <xdr:row>30</xdr:row>
      <xdr:rowOff>8218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45AF87-494B-778A-A639-AACDE644F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312185</xdr:colOff>
      <xdr:row>5</xdr:row>
      <xdr:rowOff>47867</xdr:rowOff>
    </xdr:from>
    <xdr:to>
      <xdr:col>14</xdr:col>
      <xdr:colOff>767515</xdr:colOff>
      <xdr:row>18</xdr:row>
      <xdr:rowOff>137019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1FD289-901D-4DC1-E8E2-CA4616006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565150</xdr:colOff>
      <xdr:row>5</xdr:row>
      <xdr:rowOff>44450</xdr:rowOff>
    </xdr:from>
    <xdr:to>
      <xdr:col>24</xdr:col>
      <xdr:colOff>38100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C38F0-6B3F-3F7F-A41B-8E0D294C4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787400</xdr:colOff>
      <xdr:row>5</xdr:row>
      <xdr:rowOff>12700</xdr:rowOff>
    </xdr:from>
    <xdr:to>
      <xdr:col>16</xdr:col>
      <xdr:colOff>260350</xdr:colOff>
      <xdr:row>19</xdr:row>
      <xdr:rowOff>234950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D0E717-CD52-424D-B53D-ADCC863C8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533400</xdr:colOff>
      <xdr:row>19</xdr:row>
      <xdr:rowOff>254000</xdr:rowOff>
    </xdr:from>
    <xdr:to>
      <xdr:col>25</xdr:col>
      <xdr:colOff>6350</xdr:colOff>
      <xdr:row>33</xdr:row>
      <xdr:rowOff>209550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F15A2F-687B-704B-B3C6-8514B6887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133350</xdr:colOff>
      <xdr:row>20</xdr:row>
      <xdr:rowOff>196850</xdr:rowOff>
    </xdr:from>
    <xdr:to>
      <xdr:col>15</xdr:col>
      <xdr:colOff>577850</xdr:colOff>
      <xdr:row>31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D07464-E106-85C9-104A-2095C328C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07A7E7-04A5-1244-8991-E369DF183C60}" name="Table2" displayName="Table2" ref="F3:G8" totalsRowShown="0">
  <autoFilter ref="F3:G8" xr:uid="{1607A7E7-04A5-1244-8991-E369DF183C60}"/>
  <tableColumns count="2">
    <tableColumn id="1" xr3:uid="{4AF9A8A1-180B-E847-860A-21A17222DEA0}" name="Ordered"/>
    <tableColumn id="2" xr3:uid="{8F001CBC-BC8E-AD46-B225-0CB13A4233A2}" name="Unit Cost" dataDxfId="9" dataCellStyle="Currenc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FABAB-A358-A344-BAA9-5A8957C4905A}" name="Table1" displayName="Table1" ref="A2:C14" totalsRowShown="0" headerRowDxfId="5" dataDxfId="4">
  <autoFilter ref="A2:C14" xr:uid="{7D1FABAB-A358-A344-BAA9-5A8957C4905A}"/>
  <tableColumns count="3">
    <tableColumn id="1" xr3:uid="{68EBE6AC-BFB1-CD4C-AB1B-F4B27AE1CF77}" name="Month" dataDxfId="8"/>
    <tableColumn id="2" xr3:uid="{6730E071-1B64-D747-A22B-731A9350E14E}" name="Price" dataDxfId="7"/>
    <tableColumn id="3" xr3:uid="{57F80ACD-B2C9-CC43-88CB-336DBFF52C8D}" name="Demand (00s)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A0D9-F411-E045-881C-09687236EF98}">
  <sheetPr codeName="Sheet1"/>
  <dimension ref="A1:C22"/>
  <sheetViews>
    <sheetView workbookViewId="0">
      <selection sqref="A1:B1"/>
    </sheetView>
  </sheetViews>
  <sheetFormatPr baseColWidth="10" defaultRowHeight="16" x14ac:dyDescent="0.2"/>
  <cols>
    <col min="1" max="1" width="19.1640625" customWidth="1"/>
    <col min="2" max="2" width="21.33203125" bestFit="1" customWidth="1"/>
  </cols>
  <sheetData>
    <row r="1" spans="1:3" ht="21" thickBot="1" x14ac:dyDescent="0.3">
      <c r="A1" s="78" t="s">
        <v>0</v>
      </c>
      <c r="B1" s="78"/>
    </row>
    <row r="2" spans="1:3" ht="17" thickTop="1" x14ac:dyDescent="0.2"/>
    <row r="3" spans="1:3" x14ac:dyDescent="0.2">
      <c r="A3" s="2" t="s">
        <v>1</v>
      </c>
    </row>
    <row r="4" spans="1:3" x14ac:dyDescent="0.2">
      <c r="A4" s="5" t="s">
        <v>2</v>
      </c>
      <c r="B4" s="8">
        <v>50000</v>
      </c>
    </row>
    <row r="5" spans="1:3" x14ac:dyDescent="0.2">
      <c r="A5" s="5" t="s">
        <v>3</v>
      </c>
      <c r="B5" s="8">
        <f>22%*B4</f>
        <v>11000</v>
      </c>
      <c r="C5" t="str">
        <f ca="1">_xlfn.FORMULATEXT(B5)</f>
        <v>=22%*B4</v>
      </c>
    </row>
    <row r="6" spans="1:3" x14ac:dyDescent="0.2">
      <c r="A6" s="5" t="s">
        <v>4</v>
      </c>
      <c r="B6" s="8">
        <v>5000</v>
      </c>
    </row>
    <row r="7" spans="1:3" x14ac:dyDescent="0.2">
      <c r="A7" s="5" t="s">
        <v>5</v>
      </c>
      <c r="B7" s="8">
        <v>500</v>
      </c>
    </row>
    <row r="8" spans="1:3" x14ac:dyDescent="0.2">
      <c r="A8" s="5" t="s">
        <v>6</v>
      </c>
      <c r="B8" s="8">
        <v>4000</v>
      </c>
    </row>
    <row r="9" spans="1:3" x14ac:dyDescent="0.2">
      <c r="A9" s="6" t="s">
        <v>7</v>
      </c>
      <c r="B9" s="9">
        <f>B4- B5-B6-B7-B8</f>
        <v>29500</v>
      </c>
      <c r="C9" t="str">
        <f ca="1">_xlfn.FORMULATEXT(B9)</f>
        <v>=B4- B5-B6-B7-B8</v>
      </c>
    </row>
    <row r="10" spans="1:3" x14ac:dyDescent="0.2">
      <c r="B10" s="8"/>
    </row>
    <row r="11" spans="1:3" x14ac:dyDescent="0.2">
      <c r="A11" s="2" t="s">
        <v>8</v>
      </c>
      <c r="B11" s="8"/>
    </row>
    <row r="12" spans="1:3" x14ac:dyDescent="0.2">
      <c r="A12" s="5" t="s">
        <v>9</v>
      </c>
      <c r="B12" s="8">
        <f>500*12</f>
        <v>6000</v>
      </c>
    </row>
    <row r="13" spans="1:3" x14ac:dyDescent="0.2">
      <c r="A13" s="5" t="s">
        <v>10</v>
      </c>
      <c r="B13" s="8">
        <v>5000</v>
      </c>
    </row>
    <row r="14" spans="1:3" x14ac:dyDescent="0.2">
      <c r="A14" s="5" t="s">
        <v>11</v>
      </c>
      <c r="B14" s="8">
        <v>5000</v>
      </c>
    </row>
    <row r="15" spans="1:3" x14ac:dyDescent="0.2">
      <c r="A15" s="5" t="s">
        <v>12</v>
      </c>
      <c r="B15" s="8">
        <v>1000</v>
      </c>
    </row>
    <row r="16" spans="1:3" x14ac:dyDescent="0.2">
      <c r="A16" s="5" t="s">
        <v>13</v>
      </c>
      <c r="B16" s="8">
        <v>1000</v>
      </c>
    </row>
    <row r="17" spans="1:3" x14ac:dyDescent="0.2">
      <c r="A17" s="5" t="s">
        <v>14</v>
      </c>
      <c r="B17" s="8">
        <v>0</v>
      </c>
    </row>
    <row r="18" spans="1:3" x14ac:dyDescent="0.2">
      <c r="A18" s="5" t="s">
        <v>15</v>
      </c>
      <c r="B18" s="8">
        <v>500</v>
      </c>
    </row>
    <row r="19" spans="1:3" x14ac:dyDescent="0.2">
      <c r="A19" s="5" t="s">
        <v>16</v>
      </c>
      <c r="B19" s="8">
        <v>1000</v>
      </c>
    </row>
    <row r="20" spans="1:3" x14ac:dyDescent="0.2">
      <c r="A20" s="5" t="s">
        <v>17</v>
      </c>
      <c r="B20" s="8">
        <v>10000</v>
      </c>
    </row>
    <row r="21" spans="1:3" x14ac:dyDescent="0.2">
      <c r="A21" s="2" t="s">
        <v>18</v>
      </c>
      <c r="B21" s="9">
        <f>SUM(B12:B20)</f>
        <v>29500</v>
      </c>
      <c r="C21" t="str">
        <f ca="1">_xlfn.FORMULATEXT(B21)</f>
        <v>=SUM(B12:B20)</v>
      </c>
    </row>
    <row r="22" spans="1:3" x14ac:dyDescent="0.2">
      <c r="A22" s="2" t="s">
        <v>19</v>
      </c>
      <c r="B22" s="10">
        <f>B9-B21</f>
        <v>0</v>
      </c>
      <c r="C22" t="str">
        <f ca="1">_xlfn.FORMULATEXT(B22)</f>
        <v>=B9-B21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E9AA-BCB2-A244-B596-AECCFC1B3B98}">
  <sheetPr codeName="Sheet2"/>
  <dimension ref="A1:C19"/>
  <sheetViews>
    <sheetView zoomScale="150" workbookViewId="0">
      <selection activeCell="D20" sqref="D20"/>
    </sheetView>
  </sheetViews>
  <sheetFormatPr baseColWidth="10" defaultRowHeight="16" x14ac:dyDescent="0.2"/>
  <cols>
    <col min="1" max="1" width="33.5" customWidth="1"/>
    <col min="2" max="2" width="11.5" bestFit="1" customWidth="1"/>
  </cols>
  <sheetData>
    <row r="1" spans="1:3" ht="21" thickBot="1" x14ac:dyDescent="0.3">
      <c r="A1" s="78" t="s">
        <v>20</v>
      </c>
      <c r="B1" s="78"/>
      <c r="C1" s="78"/>
    </row>
    <row r="2" spans="1:3" ht="17" thickTop="1" x14ac:dyDescent="0.2"/>
    <row r="3" spans="1:3" x14ac:dyDescent="0.2">
      <c r="A3" t="s">
        <v>21</v>
      </c>
    </row>
    <row r="4" spans="1:3" x14ac:dyDescent="0.2">
      <c r="A4" s="2" t="s">
        <v>22</v>
      </c>
    </row>
    <row r="5" spans="1:3" x14ac:dyDescent="0.2">
      <c r="A5" s="5" t="s">
        <v>23</v>
      </c>
      <c r="B5" s="1">
        <v>750</v>
      </c>
    </row>
    <row r="6" spans="1:3" x14ac:dyDescent="0.2">
      <c r="A6" s="5" t="s">
        <v>24</v>
      </c>
      <c r="B6" s="1">
        <v>8</v>
      </c>
      <c r="C6" t="s">
        <v>25</v>
      </c>
    </row>
    <row r="7" spans="1:3" x14ac:dyDescent="0.2">
      <c r="A7" s="2" t="s">
        <v>28</v>
      </c>
      <c r="B7" s="1"/>
    </row>
    <row r="8" spans="1:3" x14ac:dyDescent="0.2">
      <c r="A8" s="5" t="s">
        <v>29</v>
      </c>
      <c r="B8" s="1">
        <v>18</v>
      </c>
      <c r="C8" t="s">
        <v>25</v>
      </c>
    </row>
    <row r="9" spans="1:3" x14ac:dyDescent="0.2">
      <c r="A9" s="5" t="s">
        <v>30</v>
      </c>
      <c r="B9" s="1">
        <v>6</v>
      </c>
      <c r="C9" t="s">
        <v>25</v>
      </c>
    </row>
    <row r="12" spans="1:3" x14ac:dyDescent="0.2">
      <c r="A12" t="s">
        <v>26</v>
      </c>
      <c r="B12" s="12">
        <v>1650</v>
      </c>
    </row>
    <row r="13" spans="1:3" x14ac:dyDescent="0.2">
      <c r="A13" t="s">
        <v>35</v>
      </c>
      <c r="B13" s="12">
        <v>1500</v>
      </c>
    </row>
    <row r="14" spans="1:3" x14ac:dyDescent="0.2">
      <c r="A14" t="s">
        <v>31</v>
      </c>
      <c r="B14">
        <f>MIN(B12:B13)</f>
        <v>1500</v>
      </c>
      <c r="C14" t="str">
        <f ca="1">_xlfn.FORMULATEXT(B14)</f>
        <v>=MIN(B12:B13)</v>
      </c>
    </row>
    <row r="15" spans="1:3" x14ac:dyDescent="0.2">
      <c r="A15" t="s">
        <v>32</v>
      </c>
      <c r="B15">
        <f>MAX(B12-B13,0)</f>
        <v>150</v>
      </c>
      <c r="C15" t="str">
        <f ca="1">_xlfn.FORMULATEXT(B15)</f>
        <v>=MAX(B12-B13,0)</v>
      </c>
    </row>
    <row r="17" spans="1:3" x14ac:dyDescent="0.2">
      <c r="A17" s="13" t="s">
        <v>27</v>
      </c>
      <c r="B17" s="14">
        <f>B5+B6*B12</f>
        <v>13950</v>
      </c>
      <c r="C17" t="str">
        <f ca="1">_xlfn.FORMULATEXT(B17)</f>
        <v>=B5+B6*B12</v>
      </c>
    </row>
    <row r="18" spans="1:3" x14ac:dyDescent="0.2">
      <c r="A18" s="13" t="s">
        <v>33</v>
      </c>
      <c r="B18" s="14">
        <f>B8*B14+B9*B15</f>
        <v>27900</v>
      </c>
      <c r="C18" t="str">
        <f ca="1">_xlfn.FORMULATEXT(B18)</f>
        <v>=B8*B14+B9*B15</v>
      </c>
    </row>
    <row r="19" spans="1:3" x14ac:dyDescent="0.2">
      <c r="A19" s="13" t="s">
        <v>34</v>
      </c>
      <c r="B19">
        <f>B18-B17</f>
        <v>13950</v>
      </c>
      <c r="C19" t="str">
        <f ca="1">_xlfn.FORMULATEXT(B19)</f>
        <v>=B18-B17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0C9A-CA38-904E-A3B3-D74889FFFD20}">
  <sheetPr codeName="Sheet3"/>
  <dimension ref="A1:F22"/>
  <sheetViews>
    <sheetView zoomScale="144" workbookViewId="0">
      <selection activeCell="J20" sqref="J20"/>
    </sheetView>
  </sheetViews>
  <sheetFormatPr baseColWidth="10" defaultRowHeight="16" x14ac:dyDescent="0.2"/>
  <cols>
    <col min="1" max="1" width="15.83203125" customWidth="1"/>
    <col min="3" max="3" width="12.5" customWidth="1"/>
  </cols>
  <sheetData>
    <row r="1" spans="1:6" ht="20" x14ac:dyDescent="0.25">
      <c r="A1" s="79" t="s">
        <v>36</v>
      </c>
      <c r="B1" s="79"/>
      <c r="C1" s="79"/>
    </row>
    <row r="3" spans="1:6" x14ac:dyDescent="0.2">
      <c r="A3" s="7" t="s">
        <v>22</v>
      </c>
      <c r="B3" s="17" t="s">
        <v>37</v>
      </c>
      <c r="C3" s="17" t="s">
        <v>41</v>
      </c>
    </row>
    <row r="4" spans="1:6" x14ac:dyDescent="0.2">
      <c r="A4" s="4" t="s">
        <v>38</v>
      </c>
      <c r="B4" s="15">
        <v>5.5</v>
      </c>
      <c r="C4" s="15">
        <v>4.3</v>
      </c>
      <c r="D4" s="3"/>
    </row>
    <row r="5" spans="1:6" x14ac:dyDescent="0.2">
      <c r="A5" s="4" t="s">
        <v>39</v>
      </c>
      <c r="B5" s="3">
        <v>30</v>
      </c>
      <c r="C5" s="3">
        <v>30</v>
      </c>
      <c r="D5" s="3"/>
    </row>
    <row r="6" spans="1:6" x14ac:dyDescent="0.2">
      <c r="A6" s="4" t="s">
        <v>40</v>
      </c>
      <c r="B6" s="16">
        <f>B4*B5</f>
        <v>165</v>
      </c>
      <c r="C6" s="16">
        <f>C4*C5</f>
        <v>129</v>
      </c>
      <c r="D6" s="3"/>
    </row>
    <row r="7" spans="1:6" x14ac:dyDescent="0.2">
      <c r="A7" s="5"/>
      <c r="B7" s="3"/>
      <c r="C7" s="3"/>
      <c r="D7" s="3"/>
    </row>
    <row r="8" spans="1:6" x14ac:dyDescent="0.2">
      <c r="A8" s="4" t="s">
        <v>42</v>
      </c>
      <c r="B8" s="3">
        <v>16</v>
      </c>
      <c r="C8" s="3">
        <v>16</v>
      </c>
      <c r="D8" s="3"/>
    </row>
    <row r="9" spans="1:6" x14ac:dyDescent="0.2">
      <c r="A9" s="4" t="s">
        <v>43</v>
      </c>
      <c r="B9" s="15">
        <v>18.5</v>
      </c>
      <c r="C9" s="15">
        <v>18.5</v>
      </c>
      <c r="D9" s="3"/>
    </row>
    <row r="10" spans="1:6" x14ac:dyDescent="0.2">
      <c r="A10" s="4" t="s">
        <v>44</v>
      </c>
      <c r="B10" s="16">
        <f>B8*B9</f>
        <v>296</v>
      </c>
      <c r="C10" s="16">
        <f>C8*C9</f>
        <v>296</v>
      </c>
      <c r="D10" s="3"/>
    </row>
    <row r="11" spans="1:6" x14ac:dyDescent="0.2">
      <c r="A11" s="5"/>
      <c r="B11" s="15"/>
      <c r="C11" s="3"/>
      <c r="D11" s="3"/>
    </row>
    <row r="12" spans="1:6" x14ac:dyDescent="0.2">
      <c r="A12" s="4" t="s">
        <v>27</v>
      </c>
      <c r="B12" s="15">
        <f>B6+B10</f>
        <v>461</v>
      </c>
      <c r="C12" s="16">
        <f>C6+C10</f>
        <v>425</v>
      </c>
      <c r="D12" s="3"/>
    </row>
    <row r="13" spans="1:6" x14ac:dyDescent="0.2">
      <c r="A13" s="5"/>
      <c r="B13" s="15"/>
      <c r="C13" s="3"/>
      <c r="D13" s="3"/>
    </row>
    <row r="14" spans="1:6" x14ac:dyDescent="0.2">
      <c r="A14" s="4" t="s">
        <v>45</v>
      </c>
      <c r="B14" s="28">
        <v>2.4E-2</v>
      </c>
      <c r="C14" s="28">
        <v>1.7000000000000001E-2</v>
      </c>
      <c r="D14" s="28">
        <v>1.4999999999999999E-2</v>
      </c>
    </row>
    <row r="15" spans="1:6" ht="17" thickBot="1" x14ac:dyDescent="0.25">
      <c r="A15" s="4"/>
    </row>
    <row r="16" spans="1:6" x14ac:dyDescent="0.2">
      <c r="A16" s="21" t="s">
        <v>46</v>
      </c>
      <c r="B16" s="19" t="s">
        <v>37</v>
      </c>
      <c r="C16" s="20" t="s">
        <v>41</v>
      </c>
      <c r="D16" s="20" t="s">
        <v>47</v>
      </c>
      <c r="E16" s="22" t="s">
        <v>48</v>
      </c>
      <c r="F16" s="23" t="s">
        <v>49</v>
      </c>
    </row>
    <row r="17" spans="1:6" x14ac:dyDescent="0.2">
      <c r="A17" s="24">
        <v>0</v>
      </c>
      <c r="B17" s="25">
        <f>B6</f>
        <v>165</v>
      </c>
      <c r="C17" s="18">
        <f>C6</f>
        <v>129</v>
      </c>
      <c r="D17" s="18">
        <f>B10</f>
        <v>296</v>
      </c>
      <c r="E17" s="18">
        <f>B17+D17</f>
        <v>461</v>
      </c>
      <c r="F17" s="26">
        <f>C17+D17</f>
        <v>425</v>
      </c>
    </row>
    <row r="18" spans="1:6" x14ac:dyDescent="0.2">
      <c r="A18" s="24">
        <v>1</v>
      </c>
      <c r="B18" s="25">
        <f>B17*(1+$B$14)</f>
        <v>168.96</v>
      </c>
      <c r="C18" s="18">
        <f>C17*(1+$C$14)</f>
        <v>131.19299999999998</v>
      </c>
      <c r="D18" s="18">
        <f>D17*(1+$D$14)</f>
        <v>300.44</v>
      </c>
      <c r="E18" s="18">
        <f>B18+D18</f>
        <v>469.4</v>
      </c>
      <c r="F18" s="26">
        <f>C18+D18</f>
        <v>431.63299999999998</v>
      </c>
    </row>
    <row r="19" spans="1:6" x14ac:dyDescent="0.2">
      <c r="A19" s="24">
        <v>2</v>
      </c>
      <c r="B19" s="25">
        <f>B18*(1+$B$14)</f>
        <v>173.01504</v>
      </c>
      <c r="C19" s="18">
        <f t="shared" ref="C19:C22" si="0">C18*(1+$C$14)</f>
        <v>133.42328099999997</v>
      </c>
      <c r="D19" s="18">
        <f t="shared" ref="D19:D22" si="1">D18*(1+$D$14)</f>
        <v>304.94659999999999</v>
      </c>
      <c r="E19" s="18">
        <f t="shared" ref="E19:E22" si="2">B19+D19</f>
        <v>477.96163999999999</v>
      </c>
      <c r="F19" s="26">
        <f t="shared" ref="F19:F22" si="3">C19+D19</f>
        <v>438.36988099999996</v>
      </c>
    </row>
    <row r="20" spans="1:6" x14ac:dyDescent="0.2">
      <c r="A20" s="24">
        <v>3</v>
      </c>
      <c r="B20" s="25">
        <f t="shared" ref="B20:B22" si="4">B19*(1+$B$14)</f>
        <v>177.16740096000001</v>
      </c>
      <c r="C20" s="18">
        <f t="shared" si="0"/>
        <v>135.69147677699996</v>
      </c>
      <c r="D20" s="18">
        <f t="shared" si="1"/>
        <v>309.52079899999995</v>
      </c>
      <c r="E20" s="18">
        <f t="shared" si="2"/>
        <v>486.68819995999996</v>
      </c>
      <c r="F20" s="26">
        <f t="shared" si="3"/>
        <v>445.21227577699995</v>
      </c>
    </row>
    <row r="21" spans="1:6" x14ac:dyDescent="0.2">
      <c r="A21" s="24">
        <v>4</v>
      </c>
      <c r="B21" s="25">
        <f t="shared" si="4"/>
        <v>181.41941858304003</v>
      </c>
      <c r="C21" s="18">
        <f t="shared" si="0"/>
        <v>137.99823188220896</v>
      </c>
      <c r="D21" s="18">
        <f t="shared" si="1"/>
        <v>314.16361098499993</v>
      </c>
      <c r="E21" s="18">
        <f t="shared" si="2"/>
        <v>495.58302956803993</v>
      </c>
      <c r="F21" s="26">
        <f t="shared" si="3"/>
        <v>452.16184286720886</v>
      </c>
    </row>
    <row r="22" spans="1:6" ht="17" thickBot="1" x14ac:dyDescent="0.25">
      <c r="A22" s="27">
        <v>5</v>
      </c>
      <c r="B22" s="25">
        <f t="shared" si="4"/>
        <v>185.77348462903299</v>
      </c>
      <c r="C22" s="18">
        <f t="shared" si="0"/>
        <v>140.34420182420649</v>
      </c>
      <c r="D22" s="18">
        <f t="shared" si="1"/>
        <v>318.87606514977489</v>
      </c>
      <c r="E22" s="18">
        <f t="shared" si="2"/>
        <v>504.64954977880791</v>
      </c>
      <c r="F22" s="26">
        <f t="shared" si="3"/>
        <v>459.22026697398138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0AB9-3F77-5F46-AF79-0C3917153A3E}">
  <sheetPr codeName="Sheet4"/>
  <dimension ref="A1:F24"/>
  <sheetViews>
    <sheetView zoomScale="125" workbookViewId="0">
      <selection activeCell="C20" sqref="C20"/>
    </sheetView>
  </sheetViews>
  <sheetFormatPr baseColWidth="10" defaultRowHeight="15" x14ac:dyDescent="0.2"/>
  <cols>
    <col min="1" max="1" width="29" style="29" customWidth="1"/>
    <col min="2" max="2" width="13" style="29" bestFit="1" customWidth="1"/>
    <col min="3" max="4" width="10.83203125" style="29"/>
    <col min="5" max="5" width="17" style="29" customWidth="1"/>
    <col min="6" max="6" width="16.83203125" style="29" customWidth="1"/>
    <col min="7" max="16384" width="10.83203125" style="29"/>
  </cols>
  <sheetData>
    <row r="1" spans="1:6" ht="16" thickBot="1" x14ac:dyDescent="0.25">
      <c r="A1" s="80" t="s">
        <v>50</v>
      </c>
      <c r="B1" s="80"/>
      <c r="E1" s="29" t="s">
        <v>67</v>
      </c>
    </row>
    <row r="2" spans="1:6" ht="16" thickTop="1" x14ac:dyDescent="0.2"/>
    <row r="3" spans="1:6" x14ac:dyDescent="0.2">
      <c r="A3" s="29" t="s">
        <v>56</v>
      </c>
      <c r="E3" s="29" t="s">
        <v>60</v>
      </c>
      <c r="F3" s="29" t="s">
        <v>68</v>
      </c>
    </row>
    <row r="4" spans="1:6" x14ac:dyDescent="0.2">
      <c r="A4" s="29" t="s">
        <v>22</v>
      </c>
      <c r="F4" s="39">
        <f>B24</f>
        <v>239.9999999999709</v>
      </c>
    </row>
    <row r="5" spans="1:6" x14ac:dyDescent="0.2">
      <c r="A5" s="30" t="s">
        <v>51</v>
      </c>
      <c r="B5" s="31">
        <v>20000</v>
      </c>
      <c r="E5" s="37">
        <v>0.03</v>
      </c>
      <c r="F5" s="40">
        <f t="dataTable" ref="F5:F15" dt2D="0" dtr="0" r1="B13"/>
        <v>-21600</v>
      </c>
    </row>
    <row r="6" spans="1:6" x14ac:dyDescent="0.2">
      <c r="A6" s="29" t="s">
        <v>24</v>
      </c>
      <c r="B6" s="31"/>
      <c r="E6" s="38">
        <v>3.5000000000000003E-2</v>
      </c>
      <c r="F6" s="40">
        <v>-17700</v>
      </c>
    </row>
    <row r="7" spans="1:6" x14ac:dyDescent="0.2">
      <c r="A7" s="30" t="s">
        <v>51</v>
      </c>
      <c r="B7" s="31">
        <v>0.1</v>
      </c>
      <c r="C7" s="29" t="s">
        <v>52</v>
      </c>
      <c r="E7" s="37">
        <v>0.04</v>
      </c>
      <c r="F7" s="40">
        <v>-13800</v>
      </c>
    </row>
    <row r="8" spans="1:6" x14ac:dyDescent="0.2">
      <c r="A8" s="30" t="s">
        <v>53</v>
      </c>
      <c r="B8" s="31">
        <v>0.15</v>
      </c>
      <c r="C8" s="29" t="s">
        <v>52</v>
      </c>
      <c r="E8" s="38">
        <v>4.4999999999999998E-2</v>
      </c>
      <c r="F8" s="40">
        <v>-9900</v>
      </c>
    </row>
    <row r="9" spans="1:6" x14ac:dyDescent="0.2">
      <c r="A9" s="30" t="s">
        <v>54</v>
      </c>
      <c r="B9" s="31">
        <v>0.2</v>
      </c>
      <c r="C9" s="29" t="s">
        <v>55</v>
      </c>
      <c r="E9" s="37">
        <v>0.05</v>
      </c>
      <c r="F9" s="40">
        <v>-6000</v>
      </c>
    </row>
    <row r="10" spans="1:6" x14ac:dyDescent="0.2">
      <c r="A10" s="30" t="s">
        <v>57</v>
      </c>
      <c r="B10" s="31">
        <v>32</v>
      </c>
      <c r="C10" s="29" t="s">
        <v>55</v>
      </c>
      <c r="E10" s="38">
        <v>5.5E-2</v>
      </c>
      <c r="F10" s="40">
        <v>-2100.0000000000291</v>
      </c>
    </row>
    <row r="11" spans="1:6" x14ac:dyDescent="0.2">
      <c r="A11" s="30"/>
      <c r="B11" s="31"/>
      <c r="E11" s="37">
        <v>0.06</v>
      </c>
      <c r="F11" s="40">
        <v>1799.9999999999709</v>
      </c>
    </row>
    <row r="12" spans="1:6" x14ac:dyDescent="0.2">
      <c r="A12" s="30" t="s">
        <v>59</v>
      </c>
      <c r="B12" s="35">
        <v>100000</v>
      </c>
      <c r="E12" s="38">
        <v>6.5000000000000002E-2</v>
      </c>
      <c r="F12" s="40">
        <v>5699.9999999999709</v>
      </c>
    </row>
    <row r="13" spans="1:6" x14ac:dyDescent="0.2">
      <c r="A13" s="30" t="s">
        <v>60</v>
      </c>
      <c r="B13" s="41">
        <v>5.8000000000000003E-2</v>
      </c>
      <c r="C13" s="29" t="s">
        <v>61</v>
      </c>
      <c r="E13" s="37">
        <v>7.0000000000000007E-2</v>
      </c>
      <c r="F13" s="40">
        <v>9600</v>
      </c>
    </row>
    <row r="14" spans="1:6" x14ac:dyDescent="0.2">
      <c r="A14" s="30" t="s">
        <v>62</v>
      </c>
      <c r="B14" s="35">
        <f>B13*B12</f>
        <v>5800</v>
      </c>
      <c r="E14" s="38">
        <v>7.4999999999999997E-2</v>
      </c>
      <c r="F14" s="40">
        <v>13500</v>
      </c>
    </row>
    <row r="15" spans="1:6" x14ac:dyDescent="0.2">
      <c r="A15" s="30"/>
      <c r="B15" s="31"/>
      <c r="E15" s="37">
        <v>0.08</v>
      </c>
      <c r="F15" s="40">
        <v>17400</v>
      </c>
    </row>
    <row r="16" spans="1:6" x14ac:dyDescent="0.2">
      <c r="A16" s="32" t="s">
        <v>28</v>
      </c>
    </row>
    <row r="17" spans="1:2" x14ac:dyDescent="0.2">
      <c r="A17" s="30" t="s">
        <v>58</v>
      </c>
      <c r="B17" s="36">
        <v>40</v>
      </c>
    </row>
    <row r="18" spans="1:2" x14ac:dyDescent="0.2">
      <c r="A18" s="29" t="s">
        <v>33</v>
      </c>
      <c r="B18" s="33">
        <f>B17*B14</f>
        <v>232000</v>
      </c>
    </row>
    <row r="20" spans="1:2" x14ac:dyDescent="0.2">
      <c r="A20" s="29" t="s">
        <v>64</v>
      </c>
      <c r="B20" s="33">
        <f>B5+(B7+B8)*B12</f>
        <v>45000</v>
      </c>
    </row>
    <row r="21" spans="1:2" x14ac:dyDescent="0.2">
      <c r="A21" s="29" t="s">
        <v>65</v>
      </c>
      <c r="B21" s="33">
        <f>(B9+B10)*B14</f>
        <v>186760.00000000003</v>
      </c>
    </row>
    <row r="22" spans="1:2" x14ac:dyDescent="0.2">
      <c r="A22" s="29" t="s">
        <v>63</v>
      </c>
      <c r="B22" s="33">
        <f>B21+B20</f>
        <v>231760.00000000003</v>
      </c>
    </row>
    <row r="23" spans="1:2" x14ac:dyDescent="0.2">
      <c r="B23" s="33"/>
    </row>
    <row r="24" spans="1:2" x14ac:dyDescent="0.2">
      <c r="A24" s="29" t="s">
        <v>66</v>
      </c>
      <c r="B24" s="34">
        <f>B18-B22</f>
        <v>239.9999999999709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E810-81B4-504F-8413-3D071F193E3A}">
  <sheetPr codeName="Sheet5"/>
  <dimension ref="A1:F21"/>
  <sheetViews>
    <sheetView workbookViewId="0">
      <selection activeCell="A27" sqref="A27"/>
    </sheetView>
  </sheetViews>
  <sheetFormatPr baseColWidth="10" defaultRowHeight="16" x14ac:dyDescent="0.2"/>
  <cols>
    <col min="1" max="1" width="18.33203125" customWidth="1"/>
    <col min="2" max="2" width="25.33203125" customWidth="1"/>
    <col min="3" max="3" width="20" customWidth="1"/>
  </cols>
  <sheetData>
    <row r="1" spans="1:6" ht="21" thickBot="1" x14ac:dyDescent="0.3">
      <c r="A1" s="78" t="s">
        <v>69</v>
      </c>
      <c r="B1" s="78"/>
    </row>
    <row r="2" spans="1:6" ht="17" thickTop="1" x14ac:dyDescent="0.2"/>
    <row r="3" spans="1:6" x14ac:dyDescent="0.2">
      <c r="A3" s="2" t="s">
        <v>70</v>
      </c>
      <c r="E3" s="2" t="s">
        <v>82</v>
      </c>
    </row>
    <row r="4" spans="1:6" x14ac:dyDescent="0.2">
      <c r="A4" s="5" t="s">
        <v>71</v>
      </c>
      <c r="B4">
        <v>6</v>
      </c>
      <c r="C4" t="s">
        <v>79</v>
      </c>
    </row>
    <row r="5" spans="1:6" x14ac:dyDescent="0.2">
      <c r="A5" s="5" t="s">
        <v>72</v>
      </c>
      <c r="B5" s="12">
        <v>50</v>
      </c>
      <c r="C5" t="s">
        <v>80</v>
      </c>
      <c r="E5" t="s">
        <v>72</v>
      </c>
      <c r="F5" t="s">
        <v>83</v>
      </c>
    </row>
    <row r="6" spans="1:6" x14ac:dyDescent="0.2">
      <c r="F6" s="42">
        <f>B16</f>
        <v>550</v>
      </c>
    </row>
    <row r="7" spans="1:6" x14ac:dyDescent="0.2">
      <c r="A7" s="2" t="s">
        <v>22</v>
      </c>
      <c r="E7">
        <v>10</v>
      </c>
      <c r="F7" s="14">
        <f t="dataTable" ref="F7:F21" dt2D="0" dtr="0" r1="B5"/>
        <v>-290</v>
      </c>
    </row>
    <row r="8" spans="1:6" x14ac:dyDescent="0.2">
      <c r="A8" s="5" t="s">
        <v>73</v>
      </c>
      <c r="B8" s="1">
        <v>500</v>
      </c>
      <c r="E8">
        <v>20</v>
      </c>
      <c r="F8" s="14">
        <v>-80</v>
      </c>
    </row>
    <row r="9" spans="1:6" x14ac:dyDescent="0.2">
      <c r="A9" s="5" t="s">
        <v>74</v>
      </c>
      <c r="B9" s="1">
        <v>0.5</v>
      </c>
      <c r="C9" t="s">
        <v>81</v>
      </c>
      <c r="E9">
        <v>30</v>
      </c>
      <c r="F9" s="14">
        <v>130</v>
      </c>
    </row>
    <row r="10" spans="1:6" x14ac:dyDescent="0.2">
      <c r="A10" s="5" t="s">
        <v>75</v>
      </c>
      <c r="B10" s="14">
        <f>B8+B4*B5*B9</f>
        <v>650</v>
      </c>
      <c r="E10">
        <v>40</v>
      </c>
      <c r="F10" s="14">
        <v>340</v>
      </c>
    </row>
    <row r="11" spans="1:6" x14ac:dyDescent="0.2">
      <c r="E11">
        <v>50</v>
      </c>
      <c r="F11" s="14">
        <v>550</v>
      </c>
    </row>
    <row r="12" spans="1:6" x14ac:dyDescent="0.2">
      <c r="A12" s="2" t="s">
        <v>28</v>
      </c>
      <c r="E12">
        <v>60</v>
      </c>
      <c r="F12" s="14">
        <v>760</v>
      </c>
    </row>
    <row r="13" spans="1:6" x14ac:dyDescent="0.2">
      <c r="A13" s="5" t="s">
        <v>76</v>
      </c>
      <c r="B13" s="1">
        <v>4</v>
      </c>
      <c r="C13" t="s">
        <v>81</v>
      </c>
      <c r="E13">
        <v>70</v>
      </c>
      <c r="F13" s="14">
        <v>970</v>
      </c>
    </row>
    <row r="14" spans="1:6" x14ac:dyDescent="0.2">
      <c r="A14" s="5" t="s">
        <v>77</v>
      </c>
      <c r="B14" s="14">
        <f>B13*B4*B5</f>
        <v>1200</v>
      </c>
      <c r="E14">
        <v>80</v>
      </c>
      <c r="F14" s="14">
        <v>1180</v>
      </c>
    </row>
    <row r="15" spans="1:6" x14ac:dyDescent="0.2">
      <c r="E15">
        <v>90</v>
      </c>
      <c r="F15" s="14">
        <v>1390</v>
      </c>
    </row>
    <row r="16" spans="1:6" x14ac:dyDescent="0.2">
      <c r="A16" s="2" t="s">
        <v>78</v>
      </c>
      <c r="B16" s="14">
        <f>B14-B10</f>
        <v>550</v>
      </c>
      <c r="E16">
        <v>100</v>
      </c>
      <c r="F16" s="14">
        <v>1600</v>
      </c>
    </row>
    <row r="17" spans="5:6" x14ac:dyDescent="0.2">
      <c r="E17">
        <v>110</v>
      </c>
      <c r="F17" s="14">
        <v>1810</v>
      </c>
    </row>
    <row r="18" spans="5:6" x14ac:dyDescent="0.2">
      <c r="E18">
        <v>120</v>
      </c>
      <c r="F18" s="14">
        <v>2020</v>
      </c>
    </row>
    <row r="19" spans="5:6" x14ac:dyDescent="0.2">
      <c r="E19">
        <v>130</v>
      </c>
      <c r="F19" s="14">
        <v>2230</v>
      </c>
    </row>
    <row r="20" spans="5:6" x14ac:dyDescent="0.2">
      <c r="E20">
        <v>140</v>
      </c>
      <c r="F20" s="14">
        <v>2440</v>
      </c>
    </row>
    <row r="21" spans="5:6" x14ac:dyDescent="0.2">
      <c r="E21">
        <v>150</v>
      </c>
      <c r="F21" s="14">
        <v>2650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CDE1-6498-734A-A2FD-B25F7E1E6C6B}">
  <sheetPr codeName="Sheet6"/>
  <dimension ref="A1:R22"/>
  <sheetViews>
    <sheetView workbookViewId="0">
      <selection activeCell="B19" sqref="B19"/>
    </sheetView>
  </sheetViews>
  <sheetFormatPr baseColWidth="10" defaultRowHeight="16" x14ac:dyDescent="0.2"/>
  <cols>
    <col min="1" max="1" width="30.6640625" customWidth="1"/>
    <col min="2" max="2" width="25.33203125" customWidth="1"/>
    <col min="4" max="4" width="10.1640625" customWidth="1"/>
    <col min="5" max="5" width="12" customWidth="1"/>
    <col min="7" max="7" width="11.5" bestFit="1" customWidth="1"/>
    <col min="13" max="13" width="11.1640625" customWidth="1"/>
    <col min="14" max="14" width="10.6640625" customWidth="1"/>
    <col min="18" max="18" width="10.83203125" customWidth="1"/>
  </cols>
  <sheetData>
    <row r="1" spans="1:18" ht="25" thickBot="1" x14ac:dyDescent="0.35">
      <c r="A1" s="81" t="s">
        <v>84</v>
      </c>
      <c r="B1" s="81"/>
      <c r="C1" s="43"/>
    </row>
    <row r="2" spans="1:18" ht="26" thickTop="1" thickBot="1" x14ac:dyDescent="0.35">
      <c r="A2" s="43"/>
      <c r="B2" s="43"/>
      <c r="C2" s="43"/>
      <c r="F2" t="s">
        <v>96</v>
      </c>
    </row>
    <row r="3" spans="1:18" ht="17" thickTop="1" x14ac:dyDescent="0.2">
      <c r="F3" t="s">
        <v>95</v>
      </c>
      <c r="G3" t="s">
        <v>88</v>
      </c>
    </row>
    <row r="4" spans="1:18" x14ac:dyDescent="0.2">
      <c r="F4">
        <v>0</v>
      </c>
      <c r="G4" s="1">
        <v>24</v>
      </c>
    </row>
    <row r="5" spans="1:18" x14ac:dyDescent="0.2">
      <c r="F5">
        <v>1000</v>
      </c>
      <c r="G5" s="1">
        <v>23</v>
      </c>
    </row>
    <row r="6" spans="1:18" x14ac:dyDescent="0.2">
      <c r="A6" s="2" t="s">
        <v>85</v>
      </c>
      <c r="F6">
        <v>2000</v>
      </c>
      <c r="G6" s="1">
        <v>22.5</v>
      </c>
      <c r="N6" s="82"/>
      <c r="O6" s="82"/>
      <c r="P6" s="82"/>
      <c r="Q6" s="82"/>
      <c r="R6" s="82"/>
    </row>
    <row r="7" spans="1:18" x14ac:dyDescent="0.2">
      <c r="A7" s="5" t="s">
        <v>86</v>
      </c>
      <c r="B7" s="1">
        <v>30</v>
      </c>
      <c r="C7" s="1"/>
      <c r="F7">
        <v>3000</v>
      </c>
      <c r="G7" s="1">
        <v>21.75</v>
      </c>
      <c r="N7" s="44"/>
    </row>
    <row r="8" spans="1:18" x14ac:dyDescent="0.2">
      <c r="A8" s="5" t="s">
        <v>87</v>
      </c>
      <c r="B8" s="1">
        <v>10</v>
      </c>
      <c r="C8" s="1"/>
      <c r="F8">
        <v>4000</v>
      </c>
      <c r="G8" s="1">
        <v>21.3</v>
      </c>
    </row>
    <row r="10" spans="1:18" ht="17" thickBot="1" x14ac:dyDescent="0.25">
      <c r="A10" s="2" t="s">
        <v>90</v>
      </c>
      <c r="B10" s="12">
        <v>500</v>
      </c>
      <c r="C10" t="s">
        <v>91</v>
      </c>
    </row>
    <row r="11" spans="1:18" ht="17" thickBot="1" x14ac:dyDescent="0.25">
      <c r="A11" s="2" t="s">
        <v>89</v>
      </c>
      <c r="B11" s="12">
        <v>500</v>
      </c>
      <c r="E11" s="66"/>
      <c r="F11" s="47"/>
      <c r="G11" s="83" t="s">
        <v>35</v>
      </c>
      <c r="H11" s="83"/>
      <c r="I11" s="83"/>
      <c r="J11" s="83"/>
      <c r="K11" s="83"/>
      <c r="L11" s="83"/>
      <c r="M11" s="83"/>
      <c r="N11" s="83"/>
      <c r="O11" s="84"/>
    </row>
    <row r="12" spans="1:18" ht="17" thickBot="1" x14ac:dyDescent="0.25">
      <c r="A12" s="2" t="s">
        <v>92</v>
      </c>
      <c r="B12">
        <f>MAX(B11-B10,0)</f>
        <v>0</v>
      </c>
      <c r="E12" s="85" t="s">
        <v>98</v>
      </c>
      <c r="F12" s="67">
        <f>B22</f>
        <v>3000</v>
      </c>
      <c r="G12" s="54">
        <v>500</v>
      </c>
      <c r="H12" s="55">
        <v>1000</v>
      </c>
      <c r="I12" s="55">
        <v>1500</v>
      </c>
      <c r="J12" s="55">
        <v>2000</v>
      </c>
      <c r="K12" s="55">
        <v>2500</v>
      </c>
      <c r="L12" s="55">
        <v>3000</v>
      </c>
      <c r="M12" s="55">
        <v>3500</v>
      </c>
      <c r="N12" s="55">
        <v>4000</v>
      </c>
      <c r="O12" s="56">
        <v>4500</v>
      </c>
    </row>
    <row r="13" spans="1:18" x14ac:dyDescent="0.2">
      <c r="E13" s="85"/>
      <c r="F13" s="53">
        <v>500</v>
      </c>
      <c r="G13" s="57">
        <f t="dataTable" ref="G13:O21" dt2D="1" dtr="1" r1="B10" r2="B11"/>
        <v>3000</v>
      </c>
      <c r="H13" s="58">
        <v>3000</v>
      </c>
      <c r="I13" s="58">
        <v>3000</v>
      </c>
      <c r="J13" s="58">
        <v>3000</v>
      </c>
      <c r="K13" s="58">
        <v>3000</v>
      </c>
      <c r="L13" s="58">
        <v>3000</v>
      </c>
      <c r="M13" s="58">
        <v>3000</v>
      </c>
      <c r="N13" s="58">
        <v>3000</v>
      </c>
      <c r="O13" s="59">
        <v>3000</v>
      </c>
    </row>
    <row r="14" spans="1:18" x14ac:dyDescent="0.2">
      <c r="E14" s="85"/>
      <c r="F14" s="51">
        <v>1000</v>
      </c>
      <c r="G14" s="60">
        <v>-3000</v>
      </c>
      <c r="H14" s="61">
        <v>7000</v>
      </c>
      <c r="I14" s="61">
        <v>7000</v>
      </c>
      <c r="J14" s="61">
        <v>7000</v>
      </c>
      <c r="K14" s="61">
        <v>7000</v>
      </c>
      <c r="L14" s="61">
        <v>7000</v>
      </c>
      <c r="M14" s="61">
        <v>7000</v>
      </c>
      <c r="N14" s="61">
        <v>7000</v>
      </c>
      <c r="O14" s="62">
        <v>7000</v>
      </c>
    </row>
    <row r="15" spans="1:18" x14ac:dyDescent="0.2">
      <c r="A15" s="5" t="s">
        <v>93</v>
      </c>
      <c r="B15" s="14">
        <f>MIN(B11,B10)*B7</f>
        <v>15000</v>
      </c>
      <c r="E15" s="85"/>
      <c r="F15" s="51">
        <v>1500</v>
      </c>
      <c r="G15" s="60">
        <v>-9500</v>
      </c>
      <c r="H15" s="61">
        <v>500</v>
      </c>
      <c r="I15" s="61">
        <v>10500</v>
      </c>
      <c r="J15" s="61">
        <v>10500</v>
      </c>
      <c r="K15" s="61">
        <v>10500</v>
      </c>
      <c r="L15" s="61">
        <v>10500</v>
      </c>
      <c r="M15" s="61">
        <v>10500</v>
      </c>
      <c r="N15" s="61">
        <v>10500</v>
      </c>
      <c r="O15" s="62">
        <v>10500</v>
      </c>
    </row>
    <row r="16" spans="1:18" x14ac:dyDescent="0.2">
      <c r="A16" s="5" t="s">
        <v>94</v>
      </c>
      <c r="B16" s="14">
        <f>B12*B8</f>
        <v>0</v>
      </c>
      <c r="E16" s="85"/>
      <c r="F16" s="51">
        <v>2000</v>
      </c>
      <c r="G16" s="60">
        <v>-15000</v>
      </c>
      <c r="H16" s="61">
        <v>-5000</v>
      </c>
      <c r="I16" s="61">
        <v>5000</v>
      </c>
      <c r="J16" s="61">
        <v>15000</v>
      </c>
      <c r="K16" s="61">
        <v>15000</v>
      </c>
      <c r="L16" s="61">
        <v>15000</v>
      </c>
      <c r="M16" s="61">
        <v>15000</v>
      </c>
      <c r="N16" s="61">
        <v>15000</v>
      </c>
      <c r="O16" s="62">
        <v>15000</v>
      </c>
    </row>
    <row r="17" spans="1:15" x14ac:dyDescent="0.2">
      <c r="A17" s="2" t="s">
        <v>33</v>
      </c>
      <c r="B17" s="14">
        <f>B15+B16</f>
        <v>15000</v>
      </c>
      <c r="E17" s="85"/>
      <c r="F17" s="51">
        <v>2500</v>
      </c>
      <c r="G17" s="60">
        <v>-21250</v>
      </c>
      <c r="H17" s="61">
        <v>-11250</v>
      </c>
      <c r="I17" s="61">
        <v>-1250</v>
      </c>
      <c r="J17" s="61">
        <v>8750</v>
      </c>
      <c r="K17" s="61">
        <v>18750</v>
      </c>
      <c r="L17" s="61">
        <v>18750</v>
      </c>
      <c r="M17" s="61">
        <v>18750</v>
      </c>
      <c r="N17" s="61">
        <v>18750</v>
      </c>
      <c r="O17" s="62">
        <v>18750</v>
      </c>
    </row>
    <row r="18" spans="1:15" x14ac:dyDescent="0.2">
      <c r="E18" s="85"/>
      <c r="F18" s="51">
        <v>3000</v>
      </c>
      <c r="G18" s="60">
        <v>-25250</v>
      </c>
      <c r="H18" s="61">
        <v>-15250</v>
      </c>
      <c r="I18" s="61">
        <v>-5250</v>
      </c>
      <c r="J18" s="61">
        <v>4750</v>
      </c>
      <c r="K18" s="61">
        <v>14750</v>
      </c>
      <c r="L18" s="61">
        <v>24750</v>
      </c>
      <c r="M18" s="61">
        <v>24750</v>
      </c>
      <c r="N18" s="61">
        <v>24750</v>
      </c>
      <c r="O18" s="62">
        <v>24750</v>
      </c>
    </row>
    <row r="19" spans="1:15" x14ac:dyDescent="0.2">
      <c r="A19" s="5" t="s">
        <v>38</v>
      </c>
      <c r="B19" s="1">
        <f>VLOOKUP(B11,Table2[#All],2,TRUE)</f>
        <v>24</v>
      </c>
      <c r="E19" s="85"/>
      <c r="F19" s="51">
        <v>3500</v>
      </c>
      <c r="G19" s="60">
        <v>-31125</v>
      </c>
      <c r="H19" s="61">
        <v>-21125</v>
      </c>
      <c r="I19" s="61">
        <v>-11125</v>
      </c>
      <c r="J19" s="61">
        <v>-1125</v>
      </c>
      <c r="K19" s="61">
        <v>8875</v>
      </c>
      <c r="L19" s="61">
        <v>18875</v>
      </c>
      <c r="M19" s="61">
        <v>28875</v>
      </c>
      <c r="N19" s="61">
        <v>28875</v>
      </c>
      <c r="O19" s="62">
        <v>28875</v>
      </c>
    </row>
    <row r="20" spans="1:15" x14ac:dyDescent="0.2">
      <c r="A20" s="2" t="s">
        <v>27</v>
      </c>
      <c r="B20" s="14">
        <f>B19*B11</f>
        <v>12000</v>
      </c>
      <c r="E20" s="85"/>
      <c r="F20" s="51">
        <v>4000</v>
      </c>
      <c r="G20" s="60">
        <v>-35200</v>
      </c>
      <c r="H20" s="61">
        <v>-25200</v>
      </c>
      <c r="I20" s="61">
        <v>-15200</v>
      </c>
      <c r="J20" s="61">
        <v>-5200</v>
      </c>
      <c r="K20" s="61">
        <v>4800</v>
      </c>
      <c r="L20" s="61">
        <v>14800</v>
      </c>
      <c r="M20" s="61">
        <v>24800</v>
      </c>
      <c r="N20" s="61">
        <v>34800</v>
      </c>
      <c r="O20" s="62">
        <v>34800</v>
      </c>
    </row>
    <row r="21" spans="1:15" ht="17" thickBot="1" x14ac:dyDescent="0.25">
      <c r="E21" s="86"/>
      <c r="F21" s="52">
        <v>4500</v>
      </c>
      <c r="G21" s="63">
        <v>-40850</v>
      </c>
      <c r="H21" s="64">
        <v>-30850</v>
      </c>
      <c r="I21" s="64">
        <v>-20850</v>
      </c>
      <c r="J21" s="64">
        <v>-10850</v>
      </c>
      <c r="K21" s="64">
        <v>-850</v>
      </c>
      <c r="L21" s="64">
        <v>9150</v>
      </c>
      <c r="M21" s="64">
        <v>19150</v>
      </c>
      <c r="N21" s="64">
        <v>29150</v>
      </c>
      <c r="O21" s="65">
        <v>39150</v>
      </c>
    </row>
    <row r="22" spans="1:15" x14ac:dyDescent="0.2">
      <c r="A22" s="2" t="s">
        <v>97</v>
      </c>
      <c r="B22" s="14">
        <f>B17-B20</f>
        <v>3000</v>
      </c>
    </row>
  </sheetData>
  <mergeCells count="4">
    <mergeCell ref="A1:B1"/>
    <mergeCell ref="N6:R6"/>
    <mergeCell ref="G11:O11"/>
    <mergeCell ref="E12:E21"/>
  </mergeCells>
  <conditionalFormatting sqref="F12:O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C3BB-9F01-1243-A143-A8C19FCD974E}">
  <dimension ref="A1:I32"/>
  <sheetViews>
    <sheetView zoomScale="109" workbookViewId="0">
      <selection activeCell="C31" sqref="C31"/>
    </sheetView>
  </sheetViews>
  <sheetFormatPr baseColWidth="10" defaultRowHeight="16" x14ac:dyDescent="0.2"/>
  <cols>
    <col min="1" max="1" width="35.1640625" customWidth="1"/>
    <col min="2" max="2" width="24.33203125" customWidth="1"/>
    <col min="4" max="4" width="14.83203125" customWidth="1"/>
    <col min="5" max="5" width="11.1640625" bestFit="1" customWidth="1"/>
    <col min="7" max="7" width="12.6640625" customWidth="1"/>
  </cols>
  <sheetData>
    <row r="1" spans="1:9" ht="21" thickBot="1" x14ac:dyDescent="0.3">
      <c r="A1" s="78" t="s">
        <v>99</v>
      </c>
      <c r="B1" s="78"/>
    </row>
    <row r="2" spans="1:9" ht="22" thickTop="1" thickBot="1" x14ac:dyDescent="0.3">
      <c r="A2" s="11"/>
      <c r="B2" s="11"/>
    </row>
    <row r="3" spans="1:9" ht="18" thickTop="1" thickBot="1" x14ac:dyDescent="0.25">
      <c r="A3" t="s">
        <v>105</v>
      </c>
      <c r="B3" s="12">
        <v>1</v>
      </c>
    </row>
    <row r="4" spans="1:9" x14ac:dyDescent="0.2">
      <c r="A4" t="s">
        <v>104</v>
      </c>
      <c r="B4">
        <f>B3*100000</f>
        <v>100000</v>
      </c>
      <c r="D4" s="46"/>
      <c r="E4" s="89" t="s">
        <v>117</v>
      </c>
      <c r="F4" s="89"/>
      <c r="G4" s="89"/>
      <c r="H4" s="89"/>
      <c r="I4" s="90"/>
    </row>
    <row r="5" spans="1:9" x14ac:dyDescent="0.2">
      <c r="D5" s="87" t="s">
        <v>118</v>
      </c>
      <c r="E5" s="69">
        <f>B30</f>
        <v>-2800</v>
      </c>
      <c r="F5" s="45">
        <v>500</v>
      </c>
      <c r="G5" s="45">
        <v>1000</v>
      </c>
      <c r="H5" s="45">
        <v>1500</v>
      </c>
      <c r="I5" s="48">
        <v>2000</v>
      </c>
    </row>
    <row r="6" spans="1:9" x14ac:dyDescent="0.2">
      <c r="A6" t="s">
        <v>100</v>
      </c>
      <c r="B6" s="12">
        <v>1000</v>
      </c>
      <c r="D6" s="87"/>
      <c r="E6" s="45">
        <v>1</v>
      </c>
      <c r="F6" s="45">
        <f t="dataTable" ref="F6:I10" dt2D="1" dtr="1" r1="B6" r2="B3"/>
        <v>-2800</v>
      </c>
      <c r="G6" s="45">
        <v>-2800</v>
      </c>
      <c r="H6" s="45">
        <v>-2800</v>
      </c>
      <c r="I6" s="48">
        <v>-2800</v>
      </c>
    </row>
    <row r="7" spans="1:9" x14ac:dyDescent="0.2">
      <c r="A7" t="s">
        <v>101</v>
      </c>
      <c r="B7">
        <f>365*B6</f>
        <v>365000</v>
      </c>
      <c r="D7" s="87"/>
      <c r="E7" s="45">
        <v>2</v>
      </c>
      <c r="F7" s="45">
        <v>-2025</v>
      </c>
      <c r="G7" s="45">
        <v>-800</v>
      </c>
      <c r="H7" s="45">
        <v>-800</v>
      </c>
      <c r="I7" s="48">
        <v>-800</v>
      </c>
    </row>
    <row r="8" spans="1:9" x14ac:dyDescent="0.2">
      <c r="D8" s="87"/>
      <c r="E8" s="45">
        <v>3</v>
      </c>
      <c r="F8" s="45">
        <v>-7025</v>
      </c>
      <c r="G8" s="45">
        <v>1200</v>
      </c>
      <c r="H8" s="45">
        <v>1200</v>
      </c>
      <c r="I8" s="48">
        <v>1200</v>
      </c>
    </row>
    <row r="9" spans="1:9" x14ac:dyDescent="0.2">
      <c r="A9" t="s">
        <v>106</v>
      </c>
      <c r="B9">
        <f>MIN(B7,B4)</f>
        <v>100000</v>
      </c>
      <c r="D9" s="87"/>
      <c r="E9" s="45">
        <v>4</v>
      </c>
      <c r="F9" s="45">
        <v>-12025</v>
      </c>
      <c r="G9" s="45">
        <v>750</v>
      </c>
      <c r="H9" s="45">
        <v>3200</v>
      </c>
      <c r="I9" s="48">
        <v>3200</v>
      </c>
    </row>
    <row r="10" spans="1:9" ht="17" thickBot="1" x14ac:dyDescent="0.25">
      <c r="D10" s="88"/>
      <c r="E10" s="49">
        <v>5</v>
      </c>
      <c r="F10" s="49">
        <v>-17025</v>
      </c>
      <c r="G10" s="49">
        <v>-4250</v>
      </c>
      <c r="H10" s="49">
        <v>5200</v>
      </c>
      <c r="I10" s="50">
        <v>5200</v>
      </c>
    </row>
    <row r="12" spans="1:9" x14ac:dyDescent="0.2">
      <c r="A12" s="17" t="s">
        <v>102</v>
      </c>
    </row>
    <row r="13" spans="1:9" x14ac:dyDescent="0.2">
      <c r="A13" t="s">
        <v>107</v>
      </c>
      <c r="B13" s="1">
        <v>5000</v>
      </c>
    </row>
    <row r="14" spans="1:9" x14ac:dyDescent="0.2">
      <c r="A14" t="s">
        <v>108</v>
      </c>
      <c r="B14" s="1">
        <f>B13*B3</f>
        <v>5000</v>
      </c>
    </row>
    <row r="15" spans="1:9" x14ac:dyDescent="0.2">
      <c r="A15" t="s">
        <v>109</v>
      </c>
      <c r="B15" s="1">
        <v>0.03</v>
      </c>
    </row>
    <row r="16" spans="1:9" x14ac:dyDescent="0.2">
      <c r="A16" t="s">
        <v>110</v>
      </c>
      <c r="B16" s="1">
        <f>B15*B9</f>
        <v>3000</v>
      </c>
    </row>
    <row r="17" spans="1:2" x14ac:dyDescent="0.2">
      <c r="B17" s="1"/>
    </row>
    <row r="18" spans="1:2" x14ac:dyDescent="0.2">
      <c r="A18" t="s">
        <v>112</v>
      </c>
      <c r="B18" s="1">
        <v>400</v>
      </c>
    </row>
    <row r="19" spans="1:2" x14ac:dyDescent="0.2">
      <c r="A19" t="s">
        <v>111</v>
      </c>
      <c r="B19" s="1">
        <f>B18*12</f>
        <v>4800</v>
      </c>
    </row>
    <row r="20" spans="1:2" x14ac:dyDescent="0.2">
      <c r="B20" s="1"/>
    </row>
    <row r="21" spans="1:2" x14ac:dyDescent="0.2">
      <c r="B21" s="1"/>
    </row>
    <row r="22" spans="1:2" x14ac:dyDescent="0.2">
      <c r="A22" t="s">
        <v>103</v>
      </c>
      <c r="B22" s="1">
        <f>B19+B16+B14</f>
        <v>12800</v>
      </c>
    </row>
    <row r="23" spans="1:2" x14ac:dyDescent="0.2">
      <c r="B23" s="1"/>
    </row>
    <row r="24" spans="1:2" x14ac:dyDescent="0.2">
      <c r="A24" s="17" t="s">
        <v>113</v>
      </c>
      <c r="B24" s="1"/>
    </row>
    <row r="25" spans="1:2" x14ac:dyDescent="0.2">
      <c r="B25" s="1"/>
    </row>
    <row r="26" spans="1:2" x14ac:dyDescent="0.2">
      <c r="A26" t="s">
        <v>114</v>
      </c>
      <c r="B26" s="1">
        <v>0.1</v>
      </c>
    </row>
    <row r="27" spans="1:2" x14ac:dyDescent="0.2">
      <c r="B27" s="1"/>
    </row>
    <row r="28" spans="1:2" x14ac:dyDescent="0.2">
      <c r="A28" t="s">
        <v>115</v>
      </c>
      <c r="B28" s="1">
        <f>B26*B9</f>
        <v>10000</v>
      </c>
    </row>
    <row r="29" spans="1:2" x14ac:dyDescent="0.2">
      <c r="A29" s="68"/>
      <c r="B29" s="1"/>
    </row>
    <row r="30" spans="1:2" x14ac:dyDescent="0.2">
      <c r="A30" t="s">
        <v>116</v>
      </c>
      <c r="B30" s="1">
        <f>B28-B22</f>
        <v>-2800</v>
      </c>
    </row>
    <row r="32" spans="1:2" x14ac:dyDescent="0.2">
      <c r="B32" s="68"/>
    </row>
  </sheetData>
  <mergeCells count="3">
    <mergeCell ref="A1:B1"/>
    <mergeCell ref="D5:D10"/>
    <mergeCell ref="E4:I4"/>
  </mergeCells>
  <conditionalFormatting sqref="E5:I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C9E4-35B8-BF48-81EA-E52CAFE2DCC7}">
  <dimension ref="A1:I24"/>
  <sheetViews>
    <sheetView zoomScale="125" workbookViewId="0">
      <selection activeCell="F13" sqref="F13"/>
    </sheetView>
  </sheetViews>
  <sheetFormatPr baseColWidth="10" defaultRowHeight="16" x14ac:dyDescent="0.2"/>
  <cols>
    <col min="1" max="1" width="26.5" customWidth="1"/>
    <col min="2" max="2" width="24.83203125" style="3" customWidth="1"/>
    <col min="6" max="6" width="17.6640625" customWidth="1"/>
    <col min="9" max="9" width="21.5" customWidth="1"/>
  </cols>
  <sheetData>
    <row r="1" spans="1:9" ht="21" thickBot="1" x14ac:dyDescent="0.3">
      <c r="A1" s="78" t="s">
        <v>119</v>
      </c>
      <c r="B1" s="78"/>
    </row>
    <row r="2" spans="1:9" ht="17" thickTop="1" x14ac:dyDescent="0.2"/>
    <row r="4" spans="1:9" x14ac:dyDescent="0.2">
      <c r="A4" s="2" t="s">
        <v>22</v>
      </c>
    </row>
    <row r="5" spans="1:9" x14ac:dyDescent="0.2">
      <c r="A5" s="4" t="s">
        <v>120</v>
      </c>
      <c r="B5" s="15">
        <v>5500000</v>
      </c>
    </row>
    <row r="6" spans="1:9" x14ac:dyDescent="0.2">
      <c r="A6" s="5" t="s">
        <v>121</v>
      </c>
      <c r="B6" s="70">
        <v>50</v>
      </c>
      <c r="E6" s="2" t="s">
        <v>135</v>
      </c>
      <c r="F6" s="2" t="s">
        <v>128</v>
      </c>
      <c r="H6" s="2" t="s">
        <v>136</v>
      </c>
      <c r="I6" s="2" t="s">
        <v>128</v>
      </c>
    </row>
    <row r="7" spans="1:9" x14ac:dyDescent="0.2">
      <c r="A7" s="5" t="s">
        <v>122</v>
      </c>
      <c r="B7" s="70">
        <v>5</v>
      </c>
      <c r="F7" s="75">
        <f>B24</f>
        <v>3290000</v>
      </c>
      <c r="I7" s="75">
        <f>B24</f>
        <v>3290000</v>
      </c>
    </row>
    <row r="8" spans="1:9" x14ac:dyDescent="0.2">
      <c r="A8" t="s">
        <v>123</v>
      </c>
      <c r="B8" s="3">
        <f>B7*B6</f>
        <v>250</v>
      </c>
      <c r="E8" s="73">
        <v>0.4</v>
      </c>
      <c r="F8" s="74">
        <f t="dataTable" ref="F8:F14" dt2D="0" dtr="0" r1="B14" ca="1"/>
        <v>-1230000</v>
      </c>
      <c r="H8">
        <v>0</v>
      </c>
      <c r="I8" s="74">
        <f t="dataTable" ref="I8:I19" dt2D="0" dtr="0" r1="B6"/>
        <v>-5500000</v>
      </c>
    </row>
    <row r="9" spans="1:9" x14ac:dyDescent="0.2">
      <c r="A9" s="5" t="s">
        <v>124</v>
      </c>
      <c r="B9" s="15">
        <v>1000</v>
      </c>
      <c r="E9" s="73">
        <v>0.5</v>
      </c>
      <c r="F9" s="74">
        <v>-100000</v>
      </c>
      <c r="H9">
        <v>10</v>
      </c>
      <c r="I9" s="74">
        <v>-3742000</v>
      </c>
    </row>
    <row r="10" spans="1:9" x14ac:dyDescent="0.2">
      <c r="A10" s="4" t="s">
        <v>125</v>
      </c>
      <c r="B10" s="15">
        <f>B9*B8</f>
        <v>250000</v>
      </c>
      <c r="E10" s="73">
        <v>0.6</v>
      </c>
      <c r="F10" s="74">
        <v>1030000</v>
      </c>
      <c r="H10">
        <v>20</v>
      </c>
      <c r="I10" s="74">
        <v>-1984000</v>
      </c>
    </row>
    <row r="11" spans="1:9" x14ac:dyDescent="0.2">
      <c r="A11" s="4" t="s">
        <v>133</v>
      </c>
      <c r="B11" s="15">
        <f>B5+B10</f>
        <v>5750000</v>
      </c>
      <c r="E11" s="73">
        <v>0.7</v>
      </c>
      <c r="F11" s="74">
        <v>2160000</v>
      </c>
      <c r="H11">
        <v>30</v>
      </c>
      <c r="I11" s="74">
        <v>-226000</v>
      </c>
    </row>
    <row r="12" spans="1:9" x14ac:dyDescent="0.2">
      <c r="E12" s="73">
        <v>0.8</v>
      </c>
      <c r="F12" s="74">
        <v>3290000</v>
      </c>
      <c r="H12">
        <v>40</v>
      </c>
      <c r="I12" s="74">
        <v>1532000</v>
      </c>
    </row>
    <row r="13" spans="1:9" x14ac:dyDescent="0.2">
      <c r="A13" t="s">
        <v>130</v>
      </c>
      <c r="B13" s="3">
        <v>800</v>
      </c>
      <c r="E13" s="73">
        <v>0.9</v>
      </c>
      <c r="F13" s="74">
        <v>4420000</v>
      </c>
      <c r="H13">
        <v>50</v>
      </c>
      <c r="I13" s="74">
        <v>3290000</v>
      </c>
    </row>
    <row r="14" spans="1:9" x14ac:dyDescent="0.2">
      <c r="A14" t="s">
        <v>132</v>
      </c>
      <c r="B14" s="71">
        <v>0.8</v>
      </c>
      <c r="E14" s="73">
        <v>1</v>
      </c>
      <c r="F14" s="74">
        <v>5550000</v>
      </c>
      <c r="H14">
        <v>60</v>
      </c>
      <c r="I14" s="74">
        <v>5048000</v>
      </c>
    </row>
    <row r="15" spans="1:9" x14ac:dyDescent="0.2">
      <c r="A15" t="s">
        <v>131</v>
      </c>
      <c r="B15" s="3">
        <f>B14*B13</f>
        <v>640</v>
      </c>
      <c r="H15">
        <v>70</v>
      </c>
      <c r="I15" s="74">
        <v>6806000</v>
      </c>
    </row>
    <row r="16" spans="1:9" x14ac:dyDescent="0.2">
      <c r="H16">
        <v>80</v>
      </c>
      <c r="I16" s="74">
        <v>8564000</v>
      </c>
    </row>
    <row r="17" spans="1:9" x14ac:dyDescent="0.2">
      <c r="A17" s="2" t="s">
        <v>28</v>
      </c>
      <c r="H17">
        <v>90</v>
      </c>
      <c r="I17" s="74">
        <v>10322000</v>
      </c>
    </row>
    <row r="18" spans="1:9" x14ac:dyDescent="0.2">
      <c r="A18" t="s">
        <v>126</v>
      </c>
      <c r="B18" s="72">
        <v>55</v>
      </c>
      <c r="H18">
        <v>100</v>
      </c>
      <c r="I18" s="74">
        <v>12080000</v>
      </c>
    </row>
    <row r="19" spans="1:9" x14ac:dyDescent="0.2">
      <c r="A19" s="5" t="s">
        <v>129</v>
      </c>
      <c r="B19" s="15">
        <v>1.5</v>
      </c>
      <c r="H19">
        <v>110</v>
      </c>
      <c r="I19" s="74">
        <v>13838000</v>
      </c>
    </row>
    <row r="20" spans="1:9" x14ac:dyDescent="0.2">
      <c r="A20" s="5" t="s">
        <v>127</v>
      </c>
      <c r="B20" s="76">
        <f>B18*B15*B8</f>
        <v>8800000</v>
      </c>
    </row>
    <row r="21" spans="1:9" x14ac:dyDescent="0.2">
      <c r="A21" s="5" t="s">
        <v>134</v>
      </c>
      <c r="B21" s="76">
        <f>B15*B19*B8</f>
        <v>240000</v>
      </c>
    </row>
    <row r="22" spans="1:9" x14ac:dyDescent="0.2">
      <c r="A22" t="s">
        <v>127</v>
      </c>
      <c r="B22" s="77">
        <f>B21+B20</f>
        <v>9040000</v>
      </c>
    </row>
    <row r="23" spans="1:9" x14ac:dyDescent="0.2">
      <c r="B23" s="77"/>
    </row>
    <row r="24" spans="1:9" x14ac:dyDescent="0.2">
      <c r="A24" s="2" t="s">
        <v>97</v>
      </c>
      <c r="B24" s="77">
        <f>B22-B11</f>
        <v>3290000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43C9-9F11-674F-AE6E-4AF0008399FD}">
  <dimension ref="A1:Q117"/>
  <sheetViews>
    <sheetView topLeftCell="A5" zoomScale="67" zoomScaleNormal="100" workbookViewId="0">
      <selection activeCell="D22" sqref="D22"/>
    </sheetView>
  </sheetViews>
  <sheetFormatPr baseColWidth="10" defaultRowHeight="21" x14ac:dyDescent="0.25"/>
  <cols>
    <col min="1" max="1" width="17.33203125" style="92" customWidth="1"/>
    <col min="2" max="2" width="18.33203125" style="92" bestFit="1" customWidth="1"/>
    <col min="3" max="3" width="17" style="92" customWidth="1"/>
    <col min="4" max="4" width="18.83203125" style="92" customWidth="1"/>
    <col min="5" max="5" width="25.6640625" style="92" customWidth="1"/>
    <col min="6" max="6" width="13.5" style="92" bestFit="1" customWidth="1"/>
    <col min="7" max="7" width="18.33203125" style="92" bestFit="1" customWidth="1"/>
    <col min="8" max="8" width="16" style="92" customWidth="1"/>
    <col min="9" max="9" width="10.83203125" style="92"/>
    <col min="10" max="10" width="17" style="92" bestFit="1" customWidth="1"/>
    <col min="11" max="11" width="18.33203125" style="92" bestFit="1" customWidth="1"/>
    <col min="12" max="12" width="17.83203125" style="92" bestFit="1" customWidth="1"/>
    <col min="13" max="17" width="19.1640625" style="92" bestFit="1" customWidth="1"/>
    <col min="18" max="16384" width="10.83203125" style="92"/>
  </cols>
  <sheetData>
    <row r="1" spans="1:6" ht="22" thickBot="1" x14ac:dyDescent="0.3">
      <c r="A1" s="91" t="s">
        <v>139</v>
      </c>
      <c r="B1" s="91"/>
      <c r="C1" s="91"/>
    </row>
    <row r="2" spans="1:6" ht="22" thickTop="1" x14ac:dyDescent="0.25">
      <c r="A2" s="93" t="s">
        <v>137</v>
      </c>
      <c r="B2" s="93" t="s">
        <v>76</v>
      </c>
      <c r="C2" s="93" t="s">
        <v>138</v>
      </c>
    </row>
    <row r="3" spans="1:6" x14ac:dyDescent="0.25">
      <c r="A3" s="94">
        <v>1</v>
      </c>
      <c r="B3" s="94">
        <v>450</v>
      </c>
      <c r="C3" s="94">
        <v>45</v>
      </c>
    </row>
    <row r="4" spans="1:6" x14ac:dyDescent="0.25">
      <c r="A4" s="94">
        <v>2</v>
      </c>
      <c r="B4" s="94">
        <v>300</v>
      </c>
      <c r="C4" s="94">
        <v>103</v>
      </c>
    </row>
    <row r="5" spans="1:6" x14ac:dyDescent="0.25">
      <c r="A5" s="94">
        <v>3</v>
      </c>
      <c r="B5" s="94">
        <v>440</v>
      </c>
      <c r="C5" s="94">
        <v>49</v>
      </c>
    </row>
    <row r="6" spans="1:6" x14ac:dyDescent="0.25">
      <c r="A6" s="94">
        <v>4</v>
      </c>
      <c r="B6" s="94">
        <v>360</v>
      </c>
      <c r="C6" s="94">
        <v>86</v>
      </c>
    </row>
    <row r="7" spans="1:6" x14ac:dyDescent="0.25">
      <c r="A7" s="94">
        <v>5</v>
      </c>
      <c r="B7" s="94">
        <v>290</v>
      </c>
      <c r="C7" s="94">
        <v>125</v>
      </c>
    </row>
    <row r="8" spans="1:6" x14ac:dyDescent="0.25">
      <c r="A8" s="94">
        <v>6</v>
      </c>
      <c r="B8" s="94">
        <v>450</v>
      </c>
      <c r="C8" s="94">
        <v>52</v>
      </c>
    </row>
    <row r="9" spans="1:6" x14ac:dyDescent="0.25">
      <c r="A9" s="94">
        <v>7</v>
      </c>
      <c r="B9" s="94">
        <v>340</v>
      </c>
      <c r="C9" s="94">
        <v>87</v>
      </c>
    </row>
    <row r="10" spans="1:6" x14ac:dyDescent="0.25">
      <c r="A10" s="94">
        <v>8</v>
      </c>
      <c r="B10" s="94">
        <v>370</v>
      </c>
      <c r="C10" s="94">
        <v>68</v>
      </c>
    </row>
    <row r="11" spans="1:6" x14ac:dyDescent="0.25">
      <c r="A11" s="94">
        <v>9</v>
      </c>
      <c r="B11" s="94">
        <v>500</v>
      </c>
      <c r="C11" s="94">
        <v>45</v>
      </c>
    </row>
    <row r="12" spans="1:6" x14ac:dyDescent="0.25">
      <c r="A12" s="94">
        <v>10</v>
      </c>
      <c r="B12" s="94">
        <v>490</v>
      </c>
      <c r="C12" s="94">
        <v>44</v>
      </c>
    </row>
    <row r="13" spans="1:6" x14ac:dyDescent="0.25">
      <c r="A13" s="94">
        <v>11</v>
      </c>
      <c r="B13" s="94">
        <v>430</v>
      </c>
      <c r="C13" s="94">
        <v>58</v>
      </c>
    </row>
    <row r="14" spans="1:6" x14ac:dyDescent="0.25">
      <c r="A14" s="94">
        <v>12</v>
      </c>
      <c r="B14" s="94">
        <v>390</v>
      </c>
      <c r="C14" s="94">
        <v>68</v>
      </c>
    </row>
    <row r="16" spans="1:6" x14ac:dyDescent="0.25">
      <c r="A16" s="97" t="s">
        <v>147</v>
      </c>
      <c r="B16" s="98"/>
      <c r="C16" s="97" t="s">
        <v>142</v>
      </c>
      <c r="D16" s="98"/>
      <c r="E16" s="97" t="s">
        <v>145</v>
      </c>
      <c r="F16" s="98"/>
    </row>
    <row r="17" spans="1:8" x14ac:dyDescent="0.25">
      <c r="A17" s="95" t="s">
        <v>140</v>
      </c>
      <c r="B17" s="95">
        <v>211.31</v>
      </c>
      <c r="C17" s="95" t="s">
        <v>143</v>
      </c>
      <c r="D17" s="95">
        <v>5871064</v>
      </c>
      <c r="E17" s="95" t="s">
        <v>143</v>
      </c>
      <c r="F17" s="95">
        <v>466.51</v>
      </c>
    </row>
    <row r="18" spans="1:8" x14ac:dyDescent="0.25">
      <c r="A18" s="95" t="s">
        <v>141</v>
      </c>
      <c r="B18" s="95">
        <v>-0.35460000000000003</v>
      </c>
      <c r="C18" s="95" t="s">
        <v>144</v>
      </c>
      <c r="D18" s="95">
        <v>-1.9079999999999999</v>
      </c>
      <c r="E18" s="95" t="s">
        <v>144</v>
      </c>
      <c r="F18" s="95">
        <v>-5.0000000000000001E-3</v>
      </c>
    </row>
    <row r="20" spans="1:8" x14ac:dyDescent="0.25">
      <c r="A20" s="105" t="s">
        <v>146</v>
      </c>
      <c r="B20" s="106"/>
      <c r="C20" s="106"/>
      <c r="D20" s="106"/>
      <c r="E20" s="107"/>
      <c r="F20" s="105" t="s">
        <v>151</v>
      </c>
      <c r="G20" s="106"/>
      <c r="H20" s="107"/>
    </row>
    <row r="21" spans="1:8" x14ac:dyDescent="0.25">
      <c r="A21" s="99" t="s">
        <v>76</v>
      </c>
      <c r="B21" s="103" t="s">
        <v>148</v>
      </c>
      <c r="C21" s="103" t="s">
        <v>149</v>
      </c>
      <c r="D21" s="103" t="s">
        <v>150</v>
      </c>
      <c r="E21" s="103" t="s">
        <v>138</v>
      </c>
      <c r="F21" s="103" t="s">
        <v>148</v>
      </c>
      <c r="G21" s="103" t="s">
        <v>149</v>
      </c>
      <c r="H21" s="103" t="s">
        <v>150</v>
      </c>
    </row>
    <row r="22" spans="1:8" x14ac:dyDescent="0.25">
      <c r="A22" s="100">
        <v>450</v>
      </c>
      <c r="B22" s="101">
        <f>$B$18*A22+$B$17</f>
        <v>51.739999999999981</v>
      </c>
      <c r="C22" s="101">
        <f>$D$17*A22^$D$18</f>
        <v>50.861286169919921</v>
      </c>
      <c r="D22" s="101">
        <f>$F$17*EXP($F$18*A22)</f>
        <v>49.169792250355329</v>
      </c>
      <c r="E22" s="100">
        <v>45</v>
      </c>
      <c r="F22" s="108">
        <f>ABS(B22-E22)/E22</f>
        <v>0.14977777777777734</v>
      </c>
      <c r="G22" s="108">
        <f>ABS(C22-E22)/E22</f>
        <v>0.13025080377599826</v>
      </c>
      <c r="H22" s="108">
        <f>ABS(D22-E22)/E22</f>
        <v>9.2662050007896193E-2</v>
      </c>
    </row>
    <row r="23" spans="1:8" x14ac:dyDescent="0.25">
      <c r="A23" s="102">
        <v>300</v>
      </c>
      <c r="B23" s="101">
        <f t="shared" ref="B23:B33" si="0">$B$18*A23+$B$17</f>
        <v>104.92999999999999</v>
      </c>
      <c r="C23" s="101">
        <f t="shared" ref="C23:C33" si="1">$D$17*A23^$D$18</f>
        <v>110.2476803704582</v>
      </c>
      <c r="D23" s="101">
        <f t="shared" ref="D23:D33" si="2">$F$17*EXP($F$18*A23)</f>
        <v>104.09245101084399</v>
      </c>
      <c r="E23" s="102">
        <v>103</v>
      </c>
      <c r="F23" s="108">
        <f t="shared" ref="F23:F33" si="3">ABS(B23-E23)/E23</f>
        <v>1.8737864077669832E-2</v>
      </c>
      <c r="G23" s="108">
        <f t="shared" ref="G23:G33" si="4">ABS(C23-E23)/E23</f>
        <v>7.0365828839399985E-2</v>
      </c>
      <c r="H23" s="108">
        <f>ABS(D23-E23)/E23</f>
        <v>1.0606320493630948E-2</v>
      </c>
    </row>
    <row r="24" spans="1:8" x14ac:dyDescent="0.25">
      <c r="A24" s="100">
        <v>440</v>
      </c>
      <c r="B24" s="101">
        <f t="shared" si="0"/>
        <v>55.286000000000001</v>
      </c>
      <c r="C24" s="101">
        <f t="shared" si="1"/>
        <v>53.089557787712614</v>
      </c>
      <c r="D24" s="101">
        <f t="shared" si="2"/>
        <v>51.69078140761237</v>
      </c>
      <c r="E24" s="100">
        <v>49</v>
      </c>
      <c r="F24" s="108">
        <f t="shared" si="3"/>
        <v>0.12828571428571431</v>
      </c>
      <c r="G24" s="108">
        <f t="shared" si="4"/>
        <v>8.3460363014543154E-2</v>
      </c>
      <c r="H24" s="108">
        <f>ABS(D24-E24)/E24</f>
        <v>5.4913906277803466E-2</v>
      </c>
    </row>
    <row r="25" spans="1:8" x14ac:dyDescent="0.25">
      <c r="A25" s="102">
        <v>360</v>
      </c>
      <c r="B25" s="101">
        <f t="shared" si="0"/>
        <v>83.653999999999996</v>
      </c>
      <c r="C25" s="101">
        <f t="shared" si="1"/>
        <v>77.85592038588905</v>
      </c>
      <c r="D25" s="101">
        <f t="shared" si="2"/>
        <v>77.113584344252331</v>
      </c>
      <c r="E25" s="102">
        <v>86</v>
      </c>
      <c r="F25" s="108">
        <f t="shared" si="3"/>
        <v>2.7279069767441901E-2</v>
      </c>
      <c r="G25" s="108">
        <f t="shared" si="4"/>
        <v>9.4698600164080812E-2</v>
      </c>
      <c r="H25" s="108">
        <f>ABS(D25-E25)/E25</f>
        <v>0.10333041460171709</v>
      </c>
    </row>
    <row r="26" spans="1:8" x14ac:dyDescent="0.25">
      <c r="A26" s="100">
        <v>290</v>
      </c>
      <c r="B26" s="101">
        <f t="shared" si="0"/>
        <v>108.476</v>
      </c>
      <c r="C26" s="101">
        <f t="shared" si="1"/>
        <v>117.61465381582187</v>
      </c>
      <c r="D26" s="101">
        <f t="shared" si="2"/>
        <v>109.42938509863754</v>
      </c>
      <c r="E26" s="100">
        <v>125</v>
      </c>
      <c r="F26" s="108">
        <f t="shared" si="3"/>
        <v>0.132192</v>
      </c>
      <c r="G26" s="108">
        <f t="shared" si="4"/>
        <v>5.9082769473425063E-2</v>
      </c>
      <c r="H26" s="108">
        <f>ABS(D26-E26)/E26</f>
        <v>0.12456491921089968</v>
      </c>
    </row>
    <row r="27" spans="1:8" x14ac:dyDescent="0.25">
      <c r="A27" s="102">
        <v>450</v>
      </c>
      <c r="B27" s="101">
        <f t="shared" si="0"/>
        <v>51.739999999999981</v>
      </c>
      <c r="C27" s="101">
        <f t="shared" si="1"/>
        <v>50.861286169919921</v>
      </c>
      <c r="D27" s="101">
        <f t="shared" si="2"/>
        <v>49.169792250355329</v>
      </c>
      <c r="E27" s="102">
        <v>52</v>
      </c>
      <c r="F27" s="108">
        <f t="shared" si="3"/>
        <v>5.0000000000003713E-3</v>
      </c>
      <c r="G27" s="108">
        <f t="shared" si="4"/>
        <v>2.1898342886155355E-2</v>
      </c>
      <c r="H27" s="108">
        <f>ABS(D27-E27)/E27</f>
        <v>5.4427072108551369E-2</v>
      </c>
    </row>
    <row r="28" spans="1:8" x14ac:dyDescent="0.25">
      <c r="A28" s="100">
        <v>340</v>
      </c>
      <c r="B28" s="101">
        <f t="shared" si="0"/>
        <v>90.745999999999995</v>
      </c>
      <c r="C28" s="101">
        <f t="shared" si="1"/>
        <v>86.827049006961417</v>
      </c>
      <c r="D28" s="101">
        <f t="shared" si="2"/>
        <v>85.223690805841244</v>
      </c>
      <c r="E28" s="100">
        <v>87</v>
      </c>
      <c r="F28" s="108">
        <f t="shared" si="3"/>
        <v>4.3057471264367757E-2</v>
      </c>
      <c r="G28" s="108">
        <f t="shared" si="4"/>
        <v>1.9879424487193459E-3</v>
      </c>
      <c r="H28" s="108">
        <f>ABS(D28-E28)/E28</f>
        <v>2.0417347059296046E-2</v>
      </c>
    </row>
    <row r="29" spans="1:8" x14ac:dyDescent="0.25">
      <c r="A29" s="102">
        <v>370</v>
      </c>
      <c r="B29" s="101">
        <f t="shared" si="0"/>
        <v>80.108000000000004</v>
      </c>
      <c r="C29" s="101">
        <f t="shared" si="1"/>
        <v>73.890384263545585</v>
      </c>
      <c r="D29" s="101">
        <f t="shared" si="2"/>
        <v>73.352710456970414</v>
      </c>
      <c r="E29" s="102">
        <v>68</v>
      </c>
      <c r="F29" s="108">
        <f t="shared" si="3"/>
        <v>0.17805882352941182</v>
      </c>
      <c r="G29" s="108">
        <f t="shared" si="4"/>
        <v>8.6623297993317416E-2</v>
      </c>
      <c r="H29" s="108">
        <f>ABS(D29-E29)/E29</f>
        <v>7.8716330249564911E-2</v>
      </c>
    </row>
    <row r="30" spans="1:8" x14ac:dyDescent="0.25">
      <c r="A30" s="100">
        <v>500</v>
      </c>
      <c r="B30" s="101">
        <f t="shared" si="0"/>
        <v>34.009999999999991</v>
      </c>
      <c r="C30" s="101">
        <f t="shared" si="1"/>
        <v>41.59891911995917</v>
      </c>
      <c r="D30" s="101">
        <f t="shared" si="2"/>
        <v>38.293472708035026</v>
      </c>
      <c r="E30" s="100">
        <v>45</v>
      </c>
      <c r="F30" s="108">
        <f t="shared" si="3"/>
        <v>0.24422222222222242</v>
      </c>
      <c r="G30" s="108">
        <f t="shared" si="4"/>
        <v>7.5579575112018446E-2</v>
      </c>
      <c r="H30" s="108">
        <f>ABS(D30-E30)/E30</f>
        <v>0.14903393982144386</v>
      </c>
    </row>
    <row r="31" spans="1:8" x14ac:dyDescent="0.25">
      <c r="A31" s="102">
        <v>490</v>
      </c>
      <c r="B31" s="101">
        <f t="shared" si="0"/>
        <v>37.555999999999983</v>
      </c>
      <c r="C31" s="101">
        <f t="shared" si="1"/>
        <v>43.233728796663705</v>
      </c>
      <c r="D31" s="101">
        <f t="shared" si="2"/>
        <v>40.256821037821332</v>
      </c>
      <c r="E31" s="102">
        <v>44</v>
      </c>
      <c r="F31" s="108">
        <f t="shared" si="3"/>
        <v>0.14645454545454584</v>
      </c>
      <c r="G31" s="108">
        <f t="shared" si="4"/>
        <v>1.7415254621279432E-2</v>
      </c>
      <c r="H31" s="108">
        <f>ABS(D31-E31)/E31</f>
        <v>8.5072249140424272E-2</v>
      </c>
    </row>
    <row r="32" spans="1:8" x14ac:dyDescent="0.25">
      <c r="A32" s="100">
        <v>430</v>
      </c>
      <c r="B32" s="101">
        <f t="shared" si="0"/>
        <v>58.831999999999994</v>
      </c>
      <c r="C32" s="101">
        <f t="shared" si="1"/>
        <v>55.470106712335337</v>
      </c>
      <c r="D32" s="101">
        <f t="shared" si="2"/>
        <v>54.341024442914069</v>
      </c>
      <c r="E32" s="100">
        <v>58</v>
      </c>
      <c r="F32" s="108">
        <f t="shared" si="3"/>
        <v>1.4344827586206787E-2</v>
      </c>
      <c r="G32" s="108">
        <f t="shared" si="4"/>
        <v>4.3618849787321778E-2</v>
      </c>
      <c r="H32" s="108">
        <f>ABS(D32-E32)/E32</f>
        <v>6.3085785466998806E-2</v>
      </c>
    </row>
    <row r="33" spans="1:17" x14ac:dyDescent="0.25">
      <c r="A33" s="102">
        <v>390</v>
      </c>
      <c r="B33" s="101">
        <f t="shared" si="0"/>
        <v>73.015999999999991</v>
      </c>
      <c r="C33" s="101">
        <f t="shared" si="1"/>
        <v>66.829089531318985</v>
      </c>
      <c r="D33" s="101">
        <f t="shared" si="2"/>
        <v>66.372277135824447</v>
      </c>
      <c r="E33" s="109">
        <v>68</v>
      </c>
      <c r="F33" s="108">
        <f t="shared" si="3"/>
        <v>7.3764705882352816E-2</v>
      </c>
      <c r="G33" s="108">
        <f t="shared" si="4"/>
        <v>1.7219271598250221E-2</v>
      </c>
      <c r="H33" s="108">
        <f>ABS(D33-E33)/E33</f>
        <v>2.393710094375813E-2</v>
      </c>
    </row>
    <row r="34" spans="1:17" x14ac:dyDescent="0.25">
      <c r="E34" s="104" t="s">
        <v>152</v>
      </c>
      <c r="F34" s="110">
        <f>AVERAGE(F22:F33)</f>
        <v>9.6764585153975916E-2</v>
      </c>
      <c r="G34" s="111">
        <f t="shared" ref="G34:H34" si="5">AVERAGE(G22:G33)</f>
        <v>5.8516741642875771E-2</v>
      </c>
      <c r="H34" s="110">
        <f t="shared" si="5"/>
        <v>7.17306196151654E-2</v>
      </c>
    </row>
    <row r="35" spans="1:17" x14ac:dyDescent="0.25">
      <c r="E35" s="104"/>
      <c r="F35" s="116"/>
      <c r="G35" s="117"/>
      <c r="H35" s="116"/>
    </row>
    <row r="37" spans="1:17" x14ac:dyDescent="0.25">
      <c r="A37" s="92" t="s">
        <v>158</v>
      </c>
    </row>
    <row r="38" spans="1:17" x14ac:dyDescent="0.25">
      <c r="A38" s="92" t="s">
        <v>38</v>
      </c>
      <c r="B38" s="112">
        <v>250</v>
      </c>
      <c r="C38" s="92" t="s">
        <v>154</v>
      </c>
      <c r="F38" s="92" t="s">
        <v>76</v>
      </c>
      <c r="G38" s="92" t="s">
        <v>128</v>
      </c>
      <c r="I38" s="95"/>
      <c r="J38" s="95"/>
      <c r="K38" s="96" t="s">
        <v>88</v>
      </c>
      <c r="L38" s="96"/>
      <c r="M38" s="96"/>
      <c r="N38" s="96"/>
      <c r="O38" s="96"/>
      <c r="P38" s="96"/>
      <c r="Q38" s="96"/>
    </row>
    <row r="39" spans="1:17" x14ac:dyDescent="0.25">
      <c r="A39" s="92" t="s">
        <v>155</v>
      </c>
      <c r="B39" s="113">
        <v>400</v>
      </c>
      <c r="F39" s="115"/>
      <c r="G39" s="118">
        <f>B45</f>
        <v>955163.26238462282</v>
      </c>
      <c r="I39" s="95"/>
      <c r="J39" s="119">
        <f>B45</f>
        <v>955163.26238462282</v>
      </c>
      <c r="K39" s="120">
        <v>250</v>
      </c>
      <c r="L39" s="120">
        <v>300</v>
      </c>
      <c r="M39" s="120">
        <v>350</v>
      </c>
      <c r="N39" s="120">
        <v>400</v>
      </c>
      <c r="O39" s="120">
        <v>450</v>
      </c>
      <c r="P39" s="120">
        <v>500</v>
      </c>
      <c r="Q39" s="120">
        <v>550</v>
      </c>
    </row>
    <row r="40" spans="1:17" x14ac:dyDescent="0.25">
      <c r="A40" s="92" t="s">
        <v>156</v>
      </c>
      <c r="B40" s="114">
        <f>D17*B39^D18</f>
        <v>63.677550825641511</v>
      </c>
      <c r="D40" s="92" t="str">
        <f ca="1">_xlfn.FORMULATEXT(B40)</f>
        <v>=D17*B39^D18</v>
      </c>
      <c r="F40" s="115">
        <v>260</v>
      </c>
      <c r="G40" s="115">
        <f t="dataTable" ref="G40:G116" dt2D="0" dtr="0" r1="B39" ca="1"/>
        <v>144859.72842847556</v>
      </c>
      <c r="I40" s="96" t="s">
        <v>76</v>
      </c>
      <c r="J40" s="120">
        <v>260</v>
      </c>
      <c r="K40" s="120">
        <f t="dataTable" ref="K40:Q78" dt2D="1" dtr="1" r1="B38" r2="B39"/>
        <v>144859.72842847556</v>
      </c>
      <c r="L40" s="120">
        <v>-579438.91371390224</v>
      </c>
      <c r="M40" s="120">
        <v>-1303737.5558562791</v>
      </c>
      <c r="N40" s="120">
        <v>-2028036.1979986569</v>
      </c>
      <c r="O40" s="120">
        <v>-2752334.8401410338</v>
      </c>
      <c r="P40" s="120">
        <v>-3476633.4822834115</v>
      </c>
      <c r="Q40" s="120">
        <v>-4200932.1244257884</v>
      </c>
    </row>
    <row r="41" spans="1:17" x14ac:dyDescent="0.25">
      <c r="A41" s="92" t="s">
        <v>157</v>
      </c>
      <c r="B41" s="114">
        <f>B40*100</f>
        <v>6367.7550825641511</v>
      </c>
      <c r="D41" s="92" t="str">
        <f ca="1">_xlfn.FORMULATEXT(B41)</f>
        <v>=B40*100</v>
      </c>
      <c r="F41" s="115">
        <v>270</v>
      </c>
      <c r="G41" s="115">
        <v>269590.60184817808</v>
      </c>
      <c r="I41" s="96"/>
      <c r="J41" s="120">
        <v>270</v>
      </c>
      <c r="K41" s="120">
        <v>269590.60184817808</v>
      </c>
      <c r="L41" s="120">
        <v>-404385.90277226688</v>
      </c>
      <c r="M41" s="120">
        <v>-1078362.4073927123</v>
      </c>
      <c r="N41" s="120">
        <v>-1752338.9120131573</v>
      </c>
      <c r="O41" s="120">
        <v>-2426315.4166336022</v>
      </c>
      <c r="P41" s="120">
        <v>-3100291.9212540481</v>
      </c>
      <c r="Q41" s="120">
        <v>-3774268.4258744931</v>
      </c>
    </row>
    <row r="42" spans="1:17" x14ac:dyDescent="0.25">
      <c r="F42" s="115">
        <v>280</v>
      </c>
      <c r="G42" s="115">
        <v>377277.18719872413</v>
      </c>
      <c r="I42" s="96"/>
      <c r="J42" s="120">
        <v>280</v>
      </c>
      <c r="K42" s="120">
        <v>377277.18719872413</v>
      </c>
      <c r="L42" s="120">
        <v>-251518.12479914958</v>
      </c>
      <c r="M42" s="120">
        <v>-880313.43679702282</v>
      </c>
      <c r="N42" s="120">
        <v>-1509108.7487948965</v>
      </c>
      <c r="O42" s="120">
        <v>-2137904.0607927702</v>
      </c>
      <c r="P42" s="120">
        <v>-2766699.3727906439</v>
      </c>
      <c r="Q42" s="120">
        <v>-3395494.6847885177</v>
      </c>
    </row>
    <row r="43" spans="1:17" x14ac:dyDescent="0.25">
      <c r="A43" s="92" t="s">
        <v>153</v>
      </c>
      <c r="B43" s="115">
        <f>B41*B38</f>
        <v>1591938.7706410377</v>
      </c>
      <c r="D43" s="92" t="str">
        <f ca="1">_xlfn.FORMULATEXT(B43)</f>
        <v>=B41*B38</v>
      </c>
      <c r="F43" s="115">
        <v>290</v>
      </c>
      <c r="G43" s="115">
        <v>470458.61526328744</v>
      </c>
      <c r="I43" s="96"/>
      <c r="J43" s="120">
        <v>290</v>
      </c>
      <c r="K43" s="120">
        <v>470458.61526328744</v>
      </c>
      <c r="L43" s="120">
        <v>-117614.65381582174</v>
      </c>
      <c r="M43" s="120">
        <v>-705687.9228949314</v>
      </c>
      <c r="N43" s="120">
        <v>-1293761.1919740411</v>
      </c>
      <c r="O43" s="120">
        <v>-1881834.4610531498</v>
      </c>
      <c r="P43" s="120">
        <v>-2469907.7301322594</v>
      </c>
      <c r="Q43" s="120">
        <v>-3057980.9992113691</v>
      </c>
    </row>
    <row r="44" spans="1:17" x14ac:dyDescent="0.25">
      <c r="A44" s="92" t="s">
        <v>28</v>
      </c>
      <c r="B44" s="115">
        <f>B41*B39</f>
        <v>2547102.0330256606</v>
      </c>
      <c r="D44" s="92" t="str">
        <f ca="1">_xlfn.FORMULATEXT(B44)</f>
        <v>=B41*B39</v>
      </c>
      <c r="F44" s="115">
        <v>300</v>
      </c>
      <c r="G44" s="115">
        <v>551238.40185229108</v>
      </c>
      <c r="I44" s="96"/>
      <c r="J44" s="120">
        <v>300</v>
      </c>
      <c r="K44" s="120">
        <v>551238.40185229108</v>
      </c>
      <c r="L44" s="120">
        <v>0</v>
      </c>
      <c r="M44" s="120">
        <v>-551238.40185229108</v>
      </c>
      <c r="N44" s="120">
        <v>-1102476.8037045817</v>
      </c>
      <c r="O44" s="120">
        <v>-1653715.2055568728</v>
      </c>
      <c r="P44" s="120">
        <v>-2204953.6074091638</v>
      </c>
      <c r="Q44" s="120">
        <v>-2756192.0092614549</v>
      </c>
    </row>
    <row r="45" spans="1:17" x14ac:dyDescent="0.25">
      <c r="A45" s="104" t="s">
        <v>66</v>
      </c>
      <c r="B45" s="115">
        <f>B44-B43</f>
        <v>955163.26238462282</v>
      </c>
      <c r="D45" s="92" t="str">
        <f ca="1">_xlfn.FORMULATEXT(B45)</f>
        <v>=B44-B43</v>
      </c>
      <c r="F45" s="115">
        <v>310</v>
      </c>
      <c r="G45" s="115">
        <v>621369.53021456813</v>
      </c>
      <c r="I45" s="96"/>
      <c r="J45" s="120">
        <v>310</v>
      </c>
      <c r="K45" s="120">
        <v>621369.53021456813</v>
      </c>
      <c r="L45" s="120">
        <v>103561.58836909477</v>
      </c>
      <c r="M45" s="120">
        <v>-414246.3534763786</v>
      </c>
      <c r="N45" s="120">
        <v>-932054.2953218515</v>
      </c>
      <c r="O45" s="120">
        <v>-1449862.2371673249</v>
      </c>
      <c r="P45" s="120">
        <v>-1967670.1790127978</v>
      </c>
      <c r="Q45" s="120">
        <v>-2485478.1208582716</v>
      </c>
    </row>
    <row r="46" spans="1:17" x14ac:dyDescent="0.25">
      <c r="F46" s="115">
        <v>320</v>
      </c>
      <c r="G46" s="115">
        <v>682320.93416212313</v>
      </c>
      <c r="I46" s="96"/>
      <c r="J46" s="120">
        <v>320</v>
      </c>
      <c r="K46" s="120">
        <v>682320.93416212313</v>
      </c>
      <c r="L46" s="120">
        <v>194948.83833203511</v>
      </c>
      <c r="M46" s="120">
        <v>-292423.2574980529</v>
      </c>
      <c r="N46" s="120">
        <v>-779795.35332814092</v>
      </c>
      <c r="O46" s="120">
        <v>-1267167.4491582289</v>
      </c>
      <c r="P46" s="120">
        <v>-1754539.5449883174</v>
      </c>
      <c r="Q46" s="120">
        <v>-2241911.640818405</v>
      </c>
    </row>
    <row r="47" spans="1:17" x14ac:dyDescent="0.25">
      <c r="F47" s="115">
        <v>330</v>
      </c>
      <c r="G47" s="115">
        <v>735329.86392835062</v>
      </c>
      <c r="I47" s="96"/>
      <c r="J47" s="120">
        <v>330</v>
      </c>
      <c r="K47" s="120">
        <v>735329.86392835062</v>
      </c>
      <c r="L47" s="120">
        <v>275748.69897313137</v>
      </c>
      <c r="M47" s="120">
        <v>-183832.46598208742</v>
      </c>
      <c r="N47" s="120">
        <v>-643413.63093730668</v>
      </c>
      <c r="O47" s="120">
        <v>-1102994.7958925259</v>
      </c>
      <c r="P47" s="120">
        <v>-1562575.9608477447</v>
      </c>
      <c r="Q47" s="120">
        <v>-2022157.125802964</v>
      </c>
    </row>
    <row r="48" spans="1:17" x14ac:dyDescent="0.25">
      <c r="F48" s="115">
        <v>340</v>
      </c>
      <c r="G48" s="115">
        <v>781443.44106265297</v>
      </c>
      <c r="I48" s="96"/>
      <c r="J48" s="120">
        <v>340</v>
      </c>
      <c r="K48" s="120">
        <v>781443.44106265297</v>
      </c>
      <c r="L48" s="120">
        <v>347308.19602784561</v>
      </c>
      <c r="M48" s="120">
        <v>-86827.049006961286</v>
      </c>
      <c r="N48" s="120">
        <v>-520962.29404176865</v>
      </c>
      <c r="O48" s="120">
        <v>-955097.53907657554</v>
      </c>
      <c r="P48" s="120">
        <v>-1389232.7841113824</v>
      </c>
      <c r="Q48" s="120">
        <v>-1823368.0291461898</v>
      </c>
    </row>
    <row r="49" spans="6:17" x14ac:dyDescent="0.25">
      <c r="F49" s="115">
        <v>350</v>
      </c>
      <c r="G49" s="115">
        <v>821551.86522268457</v>
      </c>
      <c r="I49" s="96"/>
      <c r="J49" s="120">
        <v>350</v>
      </c>
      <c r="K49" s="120">
        <v>821551.86522268457</v>
      </c>
      <c r="L49" s="120">
        <v>410775.93261134205</v>
      </c>
      <c r="M49" s="120">
        <v>0</v>
      </c>
      <c r="N49" s="120">
        <v>-410775.93261134205</v>
      </c>
      <c r="O49" s="120">
        <v>-821551.86522268457</v>
      </c>
      <c r="P49" s="120">
        <v>-1232327.7978340266</v>
      </c>
      <c r="Q49" s="120">
        <v>-1643103.7304453691</v>
      </c>
    </row>
    <row r="50" spans="6:17" x14ac:dyDescent="0.25">
      <c r="F50" s="115">
        <v>360</v>
      </c>
      <c r="G50" s="115">
        <v>856415.12424477958</v>
      </c>
      <c r="I50" s="96"/>
      <c r="J50" s="120">
        <v>360</v>
      </c>
      <c r="K50" s="120">
        <v>856415.12424477958</v>
      </c>
      <c r="L50" s="120">
        <v>467135.52231533453</v>
      </c>
      <c r="M50" s="120">
        <v>77855.920385889243</v>
      </c>
      <c r="N50" s="120">
        <v>-311423.68154355604</v>
      </c>
      <c r="O50" s="120">
        <v>-700703.28347300133</v>
      </c>
      <c r="P50" s="120">
        <v>-1089982.8854024466</v>
      </c>
      <c r="Q50" s="120">
        <v>-1479262.4873318919</v>
      </c>
    </row>
    <row r="51" spans="6:17" x14ac:dyDescent="0.25">
      <c r="F51" s="115">
        <v>370</v>
      </c>
      <c r="G51" s="115">
        <v>886684.61116254725</v>
      </c>
      <c r="I51" s="96"/>
      <c r="J51" s="120">
        <v>370</v>
      </c>
      <c r="K51" s="120">
        <v>886684.61116254725</v>
      </c>
      <c r="L51" s="120">
        <v>517232.68984481925</v>
      </c>
      <c r="M51" s="120">
        <v>147780.76852709148</v>
      </c>
      <c r="N51" s="120">
        <v>-221671.15279063676</v>
      </c>
      <c r="O51" s="120">
        <v>-591123.07410836453</v>
      </c>
      <c r="P51" s="120">
        <v>-960574.9954260923</v>
      </c>
      <c r="Q51" s="120">
        <v>-1330026.9167438205</v>
      </c>
    </row>
    <row r="52" spans="6:17" x14ac:dyDescent="0.25">
      <c r="F52" s="115">
        <v>380</v>
      </c>
      <c r="G52" s="115">
        <v>912920.72098907013</v>
      </c>
      <c r="I52" s="96"/>
      <c r="J52" s="120">
        <v>380</v>
      </c>
      <c r="K52" s="120">
        <v>912920.72098907013</v>
      </c>
      <c r="L52" s="120">
        <v>561797.36676250491</v>
      </c>
      <c r="M52" s="120">
        <v>210674.01253593946</v>
      </c>
      <c r="N52" s="120">
        <v>-140449.341690626</v>
      </c>
      <c r="O52" s="120">
        <v>-491572.69591719145</v>
      </c>
      <c r="P52" s="120">
        <v>-842696.05014375644</v>
      </c>
      <c r="Q52" s="120">
        <v>-1193819.4043703219</v>
      </c>
    </row>
    <row r="53" spans="6:17" x14ac:dyDescent="0.25">
      <c r="F53" s="115">
        <v>390</v>
      </c>
      <c r="G53" s="115">
        <v>935607.253438466</v>
      </c>
      <c r="I53" s="96"/>
      <c r="J53" s="120">
        <v>390</v>
      </c>
      <c r="K53" s="120">
        <v>935607.253438466</v>
      </c>
      <c r="L53" s="120">
        <v>601461.80578187108</v>
      </c>
      <c r="M53" s="120">
        <v>267316.35812527593</v>
      </c>
      <c r="N53" s="120">
        <v>-66829.08953131875</v>
      </c>
      <c r="O53" s="120">
        <v>-400974.5371879139</v>
      </c>
      <c r="P53" s="120">
        <v>-735119.98484450858</v>
      </c>
      <c r="Q53" s="120">
        <v>-1069265.4325011037</v>
      </c>
    </row>
    <row r="54" spans="6:17" x14ac:dyDescent="0.25">
      <c r="F54" s="115">
        <v>400</v>
      </c>
      <c r="G54" s="115">
        <v>955163.26238462282</v>
      </c>
      <c r="I54" s="96"/>
      <c r="J54" s="120">
        <v>400</v>
      </c>
      <c r="K54" s="120">
        <v>955163.26238462282</v>
      </c>
      <c r="L54" s="120">
        <v>636775.50825641514</v>
      </c>
      <c r="M54" s="120">
        <v>318387.75412820745</v>
      </c>
      <c r="N54" s="120">
        <v>0</v>
      </c>
      <c r="O54" s="120">
        <v>-318387.75412820745</v>
      </c>
      <c r="P54" s="120">
        <v>-636775.50825641491</v>
      </c>
      <c r="Q54" s="120">
        <v>-955163.26238462236</v>
      </c>
    </row>
    <row r="55" spans="6:17" x14ac:dyDescent="0.25">
      <c r="F55" s="115">
        <v>410</v>
      </c>
      <c r="G55" s="115">
        <v>971952.85243747453</v>
      </c>
      <c r="I55" s="96"/>
      <c r="J55" s="120">
        <v>410</v>
      </c>
      <c r="K55" s="120">
        <v>971952.85243747453</v>
      </c>
      <c r="L55" s="120">
        <v>668217.58605076349</v>
      </c>
      <c r="M55" s="120">
        <v>364482.31966405269</v>
      </c>
      <c r="N55" s="120">
        <v>60747.053277342115</v>
      </c>
      <c r="O55" s="120">
        <v>-242988.21310936892</v>
      </c>
      <c r="P55" s="120">
        <v>-546723.4794960795</v>
      </c>
      <c r="Q55" s="120">
        <v>-850458.74588279054</v>
      </c>
    </row>
    <row r="56" spans="6:17" x14ac:dyDescent="0.25">
      <c r="F56" s="115">
        <v>420</v>
      </c>
      <c r="G56" s="115">
        <v>986293.31587235699</v>
      </c>
      <c r="I56" s="96"/>
      <c r="J56" s="120">
        <v>420</v>
      </c>
      <c r="K56" s="120">
        <v>986293.31587235699</v>
      </c>
      <c r="L56" s="120">
        <v>696207.04649813427</v>
      </c>
      <c r="M56" s="120">
        <v>406120.77712391177</v>
      </c>
      <c r="N56" s="120">
        <v>116034.50774968928</v>
      </c>
      <c r="O56" s="120">
        <v>-174051.76162453368</v>
      </c>
      <c r="P56" s="120">
        <v>-464138.03099875618</v>
      </c>
      <c r="Q56" s="120">
        <v>-754224.30037297867</v>
      </c>
    </row>
    <row r="57" spans="6:17" x14ac:dyDescent="0.25">
      <c r="F57" s="115">
        <v>430</v>
      </c>
      <c r="G57" s="115">
        <v>998461.92082203622</v>
      </c>
      <c r="I57" s="96"/>
      <c r="J57" s="120">
        <v>430</v>
      </c>
      <c r="K57" s="120">
        <v>998461.92082203622</v>
      </c>
      <c r="L57" s="120">
        <v>721111.38726035948</v>
      </c>
      <c r="M57" s="120">
        <v>443760.85369868297</v>
      </c>
      <c r="N57" s="120">
        <v>166410.32013700623</v>
      </c>
      <c r="O57" s="120">
        <v>-110940.21342467051</v>
      </c>
      <c r="P57" s="120">
        <v>-388290.74698634725</v>
      </c>
      <c r="Q57" s="120">
        <v>-665641.28054802399</v>
      </c>
    </row>
    <row r="58" spans="6:17" x14ac:dyDescent="0.25">
      <c r="F58" s="115">
        <v>440</v>
      </c>
      <c r="G58" s="115">
        <v>1008701.5979665397</v>
      </c>
      <c r="I58" s="96"/>
      <c r="J58" s="120">
        <v>440</v>
      </c>
      <c r="K58" s="120">
        <v>1008701.5979665397</v>
      </c>
      <c r="L58" s="120">
        <v>743253.80902797659</v>
      </c>
      <c r="M58" s="120">
        <v>477806.02008941351</v>
      </c>
      <c r="N58" s="120">
        <v>212358.23115085065</v>
      </c>
      <c r="O58" s="120">
        <v>-53089.557787712663</v>
      </c>
      <c r="P58" s="120">
        <v>-318537.34672627551</v>
      </c>
      <c r="Q58" s="120">
        <v>-583985.13566483883</v>
      </c>
    </row>
    <row r="59" spans="6:17" x14ac:dyDescent="0.25">
      <c r="F59" s="115">
        <v>450</v>
      </c>
      <c r="G59" s="115">
        <v>1017225.7233983984</v>
      </c>
      <c r="I59" s="96"/>
      <c r="J59" s="120">
        <v>450</v>
      </c>
      <c r="K59" s="120">
        <v>1017225.7233983984</v>
      </c>
      <c r="L59" s="120">
        <v>762919.29254879872</v>
      </c>
      <c r="M59" s="120">
        <v>508612.86169919907</v>
      </c>
      <c r="N59" s="120">
        <v>254306.43084959942</v>
      </c>
      <c r="O59" s="120">
        <v>0</v>
      </c>
      <c r="P59" s="120">
        <v>-254306.43084959965</v>
      </c>
      <c r="Q59" s="120">
        <v>-508612.8616991993</v>
      </c>
    </row>
    <row r="60" spans="6:17" x14ac:dyDescent="0.25">
      <c r="F60" s="115">
        <v>460</v>
      </c>
      <c r="G60" s="115">
        <v>1024222.1565401531</v>
      </c>
      <c r="I60" s="96"/>
      <c r="J60" s="120">
        <v>460</v>
      </c>
      <c r="K60" s="120">
        <v>1024222.1565401531</v>
      </c>
      <c r="L60" s="120">
        <v>780359.73831630708</v>
      </c>
      <c r="M60" s="120">
        <v>536497.3200924613</v>
      </c>
      <c r="N60" s="120">
        <v>292634.9018686153</v>
      </c>
      <c r="O60" s="120">
        <v>48772.483644769527</v>
      </c>
      <c r="P60" s="120">
        <v>-195089.93457907671</v>
      </c>
      <c r="Q60" s="120">
        <v>-438952.35280292248</v>
      </c>
    </row>
    <row r="61" spans="6:17" x14ac:dyDescent="0.25">
      <c r="F61" s="115">
        <v>470</v>
      </c>
      <c r="G61" s="115">
        <v>1029856.6614397548</v>
      </c>
      <c r="I61" s="96"/>
      <c r="J61" s="120">
        <v>470</v>
      </c>
      <c r="K61" s="120">
        <v>1029856.6614397548</v>
      </c>
      <c r="L61" s="120">
        <v>795798.32929435605</v>
      </c>
      <c r="M61" s="120">
        <v>561739.9971489571</v>
      </c>
      <c r="N61" s="120">
        <v>327681.66500355839</v>
      </c>
      <c r="O61" s="120">
        <v>93623.332858159672</v>
      </c>
      <c r="P61" s="120">
        <v>-140434.99928723928</v>
      </c>
      <c r="Q61" s="120">
        <v>-374493.33143263776</v>
      </c>
    </row>
    <row r="62" spans="6:17" x14ac:dyDescent="0.25">
      <c r="F62" s="115">
        <v>480</v>
      </c>
      <c r="G62" s="115">
        <v>1034275.8155834542</v>
      </c>
      <c r="I62" s="96"/>
      <c r="J62" s="120">
        <v>480</v>
      </c>
      <c r="K62" s="120">
        <v>1034275.8155834542</v>
      </c>
      <c r="L62" s="120">
        <v>809433.24697835557</v>
      </c>
      <c r="M62" s="120">
        <v>584590.67837325693</v>
      </c>
      <c r="N62" s="120">
        <v>359748.10976815806</v>
      </c>
      <c r="O62" s="120">
        <v>134905.54116305942</v>
      </c>
      <c r="P62" s="120">
        <v>-89937.027442039456</v>
      </c>
      <c r="Q62" s="120">
        <v>-314779.59604713786</v>
      </c>
    </row>
    <row r="63" spans="6:17" x14ac:dyDescent="0.25">
      <c r="F63" s="115">
        <v>490</v>
      </c>
      <c r="G63" s="115">
        <v>1037609.4911199291</v>
      </c>
      <c r="I63" s="96"/>
      <c r="J63" s="120">
        <v>490</v>
      </c>
      <c r="K63" s="120">
        <v>1037609.4911199291</v>
      </c>
      <c r="L63" s="120">
        <v>821440.84713661065</v>
      </c>
      <c r="M63" s="120">
        <v>605272.20315329218</v>
      </c>
      <c r="N63" s="120">
        <v>389103.55916997371</v>
      </c>
      <c r="O63" s="120">
        <v>172934.91518665501</v>
      </c>
      <c r="P63" s="120">
        <v>-43233.728796663694</v>
      </c>
      <c r="Q63" s="120">
        <v>-259402.37277998216</v>
      </c>
    </row>
    <row r="64" spans="6:17" x14ac:dyDescent="0.25">
      <c r="F64" s="115">
        <v>500</v>
      </c>
      <c r="G64" s="115">
        <v>1039972.9779989794</v>
      </c>
      <c r="I64" s="96"/>
      <c r="J64" s="120">
        <v>500</v>
      </c>
      <c r="K64" s="120">
        <v>1039972.9779989794</v>
      </c>
      <c r="L64" s="120">
        <v>831978.3823991837</v>
      </c>
      <c r="M64" s="120">
        <v>623983.78679938777</v>
      </c>
      <c r="N64" s="120">
        <v>415989.19119959185</v>
      </c>
      <c r="O64" s="120">
        <v>207994.59559979592</v>
      </c>
      <c r="P64" s="120">
        <v>0</v>
      </c>
      <c r="Q64" s="120">
        <v>-207994.59559979569</v>
      </c>
    </row>
    <row r="65" spans="6:17" x14ac:dyDescent="0.25">
      <c r="F65" s="115">
        <v>510</v>
      </c>
      <c r="G65" s="115">
        <v>1041468.8061629091</v>
      </c>
      <c r="I65" s="96"/>
      <c r="J65" s="120">
        <v>510</v>
      </c>
      <c r="K65" s="120">
        <v>1041468.8061629091</v>
      </c>
      <c r="L65" s="120">
        <v>841186.34343927284</v>
      </c>
      <c r="M65" s="120">
        <v>640903.8807156363</v>
      </c>
      <c r="N65" s="120">
        <v>440621.417992</v>
      </c>
      <c r="O65" s="120">
        <v>240338.9552683637</v>
      </c>
      <c r="P65" s="120">
        <v>40056.4925447274</v>
      </c>
      <c r="Q65" s="120">
        <v>-160225.97017890913</v>
      </c>
    </row>
    <row r="66" spans="6:17" x14ac:dyDescent="0.25">
      <c r="F66" s="115">
        <v>520</v>
      </c>
      <c r="G66" s="115">
        <v>1042188.3139489595</v>
      </c>
      <c r="I66" s="96"/>
      <c r="J66" s="120">
        <v>520</v>
      </c>
      <c r="K66" s="120">
        <v>1042188.3139489595</v>
      </c>
      <c r="L66" s="120">
        <v>849190.47803248558</v>
      </c>
      <c r="M66" s="120">
        <v>656192.64211601159</v>
      </c>
      <c r="N66" s="120">
        <v>463194.80619953759</v>
      </c>
      <c r="O66" s="120">
        <v>270196.97028306359</v>
      </c>
      <c r="P66" s="120">
        <v>77199.134366589598</v>
      </c>
      <c r="Q66" s="120">
        <v>-115798.70154988416</v>
      </c>
    </row>
    <row r="67" spans="6:17" x14ac:dyDescent="0.25">
      <c r="F67" s="115">
        <v>530</v>
      </c>
      <c r="G67" s="115">
        <v>1042213.0017719698</v>
      </c>
      <c r="I67" s="96"/>
      <c r="J67" s="120">
        <v>530</v>
      </c>
      <c r="K67" s="120">
        <v>1042213.0017719698</v>
      </c>
      <c r="L67" s="120">
        <v>856103.53716983227</v>
      </c>
      <c r="M67" s="120">
        <v>669994.07256769482</v>
      </c>
      <c r="N67" s="120">
        <v>483884.60796555737</v>
      </c>
      <c r="O67" s="120">
        <v>297775.14336341992</v>
      </c>
      <c r="P67" s="120">
        <v>111665.67876128247</v>
      </c>
      <c r="Q67" s="120">
        <v>-74443.78584085498</v>
      </c>
    </row>
    <row r="68" spans="6:17" x14ac:dyDescent="0.25">
      <c r="F68" s="115">
        <v>540</v>
      </c>
      <c r="G68" s="115">
        <v>1041615.7035724644</v>
      </c>
      <c r="I68" s="96"/>
      <c r="J68" s="120">
        <v>540</v>
      </c>
      <c r="K68" s="120">
        <v>1041615.7035724644</v>
      </c>
      <c r="L68" s="120">
        <v>862026.78916341881</v>
      </c>
      <c r="M68" s="120">
        <v>682437.87475437322</v>
      </c>
      <c r="N68" s="120">
        <v>502848.96034532762</v>
      </c>
      <c r="O68" s="120">
        <v>323260.04593628203</v>
      </c>
      <c r="P68" s="120">
        <v>143671.13152723666</v>
      </c>
      <c r="Q68" s="120">
        <v>-35917.782881808933</v>
      </c>
    </row>
    <row r="69" spans="6:17" x14ac:dyDescent="0.25">
      <c r="F69" s="115">
        <v>550</v>
      </c>
      <c r="G69" s="115">
        <v>1040461.6031350964</v>
      </c>
      <c r="I69" s="96"/>
      <c r="J69" s="120">
        <v>550</v>
      </c>
      <c r="K69" s="120">
        <v>1040461.6031350964</v>
      </c>
      <c r="L69" s="120">
        <v>867051.33594591368</v>
      </c>
      <c r="M69" s="120">
        <v>693641.06875673099</v>
      </c>
      <c r="N69" s="120">
        <v>520230.80156754819</v>
      </c>
      <c r="O69" s="120">
        <v>346820.53437836538</v>
      </c>
      <c r="P69" s="120">
        <v>173410.26718918281</v>
      </c>
      <c r="Q69" s="120">
        <v>0</v>
      </c>
    </row>
    <row r="70" spans="6:17" x14ac:dyDescent="0.25">
      <c r="F70" s="115">
        <v>560</v>
      </c>
      <c r="G70" s="115">
        <v>1038809.1179690239</v>
      </c>
      <c r="I70" s="96"/>
      <c r="J70" s="120">
        <v>560</v>
      </c>
      <c r="K70" s="120">
        <v>1038809.1179690239</v>
      </c>
      <c r="L70" s="120">
        <v>871259.26023208455</v>
      </c>
      <c r="M70" s="120">
        <v>703709.4024951451</v>
      </c>
      <c r="N70" s="120">
        <v>536159.544758206</v>
      </c>
      <c r="O70" s="120">
        <v>368609.68702126667</v>
      </c>
      <c r="P70" s="120">
        <v>201059.82928432734</v>
      </c>
      <c r="Q70" s="120">
        <v>33509.971547388006</v>
      </c>
    </row>
    <row r="71" spans="6:17" x14ac:dyDescent="0.25">
      <c r="F71" s="115">
        <v>570</v>
      </c>
      <c r="G71" s="115">
        <v>1036710.669808225</v>
      </c>
      <c r="I71" s="96"/>
      <c r="J71" s="120">
        <v>570</v>
      </c>
      <c r="K71" s="120">
        <v>1036710.669808225</v>
      </c>
      <c r="L71" s="120">
        <v>874724.6276506898</v>
      </c>
      <c r="M71" s="120">
        <v>712738.58549315459</v>
      </c>
      <c r="N71" s="120">
        <v>550752.54333561938</v>
      </c>
      <c r="O71" s="120">
        <v>388766.50117808441</v>
      </c>
      <c r="P71" s="120">
        <v>226780.4590205492</v>
      </c>
      <c r="Q71" s="120">
        <v>64794.41686301399</v>
      </c>
    </row>
    <row r="72" spans="6:17" x14ac:dyDescent="0.25">
      <c r="F72" s="115">
        <v>580</v>
      </c>
      <c r="G72" s="115">
        <v>1034213.3577876764</v>
      </c>
      <c r="I72" s="96"/>
      <c r="J72" s="120">
        <v>580</v>
      </c>
      <c r="K72" s="120">
        <v>1034213.3577876764</v>
      </c>
      <c r="L72" s="120">
        <v>877514.36418348295</v>
      </c>
      <c r="M72" s="120">
        <v>720815.37057928951</v>
      </c>
      <c r="N72" s="120">
        <v>564116.37697509606</v>
      </c>
      <c r="O72" s="120">
        <v>407417.38337090285</v>
      </c>
      <c r="P72" s="120">
        <v>250718.38976670941</v>
      </c>
      <c r="Q72" s="120">
        <v>94019.396162515972</v>
      </c>
    </row>
    <row r="73" spans="6:17" x14ac:dyDescent="0.25">
      <c r="F73" s="115">
        <v>590</v>
      </c>
      <c r="G73" s="115">
        <v>1031359.5478624469</v>
      </c>
      <c r="I73" s="96"/>
      <c r="J73" s="120">
        <v>590</v>
      </c>
      <c r="K73" s="120">
        <v>1031359.5478624469</v>
      </c>
      <c r="L73" s="120">
        <v>879689.02611796942</v>
      </c>
      <c r="M73" s="120">
        <v>728018.50437349197</v>
      </c>
      <c r="N73" s="120">
        <v>576347.98262901441</v>
      </c>
      <c r="O73" s="120">
        <v>424677.46088453708</v>
      </c>
      <c r="P73" s="120">
        <v>273006.93914005952</v>
      </c>
      <c r="Q73" s="120">
        <v>121336.41739558196</v>
      </c>
    </row>
    <row r="74" spans="6:17" x14ac:dyDescent="0.25">
      <c r="F74" s="115">
        <v>600</v>
      </c>
      <c r="G74" s="115">
        <v>1028187.3899667513</v>
      </c>
      <c r="I74" s="96"/>
      <c r="J74" s="120">
        <v>600</v>
      </c>
      <c r="K74" s="120">
        <v>1028187.3899667513</v>
      </c>
      <c r="L74" s="120">
        <v>881303.47711435833</v>
      </c>
      <c r="M74" s="120">
        <v>734419.56426196522</v>
      </c>
      <c r="N74" s="120">
        <v>587535.65140957222</v>
      </c>
      <c r="O74" s="120">
        <v>440651.73855717899</v>
      </c>
      <c r="P74" s="120">
        <v>293767.825704786</v>
      </c>
      <c r="Q74" s="120">
        <v>146883.912852393</v>
      </c>
    </row>
    <row r="75" spans="6:17" x14ac:dyDescent="0.25">
      <c r="F75" s="115">
        <v>610</v>
      </c>
      <c r="G75" s="115">
        <v>1024731.2726827315</v>
      </c>
      <c r="I75" s="96"/>
      <c r="J75" s="120">
        <v>610</v>
      </c>
      <c r="K75" s="120">
        <v>1024731.2726827315</v>
      </c>
      <c r="L75" s="120">
        <v>882407.48481012986</v>
      </c>
      <c r="M75" s="120">
        <v>740083.69693752832</v>
      </c>
      <c r="N75" s="120">
        <v>597759.90906492667</v>
      </c>
      <c r="O75" s="120">
        <v>455436.12119232514</v>
      </c>
      <c r="P75" s="120">
        <v>313112.33331972361</v>
      </c>
      <c r="Q75" s="120">
        <v>170788.54544712184</v>
      </c>
    </row>
    <row r="76" spans="6:17" x14ac:dyDescent="0.25">
      <c r="F76" s="115">
        <v>620</v>
      </c>
      <c r="G76" s="115">
        <v>1021022.2237432048</v>
      </c>
      <c r="I76" s="96"/>
      <c r="J76" s="120">
        <v>620</v>
      </c>
      <c r="K76" s="120">
        <v>1021022.2237432048</v>
      </c>
      <c r="L76" s="120">
        <v>883046.24756169063</v>
      </c>
      <c r="M76" s="120">
        <v>745070.27138017653</v>
      </c>
      <c r="N76" s="120">
        <v>607094.29519866221</v>
      </c>
      <c r="O76" s="120">
        <v>469118.31901714811</v>
      </c>
      <c r="P76" s="120">
        <v>331142.34283563402</v>
      </c>
      <c r="Q76" s="120">
        <v>193166.36665411969</v>
      </c>
    </row>
    <row r="77" spans="6:17" x14ac:dyDescent="0.25">
      <c r="F77" s="115">
        <v>630</v>
      </c>
      <c r="G77" s="115">
        <v>1017088.2634793159</v>
      </c>
      <c r="I77" s="96"/>
      <c r="J77" s="120">
        <v>630</v>
      </c>
      <c r="K77" s="120">
        <v>1017088.2634793159</v>
      </c>
      <c r="L77" s="120">
        <v>883260.86038993229</v>
      </c>
      <c r="M77" s="120">
        <v>749433.45730054856</v>
      </c>
      <c r="N77" s="120">
        <v>615606.05421116482</v>
      </c>
      <c r="O77" s="120">
        <v>481778.65112178121</v>
      </c>
      <c r="P77" s="120">
        <v>347951.24803239759</v>
      </c>
      <c r="Q77" s="120">
        <v>214123.84494301397</v>
      </c>
    </row>
    <row r="78" spans="6:17" x14ac:dyDescent="0.25">
      <c r="F78" s="115">
        <v>640</v>
      </c>
      <c r="G78" s="115">
        <v>1012954.7173026291</v>
      </c>
      <c r="I78" s="96"/>
      <c r="J78" s="120">
        <v>640</v>
      </c>
      <c r="K78" s="120">
        <v>1012954.7173026291</v>
      </c>
      <c r="L78" s="120">
        <v>883088.7279048562</v>
      </c>
      <c r="M78" s="120">
        <v>753222.73850708327</v>
      </c>
      <c r="N78" s="120">
        <v>623356.74910931021</v>
      </c>
      <c r="O78" s="120">
        <v>493490.75971153728</v>
      </c>
      <c r="P78" s="120">
        <v>363624.77031376422</v>
      </c>
      <c r="Q78" s="120">
        <v>233758.7809159914</v>
      </c>
    </row>
    <row r="79" spans="6:17" x14ac:dyDescent="0.25">
      <c r="F79" s="115">
        <v>650</v>
      </c>
      <c r="G79" s="115">
        <v>1008644.4924491229</v>
      </c>
    </row>
    <row r="80" spans="6:17" x14ac:dyDescent="0.25">
      <c r="F80" s="115">
        <v>660</v>
      </c>
      <c r="G80" s="115">
        <v>1004178.3234829371</v>
      </c>
    </row>
    <row r="81" spans="6:7" x14ac:dyDescent="0.25">
      <c r="F81" s="115">
        <v>670</v>
      </c>
      <c r="G81" s="115">
        <v>999574.99043870345</v>
      </c>
    </row>
    <row r="82" spans="6:7" x14ac:dyDescent="0.25">
      <c r="F82" s="115">
        <v>680</v>
      </c>
      <c r="G82" s="115">
        <v>994851.51295467373</v>
      </c>
    </row>
    <row r="83" spans="6:7" x14ac:dyDescent="0.25">
      <c r="F83" s="115">
        <v>690</v>
      </c>
      <c r="G83" s="115">
        <v>990023.32329994719</v>
      </c>
    </row>
    <row r="84" spans="6:7" x14ac:dyDescent="0.25">
      <c r="F84" s="115">
        <v>700</v>
      </c>
      <c r="G84" s="115">
        <v>985104.42081539321</v>
      </c>
    </row>
    <row r="85" spans="6:7" x14ac:dyDescent="0.25">
      <c r="F85" s="115">
        <v>710</v>
      </c>
      <c r="G85" s="115">
        <v>980107.50995916908</v>
      </c>
    </row>
    <row r="86" spans="6:7" x14ac:dyDescent="0.25">
      <c r="F86" s="115">
        <v>720</v>
      </c>
      <c r="G86" s="115">
        <v>975044.1238656675</v>
      </c>
    </row>
    <row r="87" spans="6:7" x14ac:dyDescent="0.25">
      <c r="F87" s="115">
        <v>730</v>
      </c>
      <c r="G87" s="115">
        <v>969924.73508398188</v>
      </c>
    </row>
    <row r="88" spans="6:7" x14ac:dyDescent="0.25">
      <c r="F88" s="115">
        <v>740</v>
      </c>
      <c r="G88" s="115">
        <v>964758.8549528002</v>
      </c>
    </row>
    <row r="89" spans="6:7" x14ac:dyDescent="0.25">
      <c r="F89" s="115">
        <v>750</v>
      </c>
      <c r="G89" s="115">
        <v>959555.12288789009</v>
      </c>
    </row>
    <row r="90" spans="6:7" x14ac:dyDescent="0.25">
      <c r="F90" s="115">
        <v>760</v>
      </c>
      <c r="G90" s="115">
        <v>954321.38670201262</v>
      </c>
    </row>
    <row r="91" spans="6:7" x14ac:dyDescent="0.25">
      <c r="F91" s="115">
        <v>770</v>
      </c>
      <c r="G91" s="115">
        <v>949064.7749414182</v>
      </c>
    </row>
    <row r="92" spans="6:7" x14ac:dyDescent="0.25">
      <c r="F92" s="115">
        <v>780</v>
      </c>
      <c r="G92" s="115">
        <v>943791.76210536808</v>
      </c>
    </row>
    <row r="93" spans="6:7" x14ac:dyDescent="0.25">
      <c r="F93" s="115">
        <v>790</v>
      </c>
      <c r="G93" s="115">
        <v>938508.22751260083</v>
      </c>
    </row>
    <row r="94" spans="6:7" x14ac:dyDescent="0.25">
      <c r="F94" s="115">
        <v>800</v>
      </c>
      <c r="G94" s="115">
        <v>933219.50848926988</v>
      </c>
    </row>
    <row r="95" spans="6:7" x14ac:dyDescent="0.25">
      <c r="F95" s="115">
        <v>810</v>
      </c>
      <c r="G95" s="115">
        <v>927930.44847494666</v>
      </c>
    </row>
    <row r="96" spans="6:7" x14ac:dyDescent="0.25">
      <c r="F96" s="115">
        <v>820</v>
      </c>
      <c r="G96" s="115">
        <v>922645.44057495799</v>
      </c>
    </row>
    <row r="97" spans="6:7" x14ac:dyDescent="0.25">
      <c r="F97" s="115">
        <v>830</v>
      </c>
      <c r="G97" s="115">
        <v>917368.46702761366</v>
      </c>
    </row>
    <row r="98" spans="6:7" x14ac:dyDescent="0.25">
      <c r="F98" s="115">
        <v>840</v>
      </c>
      <c r="G98" s="115">
        <v>912103.13500239153</v>
      </c>
    </row>
    <row r="99" spans="6:7" x14ac:dyDescent="0.25">
      <c r="F99" s="115">
        <v>850</v>
      </c>
      <c r="G99" s="115">
        <v>906852.70909909625</v>
      </c>
    </row>
    <row r="100" spans="6:7" x14ac:dyDescent="0.25">
      <c r="F100" s="115">
        <v>860</v>
      </c>
      <c r="G100" s="115">
        <v>901620.14087741717</v>
      </c>
    </row>
    <row r="101" spans="6:7" x14ac:dyDescent="0.25">
      <c r="F101" s="115">
        <v>870</v>
      </c>
      <c r="G101" s="115">
        <v>896408.09571059258</v>
      </c>
    </row>
    <row r="102" spans="6:7" x14ac:dyDescent="0.25">
      <c r="F102" s="115">
        <v>880</v>
      </c>
      <c r="G102" s="115">
        <v>891218.97722535138</v>
      </c>
    </row>
    <row r="103" spans="6:7" x14ac:dyDescent="0.25">
      <c r="F103" s="115">
        <v>890</v>
      </c>
      <c r="G103" s="115">
        <v>886054.94956237264</v>
      </c>
    </row>
    <row r="104" spans="6:7" x14ac:dyDescent="0.25">
      <c r="F104" s="115">
        <v>900</v>
      </c>
      <c r="G104" s="115">
        <v>880917.95766693447</v>
      </c>
    </row>
    <row r="105" spans="6:7" x14ac:dyDescent="0.25">
      <c r="F105" s="115">
        <v>910</v>
      </c>
      <c r="G105" s="115">
        <v>875809.74579744879</v>
      </c>
    </row>
    <row r="106" spans="6:7" x14ac:dyDescent="0.25">
      <c r="F106" s="115">
        <v>920</v>
      </c>
      <c r="G106" s="115">
        <v>870731.87442029815</v>
      </c>
    </row>
    <row r="107" spans="6:7" x14ac:dyDescent="0.25">
      <c r="F107" s="115">
        <v>930</v>
      </c>
      <c r="G107" s="115">
        <v>865685.73564207088</v>
      </c>
    </row>
    <row r="108" spans="6:7" x14ac:dyDescent="0.25">
      <c r="F108" s="115">
        <v>940</v>
      </c>
      <c r="G108" s="115">
        <v>860672.56731504342</v>
      </c>
    </row>
    <row r="109" spans="6:7" x14ac:dyDescent="0.25">
      <c r="F109" s="115">
        <v>950</v>
      </c>
      <c r="G109" s="115">
        <v>855693.46593807475</v>
      </c>
    </row>
    <row r="110" spans="6:7" x14ac:dyDescent="0.25">
      <c r="F110" s="115">
        <v>960</v>
      </c>
      <c r="G110" s="115">
        <v>850749.39846291335</v>
      </c>
    </row>
    <row r="111" spans="6:7" x14ac:dyDescent="0.25">
      <c r="F111" s="115">
        <v>970</v>
      </c>
      <c r="G111" s="115">
        <v>845841.21310510824</v>
      </c>
    </row>
    <row r="112" spans="6:7" x14ac:dyDescent="0.25">
      <c r="F112" s="115">
        <v>980</v>
      </c>
      <c r="G112" s="115">
        <v>840969.6492489638</v>
      </c>
    </row>
    <row r="113" spans="6:7" x14ac:dyDescent="0.25">
      <c r="F113" s="115">
        <v>990</v>
      </c>
      <c r="G113" s="115">
        <v>836135.34652733605</v>
      </c>
    </row>
    <row r="114" spans="6:7" x14ac:dyDescent="0.25">
      <c r="F114" s="115">
        <v>1000</v>
      </c>
      <c r="G114" s="115">
        <v>831338.85314930137</v>
      </c>
    </row>
    <row r="115" spans="6:7" x14ac:dyDescent="0.25">
      <c r="F115" s="115">
        <v>1010</v>
      </c>
      <c r="G115" s="115">
        <v>826580.6335417449</v>
      </c>
    </row>
    <row r="116" spans="6:7" x14ac:dyDescent="0.25">
      <c r="F116" s="115">
        <v>1020</v>
      </c>
      <c r="G116" s="115">
        <v>821861.07536470343</v>
      </c>
    </row>
    <row r="117" spans="6:7" x14ac:dyDescent="0.25">
      <c r="F117" s="115">
        <v>1030</v>
      </c>
      <c r="G117" s="115">
        <v>826580.6335417449</v>
      </c>
    </row>
  </sheetData>
  <mergeCells count="8">
    <mergeCell ref="K38:Q38"/>
    <mergeCell ref="I40:I78"/>
    <mergeCell ref="A1:C1"/>
    <mergeCell ref="A16:B16"/>
    <mergeCell ref="C16:D16"/>
    <mergeCell ref="E16:F16"/>
    <mergeCell ref="A20:E20"/>
    <mergeCell ref="F20:H20"/>
  </mergeCells>
  <conditionalFormatting sqref="G40:G117">
    <cfRule type="cellIs" dxfId="3" priority="4" operator="equal">
      <formula>$G$67</formula>
    </cfRule>
  </conditionalFormatting>
  <conditionalFormatting sqref="K40:K78">
    <cfRule type="cellIs" dxfId="2" priority="2" operator="equal">
      <formula>$K$67</formula>
    </cfRule>
    <cfRule type="cellIs" dxfId="1" priority="3" operator="equal">
      <formula>"max"</formula>
    </cfRule>
  </conditionalFormatting>
  <conditionalFormatting sqref="L40:L78">
    <cfRule type="cellIs" dxfId="0" priority="1" operator="equal">
      <formula>$L$75</formula>
    </cfRule>
  </conditionalFormatting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7107-E029-7C48-A081-C00015472FFB}">
  <dimension ref="A1:H24"/>
  <sheetViews>
    <sheetView tabSelected="1" zoomScale="173" workbookViewId="0">
      <selection activeCell="A24" sqref="A24"/>
    </sheetView>
  </sheetViews>
  <sheetFormatPr baseColWidth="10" defaultRowHeight="16" x14ac:dyDescent="0.2"/>
  <cols>
    <col min="1" max="1" width="26.6640625" customWidth="1"/>
    <col min="6" max="6" width="17.5" customWidth="1"/>
  </cols>
  <sheetData>
    <row r="1" spans="1:8" ht="21" thickBot="1" x14ac:dyDescent="0.3">
      <c r="A1" s="121" t="s">
        <v>159</v>
      </c>
    </row>
    <row r="2" spans="1:8" ht="17" thickTop="1" x14ac:dyDescent="0.2"/>
    <row r="3" spans="1:8" x14ac:dyDescent="0.2">
      <c r="E3" s="125" t="s">
        <v>170</v>
      </c>
      <c r="F3" s="125"/>
    </row>
    <row r="4" spans="1:8" x14ac:dyDescent="0.2">
      <c r="A4" t="s">
        <v>160</v>
      </c>
      <c r="B4" t="s">
        <v>163</v>
      </c>
      <c r="E4" s="124" t="s">
        <v>168</v>
      </c>
      <c r="F4" s="124" t="s">
        <v>169</v>
      </c>
      <c r="G4" t="s">
        <v>174</v>
      </c>
    </row>
    <row r="5" spans="1:8" x14ac:dyDescent="0.2">
      <c r="A5" t="s">
        <v>161</v>
      </c>
      <c r="B5" s="122">
        <v>9.3000000000000007</v>
      </c>
      <c r="E5" s="45">
        <v>1</v>
      </c>
      <c r="F5" s="126">
        <v>1.2</v>
      </c>
      <c r="G5" s="126">
        <v>1.2</v>
      </c>
      <c r="H5" s="122">
        <f>B6</f>
        <v>1.2</v>
      </c>
    </row>
    <row r="6" spans="1:8" x14ac:dyDescent="0.2">
      <c r="A6" t="s">
        <v>162</v>
      </c>
      <c r="B6" s="122">
        <v>1.2</v>
      </c>
      <c r="E6" s="45">
        <v>2</v>
      </c>
      <c r="F6" s="126">
        <f>F5*($B$8+1)</f>
        <v>1.32</v>
      </c>
      <c r="G6" s="122">
        <f>IF(E6&lt;$B$11, G5+G5*$B$8,G5-G5*$B$9)</f>
        <v>1.3199999999999998</v>
      </c>
      <c r="H6" t="str">
        <f ca="1">_xlfn.FORMULATEXT(G6)</f>
        <v>=IF(E6&lt;$B$11, G5+G5*$B$8,G5-G5*$B$9)</v>
      </c>
    </row>
    <row r="7" spans="1:8" x14ac:dyDescent="0.2">
      <c r="A7" t="s">
        <v>164</v>
      </c>
      <c r="B7">
        <v>20</v>
      </c>
      <c r="E7" s="45">
        <v>3</v>
      </c>
      <c r="F7" s="126">
        <f>F6*($B$8+1)</f>
        <v>1.4520000000000002</v>
      </c>
      <c r="G7" s="122">
        <f t="shared" ref="G7:G24" si="0">IF(E7&lt;$B$11, G6+G6*$B$8,G6-G6*$B$9)</f>
        <v>1.4519999999999997</v>
      </c>
      <c r="H7" t="str">
        <f t="shared" ref="H7:H24" ca="1" si="1">_xlfn.FORMULATEXT(G7)</f>
        <v>=IF(E7&lt;$B$11, G6+G6*$B$8,G6-G6*$B$9)</v>
      </c>
    </row>
    <row r="8" spans="1:8" x14ac:dyDescent="0.2">
      <c r="A8" t="s">
        <v>165</v>
      </c>
      <c r="B8" s="123">
        <v>0.1</v>
      </c>
      <c r="C8" t="s">
        <v>172</v>
      </c>
      <c r="E8" s="45">
        <v>4</v>
      </c>
      <c r="F8" s="126">
        <f t="shared" ref="F8:F12" si="2">F7*($B$8+1)</f>
        <v>1.5972000000000004</v>
      </c>
      <c r="G8" s="122">
        <f t="shared" si="0"/>
        <v>1.5971999999999997</v>
      </c>
      <c r="H8" t="str">
        <f t="shared" ca="1" si="1"/>
        <v>=IF(E8&lt;$B$11, G7+G7*$B$8,G7-G7*$B$9)</v>
      </c>
    </row>
    <row r="9" spans="1:8" x14ac:dyDescent="0.2">
      <c r="A9" t="s">
        <v>166</v>
      </c>
      <c r="B9" s="123">
        <v>0.05</v>
      </c>
      <c r="C9" t="s">
        <v>171</v>
      </c>
      <c r="E9" s="45">
        <v>5</v>
      </c>
      <c r="F9" s="126">
        <f t="shared" si="2"/>
        <v>1.7569200000000005</v>
      </c>
      <c r="G9" s="122">
        <f t="shared" si="0"/>
        <v>1.7569199999999996</v>
      </c>
      <c r="H9" t="str">
        <f t="shared" ca="1" si="1"/>
        <v>=IF(E9&lt;$B$11, G8+G8*$B$8,G8-G8*$B$9)</v>
      </c>
    </row>
    <row r="10" spans="1:8" x14ac:dyDescent="0.2">
      <c r="A10" t="s">
        <v>167</v>
      </c>
      <c r="B10" s="123">
        <v>0.12</v>
      </c>
      <c r="E10" s="45">
        <v>6</v>
      </c>
      <c r="F10" s="126">
        <f t="shared" si="2"/>
        <v>1.9326120000000007</v>
      </c>
      <c r="G10" s="122">
        <f t="shared" si="0"/>
        <v>1.9326119999999996</v>
      </c>
      <c r="H10" t="str">
        <f t="shared" ca="1" si="1"/>
        <v>=IF(E10&lt;$B$11, G9+G9*$B$8,G9-G9*$B$9)</v>
      </c>
    </row>
    <row r="11" spans="1:8" x14ac:dyDescent="0.2">
      <c r="A11" t="s">
        <v>173</v>
      </c>
      <c r="B11" s="128">
        <v>8</v>
      </c>
      <c r="E11" s="45">
        <v>7</v>
      </c>
      <c r="F11" s="126">
        <f t="shared" si="2"/>
        <v>2.1258732000000009</v>
      </c>
      <c r="G11" s="122">
        <f t="shared" si="0"/>
        <v>2.1258731999999996</v>
      </c>
      <c r="H11" t="str">
        <f t="shared" ca="1" si="1"/>
        <v>=IF(E11&lt;$B$11, G10+G10*$B$8,G10-G10*$B$9)</v>
      </c>
    </row>
    <row r="12" spans="1:8" x14ac:dyDescent="0.2">
      <c r="E12" s="45">
        <v>8</v>
      </c>
      <c r="F12" s="126">
        <f t="shared" si="2"/>
        <v>2.3384605200000013</v>
      </c>
      <c r="G12" s="122">
        <f t="shared" si="0"/>
        <v>2.0195795399999996</v>
      </c>
      <c r="H12" t="str">
        <f t="shared" ca="1" si="1"/>
        <v>=IF(E12&lt;$B$11, G11+G11*$B$8,G11-G11*$B$9)</v>
      </c>
    </row>
    <row r="13" spans="1:8" x14ac:dyDescent="0.2">
      <c r="A13" t="s">
        <v>177</v>
      </c>
      <c r="B13" s="122">
        <f>NPV(B10,G5:G24)</f>
        <v>11.851609399230435</v>
      </c>
      <c r="C13" s="122" t="str">
        <f ca="1">_xlfn.FORMULATEXT(B13)</f>
        <v>=NPV(B10,G5:G24)</v>
      </c>
      <c r="E13" s="45">
        <v>9</v>
      </c>
      <c r="F13" s="126">
        <f>F12*(1-$B$9)</f>
        <v>2.221537494000001</v>
      </c>
      <c r="G13" s="122">
        <f t="shared" si="0"/>
        <v>1.9186005629999996</v>
      </c>
      <c r="H13" t="str">
        <f t="shared" ca="1" si="1"/>
        <v>=IF(E13&lt;$B$11, G12+G12*$B$8,G12-G12*$B$9)</v>
      </c>
    </row>
    <row r="14" spans="1:8" x14ac:dyDescent="0.2">
      <c r="A14" t="s">
        <v>175</v>
      </c>
      <c r="B14" s="122">
        <f>B5</f>
        <v>9.3000000000000007</v>
      </c>
      <c r="E14" s="45">
        <v>10</v>
      </c>
      <c r="F14" s="126">
        <f t="shared" ref="F14:F24" si="3">F13*(1-$B$9)</f>
        <v>2.1104606193000008</v>
      </c>
      <c r="G14" s="122">
        <f t="shared" si="0"/>
        <v>1.8226705348499996</v>
      </c>
      <c r="H14" t="str">
        <f t="shared" ca="1" si="1"/>
        <v>=IF(E14&lt;$B$11, G13+G13*$B$8,G13-G13*$B$9)</v>
      </c>
    </row>
    <row r="15" spans="1:8" x14ac:dyDescent="0.2">
      <c r="A15" s="2" t="s">
        <v>176</v>
      </c>
      <c r="B15" s="129">
        <f>B13-B14</f>
        <v>2.5516093992304345</v>
      </c>
      <c r="C15" s="2" t="s">
        <v>178</v>
      </c>
      <c r="E15" s="45">
        <v>11</v>
      </c>
      <c r="F15" s="126">
        <f t="shared" si="3"/>
        <v>2.0049375883350007</v>
      </c>
      <c r="G15" s="122">
        <f t="shared" si="0"/>
        <v>1.7315370081074997</v>
      </c>
      <c r="H15" t="str">
        <f t="shared" ca="1" si="1"/>
        <v>=IF(E15&lt;$B$11, G14+G14*$B$8,G14-G14*$B$9)</v>
      </c>
    </row>
    <row r="16" spans="1:8" x14ac:dyDescent="0.2">
      <c r="E16" s="45">
        <v>12</v>
      </c>
      <c r="F16" s="126">
        <f t="shared" si="3"/>
        <v>1.9046907089182505</v>
      </c>
      <c r="G16" s="122">
        <f t="shared" si="0"/>
        <v>1.6449601577021247</v>
      </c>
      <c r="H16" t="str">
        <f t="shared" ca="1" si="1"/>
        <v>=IF(E16&lt;$B$11, G15+G15*$B$8,G15-G15*$B$9)</v>
      </c>
    </row>
    <row r="17" spans="1:8" x14ac:dyDescent="0.2">
      <c r="E17" s="45">
        <v>13</v>
      </c>
      <c r="F17" s="126">
        <f t="shared" si="3"/>
        <v>1.809456173472338</v>
      </c>
      <c r="G17" s="122">
        <f t="shared" si="0"/>
        <v>1.5627121498170184</v>
      </c>
      <c r="H17" t="str">
        <f t="shared" ca="1" si="1"/>
        <v>=IF(E17&lt;$B$11, G16+G16*$B$8,G16-G16*$B$9)</v>
      </c>
    </row>
    <row r="18" spans="1:8" x14ac:dyDescent="0.2">
      <c r="E18" s="45">
        <v>14</v>
      </c>
      <c r="F18" s="126">
        <f t="shared" si="3"/>
        <v>1.7189833647987209</v>
      </c>
      <c r="G18" s="122">
        <f t="shared" si="0"/>
        <v>1.4845765423261674</v>
      </c>
      <c r="H18" t="str">
        <f t="shared" ca="1" si="1"/>
        <v>=IF(E18&lt;$B$11, G17+G17*$B$8,G17-G17*$B$9)</v>
      </c>
    </row>
    <row r="19" spans="1:8" x14ac:dyDescent="0.2">
      <c r="E19" s="45">
        <v>15</v>
      </c>
      <c r="F19" s="126">
        <f t="shared" si="3"/>
        <v>1.6330341965587849</v>
      </c>
      <c r="G19" s="122">
        <f t="shared" si="0"/>
        <v>1.4103477152098591</v>
      </c>
      <c r="H19" t="str">
        <f t="shared" ca="1" si="1"/>
        <v>=IF(E19&lt;$B$11, G18+G18*$B$8,G18-G18*$B$9)</v>
      </c>
    </row>
    <row r="20" spans="1:8" x14ac:dyDescent="0.2">
      <c r="E20" s="45">
        <v>16</v>
      </c>
      <c r="F20" s="126">
        <f t="shared" si="3"/>
        <v>1.5513824867308457</v>
      </c>
      <c r="G20" s="122">
        <f t="shared" si="0"/>
        <v>1.3398303294493661</v>
      </c>
      <c r="H20" t="str">
        <f t="shared" ca="1" si="1"/>
        <v>=IF(E20&lt;$B$11, G19+G19*$B$8,G19-G19*$B$9)</v>
      </c>
    </row>
    <row r="21" spans="1:8" x14ac:dyDescent="0.2">
      <c r="E21" s="45">
        <v>17</v>
      </c>
      <c r="F21" s="126">
        <f t="shared" si="3"/>
        <v>1.4738133623943033</v>
      </c>
      <c r="G21" s="122">
        <f t="shared" si="0"/>
        <v>1.2728388129768977</v>
      </c>
      <c r="H21" t="str">
        <f t="shared" ca="1" si="1"/>
        <v>=IF(E21&lt;$B$11, G20+G20*$B$8,G20-G20*$B$9)</v>
      </c>
    </row>
    <row r="22" spans="1:8" x14ac:dyDescent="0.2">
      <c r="E22" s="45">
        <v>18</v>
      </c>
      <c r="F22" s="126">
        <f t="shared" si="3"/>
        <v>1.4001226942745881</v>
      </c>
      <c r="G22" s="122">
        <f t="shared" si="0"/>
        <v>1.2091968723280528</v>
      </c>
      <c r="H22" t="str">
        <f t="shared" ca="1" si="1"/>
        <v>=IF(E22&lt;$B$11, G21+G21*$B$8,G21-G21*$B$9)</v>
      </c>
    </row>
    <row r="23" spans="1:8" x14ac:dyDescent="0.2">
      <c r="E23" s="45">
        <v>19</v>
      </c>
      <c r="F23" s="126">
        <f t="shared" si="3"/>
        <v>1.3301165595608586</v>
      </c>
      <c r="G23" s="122">
        <f t="shared" si="0"/>
        <v>1.1487370287116503</v>
      </c>
      <c r="H23" t="str">
        <f t="shared" ca="1" si="1"/>
        <v>=IF(E23&lt;$B$11, G22+G22*$B$8,G22-G22*$B$9)</v>
      </c>
    </row>
    <row r="24" spans="1:8" x14ac:dyDescent="0.2">
      <c r="A24" s="142"/>
      <c r="E24" s="45">
        <v>20</v>
      </c>
      <c r="F24" s="126">
        <f t="shared" si="3"/>
        <v>1.2636107315828156</v>
      </c>
      <c r="G24" s="122">
        <f t="shared" si="0"/>
        <v>1.0913001772760678</v>
      </c>
      <c r="H24" t="str">
        <f t="shared" ca="1" si="1"/>
        <v>=IF(E24&lt;$B$11, G23+G23*$B$8,G23-G23*$B$9)</v>
      </c>
    </row>
  </sheetData>
  <mergeCells count="1">
    <mergeCell ref="E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6232-A890-EA44-8645-6E31D921824C}">
  <dimension ref="A1:I33"/>
  <sheetViews>
    <sheetView topLeftCell="A24" zoomScale="144" workbookViewId="0">
      <selection activeCell="F37" sqref="F37"/>
    </sheetView>
  </sheetViews>
  <sheetFormatPr baseColWidth="10" defaultRowHeight="16" x14ac:dyDescent="0.2"/>
  <cols>
    <col min="1" max="1" width="16.5" customWidth="1"/>
    <col min="2" max="2" width="31.5" customWidth="1"/>
    <col min="3" max="3" width="12.5" bestFit="1" customWidth="1"/>
    <col min="4" max="4" width="13.5" customWidth="1"/>
    <col min="5" max="5" width="21.6640625" customWidth="1"/>
    <col min="6" max="6" width="22.1640625" customWidth="1"/>
    <col min="7" max="7" width="11" bestFit="1" customWidth="1"/>
    <col min="8" max="8" width="13.5" bestFit="1" customWidth="1"/>
  </cols>
  <sheetData>
    <row r="1" spans="1:2" ht="21" thickBot="1" x14ac:dyDescent="0.3">
      <c r="A1" s="121" t="s">
        <v>179</v>
      </c>
    </row>
    <row r="2" spans="1:2" ht="17" thickTop="1" x14ac:dyDescent="0.2"/>
    <row r="3" spans="1:2" x14ac:dyDescent="0.2">
      <c r="A3" t="s">
        <v>183</v>
      </c>
    </row>
    <row r="4" spans="1:2" ht="21" x14ac:dyDescent="0.25">
      <c r="A4" s="130" t="s">
        <v>46</v>
      </c>
      <c r="B4" s="130" t="s">
        <v>180</v>
      </c>
    </row>
    <row r="5" spans="1:2" ht="21" x14ac:dyDescent="0.25">
      <c r="A5" s="131">
        <v>1</v>
      </c>
      <c r="B5">
        <v>30000</v>
      </c>
    </row>
    <row r="6" spans="1:2" ht="21" x14ac:dyDescent="0.25">
      <c r="A6" s="131">
        <v>2</v>
      </c>
      <c r="B6">
        <v>65000</v>
      </c>
    </row>
    <row r="7" spans="1:2" ht="21" x14ac:dyDescent="0.25">
      <c r="A7" s="131">
        <v>3</v>
      </c>
      <c r="B7">
        <v>80000</v>
      </c>
    </row>
    <row r="8" spans="1:2" ht="21" x14ac:dyDescent="0.25">
      <c r="A8" s="131">
        <v>4</v>
      </c>
      <c r="B8">
        <v>75000</v>
      </c>
    </row>
    <row r="9" spans="1:2" ht="21" x14ac:dyDescent="0.25">
      <c r="A9" s="131">
        <v>5</v>
      </c>
      <c r="B9">
        <v>55000</v>
      </c>
    </row>
    <row r="11" spans="1:2" x14ac:dyDescent="0.2">
      <c r="A11" t="s">
        <v>181</v>
      </c>
      <c r="B11">
        <v>150000</v>
      </c>
    </row>
    <row r="12" spans="1:2" x14ac:dyDescent="0.2">
      <c r="A12" t="s">
        <v>167</v>
      </c>
      <c r="B12" s="73">
        <v>0.15</v>
      </c>
    </row>
    <row r="13" spans="1:2" x14ac:dyDescent="0.2">
      <c r="B13" s="127">
        <f>NPV(B12,B5:B9)</f>
        <v>198063.80735147279</v>
      </c>
    </row>
    <row r="14" spans="1:2" x14ac:dyDescent="0.2">
      <c r="A14" t="s">
        <v>182</v>
      </c>
      <c r="B14" s="127">
        <f>B13-B11</f>
        <v>48063.807351472788</v>
      </c>
    </row>
    <row r="15" spans="1:2" x14ac:dyDescent="0.2">
      <c r="A15" s="122"/>
    </row>
    <row r="16" spans="1:2" x14ac:dyDescent="0.2">
      <c r="A16" t="s">
        <v>184</v>
      </c>
    </row>
    <row r="17" spans="1:8" x14ac:dyDescent="0.2">
      <c r="A17" t="s">
        <v>181</v>
      </c>
      <c r="B17">
        <v>4</v>
      </c>
      <c r="C17" t="s">
        <v>178</v>
      </c>
      <c r="D17" s="132">
        <v>4000000</v>
      </c>
    </row>
    <row r="18" spans="1:8" x14ac:dyDescent="0.2">
      <c r="A18" t="s">
        <v>76</v>
      </c>
      <c r="B18">
        <v>25</v>
      </c>
    </row>
    <row r="19" spans="1:8" x14ac:dyDescent="0.2">
      <c r="A19" t="s">
        <v>185</v>
      </c>
      <c r="B19">
        <v>80000</v>
      </c>
    </row>
    <row r="22" spans="1:8" x14ac:dyDescent="0.2">
      <c r="A22" t="s">
        <v>190</v>
      </c>
      <c r="B22" s="136">
        <v>0.58878738886634141</v>
      </c>
    </row>
    <row r="23" spans="1:8" x14ac:dyDescent="0.2">
      <c r="A23" t="s">
        <v>193</v>
      </c>
      <c r="B23" s="134">
        <v>0.02</v>
      </c>
    </row>
    <row r="24" spans="1:8" x14ac:dyDescent="0.2">
      <c r="B24" s="133"/>
      <c r="D24" s="135" t="s">
        <v>102</v>
      </c>
      <c r="E24" s="135"/>
      <c r="F24" s="135"/>
    </row>
    <row r="25" spans="1:8" x14ac:dyDescent="0.2">
      <c r="B25" s="73"/>
      <c r="C25" s="139" t="s">
        <v>113</v>
      </c>
      <c r="D25" s="139" t="s">
        <v>191</v>
      </c>
      <c r="E25" s="139" t="s">
        <v>192</v>
      </c>
      <c r="F25" s="139"/>
      <c r="H25" s="45" t="s">
        <v>194</v>
      </c>
    </row>
    <row r="26" spans="1:8" x14ac:dyDescent="0.2">
      <c r="A26" s="45" t="s">
        <v>160</v>
      </c>
      <c r="B26" s="138">
        <f>B19</f>
        <v>80000</v>
      </c>
      <c r="C26" s="138">
        <f>B26*$B$18</f>
        <v>2000000</v>
      </c>
      <c r="D26" s="137">
        <f>C26/2</f>
        <v>1000000</v>
      </c>
      <c r="E26" s="137">
        <f>G26*C26</f>
        <v>800000</v>
      </c>
      <c r="F26" s="137">
        <f>SUM(D26:E26)</f>
        <v>1800000</v>
      </c>
      <c r="G26" s="141">
        <v>0.4</v>
      </c>
      <c r="H26" s="138">
        <f>C26-F26</f>
        <v>200000</v>
      </c>
    </row>
    <row r="27" spans="1:8" x14ac:dyDescent="0.2">
      <c r="A27" s="45" t="s">
        <v>186</v>
      </c>
      <c r="B27" s="138">
        <f>B26*($B$22+1)</f>
        <v>127102.9911093073</v>
      </c>
      <c r="C27" s="138">
        <f t="shared" ref="C27:C30" si="0">B27*$B$18</f>
        <v>3177574.7777326824</v>
      </c>
      <c r="D27" s="137">
        <f t="shared" ref="D27:D30" si="1">C27/2</f>
        <v>1588787.3888663412</v>
      </c>
      <c r="E27" s="137">
        <f t="shared" ref="E27:E30" si="2">G27*C27</f>
        <v>1207478.4155384193</v>
      </c>
      <c r="F27" s="137">
        <f t="shared" ref="F27:F30" si="3">SUM(D27:E27)</f>
        <v>2796265.8044047607</v>
      </c>
      <c r="G27" s="141">
        <v>0.38</v>
      </c>
      <c r="H27" s="138">
        <f t="shared" ref="H27:H30" si="4">C27-F27</f>
        <v>381308.9733279217</v>
      </c>
    </row>
    <row r="28" spans="1:8" x14ac:dyDescent="0.2">
      <c r="A28" s="45" t="s">
        <v>187</v>
      </c>
      <c r="B28" s="138">
        <f t="shared" ref="B28:B30" si="5">B27*($B$22+1)</f>
        <v>201939.62936165815</v>
      </c>
      <c r="C28" s="138">
        <f t="shared" si="0"/>
        <v>5048490.7340414543</v>
      </c>
      <c r="D28" s="137">
        <f t="shared" si="1"/>
        <v>2524245.3670207271</v>
      </c>
      <c r="E28" s="137">
        <f t="shared" si="2"/>
        <v>1817456.6642549236</v>
      </c>
      <c r="F28" s="137">
        <f t="shared" si="3"/>
        <v>4341702.0312756505</v>
      </c>
      <c r="G28" s="141">
        <v>0.36</v>
      </c>
      <c r="H28" s="138">
        <f t="shared" si="4"/>
        <v>706788.70276580378</v>
      </c>
    </row>
    <row r="29" spans="1:8" x14ac:dyDescent="0.2">
      <c r="A29" s="45" t="s">
        <v>188</v>
      </c>
      <c r="B29" s="138">
        <f t="shared" si="5"/>
        <v>320839.13644214562</v>
      </c>
      <c r="C29" s="138">
        <f t="shared" si="0"/>
        <v>8020978.4110536408</v>
      </c>
      <c r="D29" s="137">
        <f t="shared" si="1"/>
        <v>4010489.2055268204</v>
      </c>
      <c r="E29" s="137">
        <f t="shared" si="2"/>
        <v>2727132.6597582381</v>
      </c>
      <c r="F29" s="137">
        <f t="shared" si="3"/>
        <v>6737621.8652850585</v>
      </c>
      <c r="G29" s="141">
        <v>0.34</v>
      </c>
      <c r="H29" s="138">
        <f t="shared" si="4"/>
        <v>1283356.5457685823</v>
      </c>
    </row>
    <row r="30" spans="1:8" x14ac:dyDescent="0.2">
      <c r="A30" s="45" t="s">
        <v>189</v>
      </c>
      <c r="B30" s="138">
        <f t="shared" si="5"/>
        <v>509745.17383404833</v>
      </c>
      <c r="C30" s="138">
        <f t="shared" si="0"/>
        <v>12743629.345851209</v>
      </c>
      <c r="D30" s="137">
        <f t="shared" si="1"/>
        <v>6371814.6729256045</v>
      </c>
      <c r="E30" s="137">
        <f t="shared" si="2"/>
        <v>4077961.3906723871</v>
      </c>
      <c r="F30" s="137">
        <f t="shared" si="3"/>
        <v>10449776.063597992</v>
      </c>
      <c r="G30" s="141">
        <v>0.32</v>
      </c>
      <c r="H30" s="138">
        <f t="shared" si="4"/>
        <v>2293853.282253217</v>
      </c>
    </row>
    <row r="31" spans="1:8" x14ac:dyDescent="0.2">
      <c r="C31" s="138">
        <f>SUM(C26:C30)</f>
        <v>30990673.268678989</v>
      </c>
      <c r="D31" s="140">
        <f>SUM(D26:D30)</f>
        <v>15495336.634339495</v>
      </c>
      <c r="E31" s="140">
        <f>SUM(E26:E30)</f>
        <v>10630029.130223969</v>
      </c>
      <c r="F31" s="140">
        <f>SUM(F26:F30)</f>
        <v>26125365.76456346</v>
      </c>
      <c r="H31" s="138">
        <f>SUM(H26:H30)</f>
        <v>4865307.5041155247</v>
      </c>
    </row>
    <row r="33" spans="7:9" x14ac:dyDescent="0.2">
      <c r="G33" t="s">
        <v>195</v>
      </c>
      <c r="H33" s="127">
        <f>NPV(5%,H26:H30)</f>
        <v>4000000.0002807076</v>
      </c>
      <c r="I33" t="s">
        <v>196</v>
      </c>
    </row>
  </sheetData>
  <mergeCells count="1">
    <mergeCell ref="D24:F2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Kumar</dc:creator>
  <cp:lastModifiedBy>Megha Sreejith</cp:lastModifiedBy>
  <dcterms:created xsi:type="dcterms:W3CDTF">2023-05-09T19:13:47Z</dcterms:created>
  <dcterms:modified xsi:type="dcterms:W3CDTF">2024-04-04T21:25:34Z</dcterms:modified>
</cp:coreProperties>
</file>