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eatr\Desktop\Ciência_de_Dados\1ano\2sem\RAV\Exame\Análise de Variância\HA1\"/>
    </mc:Choice>
  </mc:AlternateContent>
  <xr:revisionPtr revIDLastSave="0" documentId="13_ncr:1_{D7238D58-55B5-4BD9-9644-29C1D21EA379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2-way ANOVA" sheetId="1" r:id="rId1"/>
    <sheet name="1-way ANOVA" sheetId="2" r:id="rId2"/>
    <sheet name="Intervalo de Confianç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Rflg3klM1zyxPn6f67IrsNkpnhD5m4xBuCGNXyOXHts="/>
    </ext>
  </extLst>
</workbook>
</file>

<file path=xl/calcChain.xml><?xml version="1.0" encoding="utf-8"?>
<calcChain xmlns="http://schemas.openxmlformats.org/spreadsheetml/2006/main">
  <c r="F12" i="4" l="1"/>
  <c r="I12" i="4"/>
  <c r="L12" i="4" l="1"/>
  <c r="K12" i="4"/>
  <c r="H12" i="4" a="1"/>
  <c r="H12" i="4" s="1"/>
  <c r="G12" i="4"/>
  <c r="M14" i="1"/>
  <c r="M15" i="1"/>
  <c r="M12" i="1"/>
  <c r="M17" i="1"/>
  <c r="M13" i="1"/>
  <c r="M4" i="1"/>
  <c r="J4" i="1"/>
  <c r="K22" i="2" l="1"/>
  <c r="J22" i="2"/>
  <c r="I23" i="2"/>
  <c r="I22" i="2"/>
  <c r="G22" i="2"/>
  <c r="L23" i="1"/>
  <c r="K23" i="1" a="1"/>
  <c r="K23" i="1" s="1"/>
  <c r="J23" i="1"/>
  <c r="G23" i="2"/>
  <c r="M17" i="2" l="1"/>
  <c r="L17" i="2"/>
  <c r="H6" i="2"/>
  <c r="G13" i="2"/>
  <c r="G24" i="2"/>
  <c r="K17" i="2"/>
  <c r="J17" i="2"/>
  <c r="I16" i="2"/>
  <c r="L47" i="1" l="1"/>
  <c r="L43" i="1"/>
  <c r="L38" i="1"/>
  <c r="K43" i="1" a="1"/>
  <c r="K43" i="1" s="1"/>
  <c r="K38" i="1" a="1"/>
  <c r="K38" i="1" s="1"/>
  <c r="J43" i="1"/>
  <c r="J38" i="1"/>
  <c r="L33" i="1"/>
  <c r="K33" i="1" a="1"/>
  <c r="K33" i="1" s="1"/>
  <c r="L28" i="1"/>
  <c r="J33" i="1"/>
  <c r="I44" i="1"/>
  <c r="I43" i="1"/>
  <c r="K28" i="1" a="1"/>
  <c r="K28" i="1" s="1"/>
  <c r="J28" i="1"/>
  <c r="H44" i="1"/>
  <c r="I40" i="1"/>
  <c r="H40" i="1"/>
  <c r="I39" i="1"/>
  <c r="I38" i="1"/>
  <c r="I35" i="1"/>
  <c r="H35" i="1"/>
  <c r="I34" i="1"/>
  <c r="H34" i="1"/>
  <c r="I33" i="1"/>
  <c r="H33" i="1"/>
  <c r="I30" i="1"/>
  <c r="H30" i="1"/>
  <c r="I25" i="1"/>
  <c r="H25" i="1"/>
  <c r="I24" i="1"/>
  <c r="H24" i="1"/>
  <c r="I23" i="1"/>
  <c r="G4" i="4" l="1"/>
  <c r="G5" i="4"/>
  <c r="G6" i="4"/>
  <c r="M12" i="4" l="1"/>
  <c r="H24" i="2"/>
  <c r="O17" i="2"/>
  <c r="N17" i="2"/>
  <c r="N12" i="4" l="1"/>
  <c r="H15" i="2"/>
  <c r="G15" i="2"/>
  <c r="H14" i="2"/>
  <c r="G14" i="2"/>
  <c r="H13" i="2"/>
  <c r="G6" i="2"/>
  <c r="H5" i="2"/>
  <c r="G5" i="2"/>
  <c r="H4" i="2"/>
  <c r="G4" i="2"/>
  <c r="N14" i="1" l="1"/>
  <c r="G13" i="1" l="1"/>
  <c r="I4" i="1"/>
  <c r="G4" i="1"/>
  <c r="N15" i="1" l="1"/>
  <c r="H15" i="1"/>
  <c r="H14" i="1"/>
  <c r="H13" i="1"/>
  <c r="G15" i="1"/>
  <c r="G14" i="1"/>
  <c r="I7" i="1"/>
  <c r="I6" i="1"/>
  <c r="J6" i="1" s="1"/>
  <c r="I5" i="1"/>
  <c r="J5" i="1" s="1"/>
  <c r="H7" i="1"/>
  <c r="H8" i="1" s="1"/>
  <c r="G7" i="1"/>
  <c r="G8" i="1" s="1"/>
  <c r="G6" i="1"/>
  <c r="H5" i="1"/>
  <c r="G5" i="1"/>
  <c r="H4" i="1"/>
  <c r="O13" i="1" l="1"/>
  <c r="N4" i="1"/>
  <c r="M5" i="1"/>
  <c r="N5" i="1"/>
  <c r="M6" i="1"/>
  <c r="O15" i="1"/>
  <c r="H6" i="1"/>
  <c r="M23" i="1" l="1"/>
  <c r="M38" i="1"/>
  <c r="N38" i="1" s="1"/>
  <c r="M33" i="1"/>
  <c r="N33" i="1" s="1"/>
  <c r="M43" i="1"/>
  <c r="N43" i="1" s="1"/>
  <c r="M28" i="1"/>
  <c r="N28" i="1" s="1"/>
  <c r="P13" i="1"/>
  <c r="Q13" i="1" s="1"/>
  <c r="N6" i="1"/>
  <c r="T13" i="1"/>
  <c r="O12" i="1"/>
  <c r="P12" i="1" s="1"/>
  <c r="Q12" i="1" s="1"/>
  <c r="N23" i="1" l="1"/>
  <c r="M47" i="1"/>
  <c r="O14" i="1"/>
  <c r="P14" i="1" s="1"/>
  <c r="Q14" i="1" s="1"/>
  <c r="M16" i="1"/>
  <c r="U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<sst xmlns="http://schemas.openxmlformats.org/spreadsheetml/2006/main" count="219" uniqueCount="82">
  <si>
    <t>Kitchen Quality \Central Air</t>
  </si>
  <si>
    <t>Factor B</t>
  </si>
  <si>
    <t>Yes</t>
  </si>
  <si>
    <t>No</t>
  </si>
  <si>
    <t>Média</t>
  </si>
  <si>
    <t>Dim KQ</t>
  </si>
  <si>
    <t>Dim CA</t>
  </si>
  <si>
    <t>n</t>
  </si>
  <si>
    <t>N</t>
  </si>
  <si>
    <t>Factor A</t>
  </si>
  <si>
    <t>Fair</t>
  </si>
  <si>
    <t>TA</t>
  </si>
  <si>
    <t>SSTreat</t>
  </si>
  <si>
    <t>Good</t>
  </si>
  <si>
    <t>Variabilidade</t>
  </si>
  <si>
    <t>Typical/Average</t>
  </si>
  <si>
    <t>SS</t>
  </si>
  <si>
    <t>DF</t>
  </si>
  <si>
    <t>MS</t>
  </si>
  <si>
    <t>F_ratios</t>
  </si>
  <si>
    <t>Kitchen Quali</t>
  </si>
  <si>
    <t>Central Air</t>
  </si>
  <si>
    <t>Interação</t>
  </si>
  <si>
    <t>Erro</t>
  </si>
  <si>
    <t>teta^</t>
  </si>
  <si>
    <t>MSE</t>
  </si>
  <si>
    <t>aux</t>
  </si>
  <si>
    <t>k</t>
  </si>
  <si>
    <t>Dimensões</t>
  </si>
  <si>
    <t>se(teta^)</t>
  </si>
  <si>
    <t>alfa</t>
  </si>
  <si>
    <t>qt</t>
  </si>
  <si>
    <t>LL</t>
  </si>
  <si>
    <t>UL</t>
  </si>
  <si>
    <t>teta(j)^</t>
  </si>
  <si>
    <t>SS(j)</t>
  </si>
  <si>
    <t>f(j)_obs</t>
  </si>
  <si>
    <t>Fair-Yes</t>
  </si>
  <si>
    <t>TA-Yes</t>
  </si>
  <si>
    <t>Good-Yes</t>
  </si>
  <si>
    <t>Kitchen Quality</t>
  </si>
  <si>
    <t>Média_CA</t>
  </si>
  <si>
    <t>Média_KQ</t>
  </si>
  <si>
    <t>beta's^</t>
  </si>
  <si>
    <t>alpha's^</t>
  </si>
  <si>
    <t>gamma's^</t>
  </si>
  <si>
    <t>Fair-No</t>
  </si>
  <si>
    <t>TA-No</t>
  </si>
  <si>
    <t>Good-No</t>
  </si>
  <si>
    <t>Fontes de Variação</t>
  </si>
  <si>
    <t>Conclusão</t>
  </si>
  <si>
    <t>p-value</t>
  </si>
  <si>
    <t>Contrastes Ortogonais</t>
  </si>
  <si>
    <t>Estatísticas</t>
  </si>
  <si>
    <t>Aux</t>
  </si>
  <si>
    <t>Não se rejeita H0</t>
  </si>
  <si>
    <t>Rejeita-se H0</t>
  </si>
  <si>
    <t>Sum</t>
  </si>
  <si>
    <t>Total</t>
  </si>
  <si>
    <t>Teste: H0: miu1 = miu2 = miu3 = miu4 = miu5 = miu6 vs H1: mui1 != mui2 != miu3 != miu4 != miu5 != miu6</t>
  </si>
  <si>
    <t>Média Total</t>
  </si>
  <si>
    <t>F_ratio</t>
  </si>
  <si>
    <t>Error (Within Groups)</t>
  </si>
  <si>
    <t>(Média - Média Total)^2</t>
  </si>
  <si>
    <t>Treat (Between Groups)</t>
  </si>
  <si>
    <t>Rejeita-seH0</t>
  </si>
  <si>
    <t>Contrastes Ortogonais (miu(Good&amp;Yes))</t>
  </si>
  <si>
    <t>Source of Variation</t>
  </si>
  <si>
    <t>Intervalos de Confiança</t>
  </si>
  <si>
    <t>Fair vs Good and TA</t>
  </si>
  <si>
    <t>Média dos f_obs</t>
  </si>
  <si>
    <t>TA vs Good</t>
  </si>
  <si>
    <t>Yes vs No</t>
  </si>
  <si>
    <t>Contraste 1 (Kitchen Quality)</t>
  </si>
  <si>
    <t>Contraste 2 (Kitchen Quality)</t>
  </si>
  <si>
    <t>Contraste 3 (Central Air)</t>
  </si>
  <si>
    <t>Contraste 4 (Interação Fair and TA vs Good (Yes) vs Good vs Fair and TA (No))</t>
  </si>
  <si>
    <t>Contraste 5 ((Interação Fair vs TA (Yes) vs Fair vs TA (No)))</t>
  </si>
  <si>
    <t>Soma dos SS</t>
  </si>
  <si>
    <t>SSKitchenQual+SSCentralAir+SSInteraction</t>
  </si>
  <si>
    <t>k=nº de grupos</t>
  </si>
  <si>
    <t>n=nº de observações por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</si>
</sst>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9" fontId="12" fillId="0" borderId="0" applyFont="0" applyFill="0" applyBorder="0" applyAlignment="0" applyProtection="0"/>
  </cellStyleXfs>
  <cellXfs count="53">
    <xf numFmtId="0" fontId="0" fillId="0" borderId="0" xfId="0"/>
    <xf numFmtId="0" fontId="6" fillId="0" borderId="2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2" fontId="0" fillId="0" borderId="0" xfId="0" applyNumberFormat="1"/>
    <xf numFmtId="0" fontId="5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9" fillId="2" borderId="0" xfId="0" applyFont="1" applyFill="1"/>
    <xf numFmtId="0" fontId="9" fillId="3" borderId="0" xfId="0" applyFont="1" applyFill="1"/>
    <xf numFmtId="0" fontId="10" fillId="4" borderId="0" xfId="0" applyFont="1" applyFill="1"/>
    <xf numFmtId="0" fontId="9" fillId="4" borderId="0" xfId="0" applyFont="1" applyFill="1"/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0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7" xfId="1" applyBorder="1" applyAlignment="1">
      <alignment horizontal="center"/>
    </xf>
    <xf numFmtId="0" fontId="11" fillId="0" borderId="8" xfId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0" borderId="0" xfId="0" applyFont="1"/>
    <xf numFmtId="0" fontId="0" fillId="2" borderId="0" xfId="0" applyFill="1"/>
    <xf numFmtId="2" fontId="0" fillId="0" borderId="0" xfId="0" applyNumberFormat="1" applyAlignment="1">
      <alignment horizontal="center"/>
    </xf>
    <xf numFmtId="0" fontId="3" fillId="0" borderId="0" xfId="0" applyFont="1"/>
    <xf numFmtId="0" fontId="10" fillId="5" borderId="0" xfId="0" applyFont="1" applyFill="1"/>
    <xf numFmtId="0" fontId="10" fillId="9" borderId="0" xfId="0" applyFont="1" applyFill="1"/>
    <xf numFmtId="9" fontId="0" fillId="0" borderId="0" xfId="2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0" fillId="2" borderId="0" xfId="0" applyFont="1" applyFill="1"/>
    <xf numFmtId="0" fontId="10" fillId="6" borderId="0" xfId="0" applyFont="1" applyFill="1"/>
    <xf numFmtId="0" fontId="2" fillId="0" borderId="0" xfId="0" applyFont="1"/>
    <xf numFmtId="0" fontId="10" fillId="11" borderId="0" xfId="0" applyFont="1" applyFill="1"/>
    <xf numFmtId="0" fontId="1" fillId="0" borderId="0" xfId="0" applyFont="1"/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1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10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0" fontId="6" fillId="0" borderId="6" xfId="0" applyFont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2" fontId="4" fillId="0" borderId="0" xfId="0" applyNumberFormat="1" applyFont="1"/>
  </cellXfs>
  <cellStyles count="3">
    <cellStyle name="Normal" xfId="0" builtinId="0"/>
    <cellStyle name="Normal 2" xfId="1" xr:uid="{D2AD9F09-D821-41AF-BA35-FB88030C99A7}"/>
    <cellStyle name="Percent" xfId="2" builtinId="5"/>
  </cellStyles>
  <dxfs count="0"/>
  <tableStyles count="0" defaultTableStyle="TableStyleMedium2" defaultPivotStyle="PivotStyleLight16"/>
  <colors>
    <mruColors>
      <color rgb="FF3399FF"/>
      <color rgb="FFCC99FF"/>
      <color rgb="FFFF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B1" zoomScale="58" zoomScaleNormal="90" workbookViewId="0">
      <selection activeCell="M14" sqref="M14"/>
    </sheetView>
  </sheetViews>
  <sheetFormatPr defaultColWidth="12.6640625" defaultRowHeight="15" customHeight="1" x14ac:dyDescent="0.3"/>
  <cols>
    <col min="1" max="1" width="11.77734375" customWidth="1"/>
    <col min="2" max="2" width="17.44140625" customWidth="1"/>
    <col min="3" max="3" width="8.6640625" customWidth="1"/>
    <col min="4" max="4" width="10.21875" customWidth="1"/>
    <col min="5" max="5" width="17.33203125" bestFit="1" customWidth="1"/>
    <col min="6" max="6" width="19.33203125" customWidth="1"/>
    <col min="7" max="7" width="14.44140625" customWidth="1"/>
    <col min="8" max="8" width="10.6640625" customWidth="1"/>
    <col min="9" max="11" width="8.6640625" customWidth="1"/>
    <col min="12" max="12" width="16.6640625" customWidth="1"/>
    <col min="13" max="14" width="8.6640625" customWidth="1"/>
    <col min="15" max="15" width="9.88671875" customWidth="1"/>
    <col min="16" max="16" width="9.6640625" customWidth="1"/>
    <col min="17" max="17" width="12" customWidth="1"/>
    <col min="18" max="18" width="16.109375" customWidth="1"/>
    <col min="19" max="20" width="8.6640625" customWidth="1"/>
    <col min="21" max="21" width="18.88671875" bestFit="1" customWidth="1"/>
    <col min="22" max="26" width="8.6640625" customWidth="1"/>
  </cols>
  <sheetData>
    <row r="1" spans="1:24" ht="14.25" customHeight="1" x14ac:dyDescent="0.3">
      <c r="B1" s="39" t="s">
        <v>0</v>
      </c>
      <c r="C1" s="41" t="s">
        <v>1</v>
      </c>
      <c r="D1" s="42"/>
      <c r="F1" s="44" t="s">
        <v>4</v>
      </c>
      <c r="G1" s="44"/>
      <c r="H1" s="44"/>
    </row>
    <row r="2" spans="1:24" ht="14.25" customHeight="1" x14ac:dyDescent="0.3">
      <c r="B2" s="40"/>
      <c r="C2" s="1" t="s">
        <v>2</v>
      </c>
      <c r="D2" s="1" t="s">
        <v>3</v>
      </c>
      <c r="F2" s="7"/>
      <c r="G2" s="33" t="s">
        <v>21</v>
      </c>
      <c r="H2" s="33"/>
      <c r="L2" s="34" t="s">
        <v>45</v>
      </c>
      <c r="M2" s="34"/>
      <c r="N2" s="34"/>
      <c r="Q2" s="38" t="s">
        <v>28</v>
      </c>
      <c r="R2" s="38"/>
      <c r="S2" s="38"/>
      <c r="T2" s="38"/>
      <c r="U2" s="38"/>
    </row>
    <row r="3" spans="1:24" ht="14.25" customHeight="1" x14ac:dyDescent="0.3">
      <c r="A3" s="46" t="s">
        <v>9</v>
      </c>
      <c r="B3" s="47" t="s">
        <v>10</v>
      </c>
      <c r="C3" s="16">
        <v>7.65</v>
      </c>
      <c r="D3" s="16">
        <v>6</v>
      </c>
      <c r="F3" s="6" t="s">
        <v>40</v>
      </c>
      <c r="G3" s="6" t="s">
        <v>2</v>
      </c>
      <c r="H3" s="6" t="s">
        <v>3</v>
      </c>
      <c r="I3" s="10" t="s">
        <v>42</v>
      </c>
      <c r="J3" s="10" t="s">
        <v>44</v>
      </c>
      <c r="L3" s="7" t="s">
        <v>0</v>
      </c>
      <c r="M3" s="6" t="s">
        <v>2</v>
      </c>
      <c r="N3" s="6" t="s">
        <v>3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27</v>
      </c>
    </row>
    <row r="4" spans="1:24" ht="14.25" customHeight="1" x14ac:dyDescent="0.3">
      <c r="A4" s="42"/>
      <c r="B4" s="48"/>
      <c r="C4" s="16">
        <v>14.02</v>
      </c>
      <c r="D4" s="16">
        <v>14</v>
      </c>
      <c r="F4" s="12" t="s">
        <v>10</v>
      </c>
      <c r="G4" s="2">
        <f>AVERAGE(C3:C8)</f>
        <v>11.420000000000002</v>
      </c>
      <c r="H4" s="2">
        <f>AVERAGE(D3:D8)</f>
        <v>7.7883333333333331</v>
      </c>
      <c r="I4" s="11">
        <f>AVERAGE(C3:D8)</f>
        <v>9.6041666666666661</v>
      </c>
      <c r="J4" s="11">
        <f>I4-$I$7</f>
        <v>-3.7145250000000001</v>
      </c>
      <c r="L4" s="7" t="s">
        <v>10</v>
      </c>
      <c r="M4" s="2">
        <f>G4-$I4-G$7+$I$7</f>
        <v>0.28119166666667006</v>
      </c>
      <c r="N4" s="2">
        <f t="shared" ref="M4:N6" si="0">H4-$I4-H$7+$I$7</f>
        <v>-0.28119166666666473</v>
      </c>
      <c r="Q4" s="2">
        <v>3</v>
      </c>
      <c r="R4" s="2">
        <v>2</v>
      </c>
      <c r="S4" s="2">
        <v>6</v>
      </c>
      <c r="T4" s="2">
        <v>36</v>
      </c>
      <c r="U4" s="5">
        <v>6</v>
      </c>
    </row>
    <row r="5" spans="1:24" ht="14.25" customHeight="1" x14ac:dyDescent="0.3">
      <c r="A5" s="42"/>
      <c r="B5" s="48"/>
      <c r="C5" s="16">
        <v>10</v>
      </c>
      <c r="D5" s="16">
        <v>8.1999999999999993</v>
      </c>
      <c r="F5" s="12" t="s">
        <v>11</v>
      </c>
      <c r="G5" s="2">
        <f>AVERAGE(C9:C14)</f>
        <v>13.665000000000001</v>
      </c>
      <c r="H5" s="2">
        <f>AVERAGE(D9:D14)</f>
        <v>9.5750000000000011</v>
      </c>
      <c r="I5" s="11">
        <f>AVERAGE(C9:D14)</f>
        <v>11.619999999999997</v>
      </c>
      <c r="J5" s="11">
        <f>I5-$I$7</f>
        <v>-1.6986916666666687</v>
      </c>
      <c r="L5" s="7" t="s">
        <v>11</v>
      </c>
      <c r="M5" s="2">
        <f t="shared" si="0"/>
        <v>0.51035833333333791</v>
      </c>
      <c r="N5" s="2">
        <f t="shared" si="0"/>
        <v>-0.51035833333332903</v>
      </c>
      <c r="Q5" s="5"/>
      <c r="R5" s="5"/>
    </row>
    <row r="6" spans="1:24" ht="14.25" customHeight="1" x14ac:dyDescent="0.3">
      <c r="A6" s="42"/>
      <c r="B6" s="48"/>
      <c r="C6" s="16">
        <v>13.75</v>
      </c>
      <c r="D6" s="16">
        <v>6.1</v>
      </c>
      <c r="F6" s="12" t="s">
        <v>13</v>
      </c>
      <c r="G6" s="2">
        <f>AVERAGE(C15:C20)</f>
        <v>19.475000000000001</v>
      </c>
      <c r="H6" s="2">
        <f>AVERAGE(D15:D20)</f>
        <v>17.988816666666665</v>
      </c>
      <c r="I6" s="11">
        <f>AVERAGE(C15:D20)</f>
        <v>18.731908333333333</v>
      </c>
      <c r="J6" s="11">
        <f>I6-$I$7</f>
        <v>5.413216666666667</v>
      </c>
      <c r="L6" s="7" t="s">
        <v>13</v>
      </c>
      <c r="M6" s="2">
        <f t="shared" si="0"/>
        <v>-0.79154999999999731</v>
      </c>
      <c r="N6" s="2">
        <f t="shared" si="0"/>
        <v>0.79154999999999909</v>
      </c>
      <c r="Q6" s="29" t="s">
        <v>37</v>
      </c>
      <c r="R6" s="29" t="s">
        <v>38</v>
      </c>
      <c r="S6" s="29" t="s">
        <v>39</v>
      </c>
      <c r="U6" s="29" t="s">
        <v>37</v>
      </c>
      <c r="V6">
        <v>6</v>
      </c>
      <c r="W6" s="29" t="s">
        <v>46</v>
      </c>
      <c r="X6">
        <v>6</v>
      </c>
    </row>
    <row r="7" spans="1:24" ht="14.25" customHeight="1" x14ac:dyDescent="0.3">
      <c r="A7" s="42"/>
      <c r="B7" s="48"/>
      <c r="C7" s="16">
        <v>11.6</v>
      </c>
      <c r="D7" s="16">
        <v>8.5</v>
      </c>
      <c r="F7" s="13" t="s">
        <v>41</v>
      </c>
      <c r="G7" s="9">
        <f>AVERAGE(C3:C20)</f>
        <v>14.853333333333332</v>
      </c>
      <c r="H7" s="9">
        <f>AVERAGE(D3:D20)</f>
        <v>11.784049999999999</v>
      </c>
      <c r="I7" s="8">
        <f>AVERAGE(C3:D20)</f>
        <v>13.318691666666666</v>
      </c>
      <c r="Q7">
        <v>6</v>
      </c>
      <c r="R7">
        <v>6</v>
      </c>
      <c r="S7">
        <v>6</v>
      </c>
      <c r="U7" s="29" t="s">
        <v>38</v>
      </c>
      <c r="V7">
        <v>6</v>
      </c>
      <c r="W7" s="29" t="s">
        <v>47</v>
      </c>
      <c r="X7">
        <v>6</v>
      </c>
    </row>
    <row r="8" spans="1:24" ht="14.25" customHeight="1" x14ac:dyDescent="0.3">
      <c r="A8" s="42"/>
      <c r="B8" s="49"/>
      <c r="C8" s="17">
        <v>11.5</v>
      </c>
      <c r="D8" s="17">
        <v>3.93</v>
      </c>
      <c r="F8" s="13" t="s">
        <v>43</v>
      </c>
      <c r="G8" s="9">
        <f>G7-$I$7</f>
        <v>1.5346416666666656</v>
      </c>
      <c r="H8" s="9">
        <f>H7-$I$7</f>
        <v>-1.5346416666666673</v>
      </c>
      <c r="Q8" s="29" t="s">
        <v>46</v>
      </c>
      <c r="R8" s="29" t="s">
        <v>47</v>
      </c>
      <c r="S8" s="29" t="s">
        <v>48</v>
      </c>
      <c r="U8" s="29" t="s">
        <v>39</v>
      </c>
      <c r="V8">
        <v>6</v>
      </c>
      <c r="W8" s="29" t="s">
        <v>48</v>
      </c>
      <c r="X8">
        <v>6</v>
      </c>
    </row>
    <row r="9" spans="1:24" ht="14.25" customHeight="1" x14ac:dyDescent="0.3">
      <c r="A9" s="42"/>
      <c r="B9" s="50" t="s">
        <v>15</v>
      </c>
      <c r="C9" s="16">
        <v>14.85</v>
      </c>
      <c r="D9" s="16">
        <v>9.5</v>
      </c>
      <c r="Q9">
        <v>6</v>
      </c>
      <c r="R9">
        <v>6</v>
      </c>
      <c r="S9">
        <v>6</v>
      </c>
    </row>
    <row r="10" spans="1:24" ht="14.25" customHeight="1" x14ac:dyDescent="0.3">
      <c r="A10" s="42"/>
      <c r="B10" s="48"/>
      <c r="C10" s="16">
        <v>9.99</v>
      </c>
      <c r="D10" s="16">
        <v>9.1</v>
      </c>
      <c r="F10" s="44" t="s">
        <v>14</v>
      </c>
      <c r="G10" s="45"/>
      <c r="H10" s="45"/>
      <c r="L10" s="43" t="s">
        <v>49</v>
      </c>
      <c r="M10" s="43"/>
      <c r="N10" s="43"/>
      <c r="O10" s="43"/>
      <c r="P10" s="43"/>
      <c r="Q10" s="43"/>
      <c r="R10" s="43"/>
    </row>
    <row r="11" spans="1:24" ht="14.25" customHeight="1" x14ac:dyDescent="0.3">
      <c r="A11" s="42"/>
      <c r="B11" s="48"/>
      <c r="C11" s="16">
        <v>16</v>
      </c>
      <c r="D11" s="16">
        <v>14.1</v>
      </c>
      <c r="G11" s="33" t="s">
        <v>21</v>
      </c>
      <c r="H11" s="35"/>
      <c r="M11" s="6" t="s">
        <v>16</v>
      </c>
      <c r="N11" s="6" t="s">
        <v>17</v>
      </c>
      <c r="O11" s="6" t="s">
        <v>18</v>
      </c>
      <c r="P11" s="6" t="s">
        <v>19</v>
      </c>
      <c r="Q11" s="6" t="s">
        <v>51</v>
      </c>
      <c r="R11" s="6" t="s">
        <v>50</v>
      </c>
    </row>
    <row r="12" spans="1:24" ht="14.25" customHeight="1" x14ac:dyDescent="0.3">
      <c r="A12" s="42"/>
      <c r="B12" s="48"/>
      <c r="C12" s="16">
        <v>12.5</v>
      </c>
      <c r="D12" s="16">
        <v>5.85</v>
      </c>
      <c r="F12" s="6" t="s">
        <v>40</v>
      </c>
      <c r="G12" s="6" t="s">
        <v>2</v>
      </c>
      <c r="H12" s="6" t="s">
        <v>3</v>
      </c>
      <c r="L12" s="7" t="s">
        <v>20</v>
      </c>
      <c r="M12" s="2">
        <f>DEVSQ(J4:J6)*R4*S4</f>
        <v>551.83396841166677</v>
      </c>
      <c r="N12" s="2">
        <v>2</v>
      </c>
      <c r="O12" s="2">
        <f>M12/N12</f>
        <v>275.91698420583339</v>
      </c>
      <c r="P12" s="2">
        <f>O12/$O$15</f>
        <v>12.180659415412244</v>
      </c>
      <c r="Q12" s="2">
        <f>_xlfn.F.DIST.RT(P12,N12,$N$15)</f>
        <v>1.341124372774215E-4</v>
      </c>
      <c r="R12" s="5" t="s">
        <v>56</v>
      </c>
      <c r="T12" s="14" t="s">
        <v>12</v>
      </c>
      <c r="U12" s="14" t="s">
        <v>79</v>
      </c>
    </row>
    <row r="13" spans="1:24" ht="14.25" customHeight="1" x14ac:dyDescent="0.3">
      <c r="A13" s="42"/>
      <c r="B13" s="48"/>
      <c r="C13" s="16">
        <v>18.649999999999999</v>
      </c>
      <c r="D13" s="16">
        <v>9.8000000000000007</v>
      </c>
      <c r="F13" s="7" t="s">
        <v>10</v>
      </c>
      <c r="G13" s="2">
        <f>DEVSQ(C3:C8)</f>
        <v>28.456999999999994</v>
      </c>
      <c r="H13" s="2">
        <f>DEVSQ(D3:D8)</f>
        <v>60.196083333333334</v>
      </c>
      <c r="L13" s="7" t="s">
        <v>21</v>
      </c>
      <c r="M13" s="2">
        <f>DEVSQ(G8:H8)*S4*Q4</f>
        <v>84.784501622499974</v>
      </c>
      <c r="N13" s="2">
        <v>1</v>
      </c>
      <c r="O13" s="2">
        <f>M13/N13</f>
        <v>84.784501622499974</v>
      </c>
      <c r="P13" s="2">
        <f>O13/$O$15</f>
        <v>3.7429052834193204</v>
      </c>
      <c r="Q13" s="2">
        <f>_xlfn.F.DIST.RT(P13,N13,$N$15)</f>
        <v>6.2511300944950846E-2</v>
      </c>
      <c r="R13" s="5" t="s">
        <v>55</v>
      </c>
      <c r="T13" s="3">
        <f>S4*DEVSQ(G4:H6)</f>
        <v>648.21149944583328</v>
      </c>
      <c r="U13" s="3">
        <f>SUM(M12:M14)</f>
        <v>648.2114994458334</v>
      </c>
    </row>
    <row r="14" spans="1:24" ht="14.25" customHeight="1" x14ac:dyDescent="0.3">
      <c r="A14" s="42"/>
      <c r="B14" s="49"/>
      <c r="C14" s="17">
        <v>10</v>
      </c>
      <c r="D14" s="17">
        <v>9.1</v>
      </c>
      <c r="F14" s="7" t="s">
        <v>11</v>
      </c>
      <c r="G14" s="2">
        <f>DEVSQ(C9:C14)</f>
        <v>60.001749999999987</v>
      </c>
      <c r="H14" s="2">
        <f>DEVSQ(D9:D14)</f>
        <v>34.858749999999993</v>
      </c>
      <c r="L14" s="7" t="s">
        <v>22</v>
      </c>
      <c r="M14" s="2">
        <f>DEVSQ(M4:N6)*S4</f>
        <v>11.593029411666638</v>
      </c>
      <c r="N14" s="5">
        <f>N12*N13</f>
        <v>2</v>
      </c>
      <c r="O14" s="2">
        <f>M14/N14</f>
        <v>5.7965147058333191</v>
      </c>
      <c r="P14" s="2">
        <f>O14/$O$15</f>
        <v>0.25589353127864256</v>
      </c>
      <c r="Q14" s="2">
        <f>_xlfn.F.DIST.RT(P14,N14,$N$15)</f>
        <v>0.77589713511477254</v>
      </c>
      <c r="R14" s="5" t="s">
        <v>55</v>
      </c>
    </row>
    <row r="15" spans="1:24" ht="14.25" customHeight="1" x14ac:dyDescent="0.3">
      <c r="A15" s="42"/>
      <c r="B15" s="50" t="s">
        <v>13</v>
      </c>
      <c r="C15" s="16">
        <v>17.75</v>
      </c>
      <c r="D15" s="16">
        <v>13.6</v>
      </c>
      <c r="F15" s="7" t="s">
        <v>13</v>
      </c>
      <c r="G15" s="2">
        <f>DEVSQ(C15:C20)</f>
        <v>302.67874999999998</v>
      </c>
      <c r="H15" s="2">
        <f>DEVSQ(D15:D20)</f>
        <v>193.36935900833333</v>
      </c>
      <c r="L15" s="7" t="s">
        <v>23</v>
      </c>
      <c r="M15" s="2">
        <f>SUM(G13:H15)</f>
        <v>679.56169234166669</v>
      </c>
      <c r="N15" s="2">
        <f>T4-R4*Q4</f>
        <v>30</v>
      </c>
      <c r="O15" s="2">
        <f>M15/N15</f>
        <v>22.652056411388891</v>
      </c>
    </row>
    <row r="16" spans="1:24" ht="14.25" customHeight="1" x14ac:dyDescent="0.3">
      <c r="A16" s="42"/>
      <c r="B16" s="48"/>
      <c r="C16" s="16">
        <v>11</v>
      </c>
      <c r="D16" s="16">
        <v>16.75</v>
      </c>
      <c r="L16" s="7" t="s">
        <v>57</v>
      </c>
      <c r="M16">
        <f>SUM(M12:M15)</f>
        <v>1327.7731917875001</v>
      </c>
    </row>
    <row r="17" spans="1:18" ht="14.25" customHeight="1" x14ac:dyDescent="0.3">
      <c r="A17" s="42"/>
      <c r="B17" s="48"/>
      <c r="C17" s="16">
        <v>21.5</v>
      </c>
      <c r="D17" s="16">
        <v>21.45</v>
      </c>
      <c r="L17" s="7" t="s">
        <v>58</v>
      </c>
      <c r="M17">
        <f>DEVSQ(C3:D20)</f>
        <v>1327.7731917875001</v>
      </c>
    </row>
    <row r="18" spans="1:18" ht="14.25" customHeight="1" x14ac:dyDescent="0.3">
      <c r="A18" s="42"/>
      <c r="B18" s="48"/>
      <c r="C18" s="16">
        <v>31.7</v>
      </c>
      <c r="D18" s="16">
        <v>26.597899999999999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ht="14.25" customHeight="1" x14ac:dyDescent="0.3">
      <c r="A19" s="42"/>
      <c r="B19" s="48"/>
      <c r="C19" s="16">
        <v>23.2</v>
      </c>
      <c r="D19" s="16">
        <v>20.5</v>
      </c>
      <c r="G19" s="7"/>
      <c r="H19" s="7"/>
      <c r="I19" s="7"/>
      <c r="J19" s="7"/>
      <c r="K19" s="7"/>
    </row>
    <row r="20" spans="1:18" ht="14.25" customHeight="1" x14ac:dyDescent="0.3">
      <c r="A20" s="42"/>
      <c r="B20" s="49"/>
      <c r="C20" s="17">
        <v>11.7</v>
      </c>
      <c r="D20" s="17">
        <v>9.0350000000000001</v>
      </c>
      <c r="G20" s="36" t="s">
        <v>52</v>
      </c>
      <c r="H20" s="37"/>
      <c r="I20" s="37"/>
      <c r="J20" s="37"/>
      <c r="K20" s="37"/>
      <c r="L20" s="37"/>
      <c r="M20" s="37"/>
      <c r="N20" s="37"/>
      <c r="O20" s="37"/>
    </row>
    <row r="21" spans="1:18" ht="14.25" customHeight="1" x14ac:dyDescent="0.3">
      <c r="H21" s="33" t="s">
        <v>21</v>
      </c>
      <c r="I21" s="33"/>
      <c r="J21" s="33" t="s">
        <v>53</v>
      </c>
      <c r="K21" s="33"/>
      <c r="L21" s="33"/>
      <c r="M21" s="33"/>
      <c r="N21" s="33"/>
      <c r="O21" s="33"/>
    </row>
    <row r="22" spans="1:18" ht="14.25" customHeight="1" x14ac:dyDescent="0.3">
      <c r="F22" s="31" t="s">
        <v>73</v>
      </c>
      <c r="G22" s="7" t="s">
        <v>40</v>
      </c>
      <c r="H22" s="6" t="s">
        <v>2</v>
      </c>
      <c r="I22" s="6" t="s">
        <v>3</v>
      </c>
      <c r="J22" s="6" t="s">
        <v>34</v>
      </c>
      <c r="K22" s="6" t="s">
        <v>54</v>
      </c>
      <c r="L22" s="6" t="s">
        <v>35</v>
      </c>
      <c r="M22" s="6" t="s">
        <v>36</v>
      </c>
      <c r="N22" s="6" t="s">
        <v>51</v>
      </c>
      <c r="O22" s="6" t="s">
        <v>50</v>
      </c>
    </row>
    <row r="23" spans="1:18" ht="14.25" customHeight="1" x14ac:dyDescent="0.3">
      <c r="F23" s="31" t="s">
        <v>69</v>
      </c>
      <c r="G23" s="7" t="s">
        <v>10</v>
      </c>
      <c r="H23">
        <v>0.5</v>
      </c>
      <c r="I23">
        <f>0.5</f>
        <v>0.5</v>
      </c>
      <c r="J23">
        <f>SUMPRODUCT(H23:I25,G4:H6)</f>
        <v>-5.5717874999999992</v>
      </c>
      <c r="K23" cm="1">
        <f t="array" ref="K23">SUM(H23:I25^2)/S4</f>
        <v>0.125</v>
      </c>
      <c r="L23">
        <f>J23^2/K23</f>
        <v>248.35852756124993</v>
      </c>
      <c r="M23">
        <f>L23/O15</f>
        <v>10.964060968715469</v>
      </c>
      <c r="N23">
        <f>_xlfn.F.DIST.RT(M23,2,30)</f>
        <v>2.6655054927279603E-4</v>
      </c>
      <c r="O23" s="30" t="s">
        <v>56</v>
      </c>
    </row>
    <row r="24" spans="1:18" ht="14.25" customHeight="1" x14ac:dyDescent="0.3">
      <c r="G24" s="7" t="s">
        <v>11</v>
      </c>
      <c r="H24">
        <f>-0.25</f>
        <v>-0.25</v>
      </c>
      <c r="I24">
        <f>-0.25</f>
        <v>-0.25</v>
      </c>
    </row>
    <row r="25" spans="1:18" ht="14.25" customHeight="1" x14ac:dyDescent="0.3">
      <c r="G25" s="7" t="s">
        <v>13</v>
      </c>
      <c r="H25">
        <f>-0.25</f>
        <v>-0.25</v>
      </c>
      <c r="I25">
        <f>-0.25</f>
        <v>-0.25</v>
      </c>
    </row>
    <row r="26" spans="1:18" ht="14.25" customHeight="1" x14ac:dyDescent="0.3">
      <c r="H26" s="33" t="s">
        <v>21</v>
      </c>
      <c r="I26" s="33"/>
    </row>
    <row r="27" spans="1:18" ht="14.25" customHeight="1" x14ac:dyDescent="0.3">
      <c r="F27" s="31" t="s">
        <v>74</v>
      </c>
      <c r="G27" s="7" t="s">
        <v>40</v>
      </c>
      <c r="H27" s="6" t="s">
        <v>2</v>
      </c>
      <c r="I27" s="6" t="s">
        <v>3</v>
      </c>
      <c r="R27" s="7"/>
    </row>
    <row r="28" spans="1:18" ht="14.25" customHeight="1" x14ac:dyDescent="0.3">
      <c r="E28" s="7"/>
      <c r="F28" s="31" t="s">
        <v>71</v>
      </c>
      <c r="G28" s="7" t="s">
        <v>10</v>
      </c>
      <c r="H28">
        <v>0</v>
      </c>
      <c r="I28">
        <v>0</v>
      </c>
      <c r="J28">
        <f>SUMPRODUCT(H28:I30,G4:H6)</f>
        <v>-7.1119083333333322</v>
      </c>
      <c r="K28" cm="1">
        <f t="array" ref="K28">SUM(H28:I30^2)/S4</f>
        <v>0.16666666666666666</v>
      </c>
      <c r="L28">
        <f>J28^2/K28</f>
        <v>303.47544085041659</v>
      </c>
      <c r="M28">
        <f>L28/O15</f>
        <v>13.397257862109008</v>
      </c>
      <c r="N28">
        <f>_xlfn.F.DIST.RT(M28,2,30)</f>
        <v>6.9538098287908896E-5</v>
      </c>
      <c r="O28" s="30" t="s">
        <v>56</v>
      </c>
    </row>
    <row r="29" spans="1:18" ht="14.25" customHeight="1" x14ac:dyDescent="0.3">
      <c r="E29" s="7"/>
      <c r="G29" s="7" t="s">
        <v>11</v>
      </c>
      <c r="H29">
        <v>0.5</v>
      </c>
      <c r="I29">
        <v>0.5</v>
      </c>
    </row>
    <row r="30" spans="1:18" ht="14.25" customHeight="1" x14ac:dyDescent="0.3">
      <c r="E30" s="7"/>
      <c r="G30" s="7" t="s">
        <v>13</v>
      </c>
      <c r="H30">
        <f>-0.5</f>
        <v>-0.5</v>
      </c>
      <c r="I30">
        <f>-0.5</f>
        <v>-0.5</v>
      </c>
    </row>
    <row r="31" spans="1:18" ht="14.25" customHeight="1" x14ac:dyDescent="0.3">
      <c r="E31" s="7"/>
      <c r="H31" s="33" t="s">
        <v>21</v>
      </c>
      <c r="I31" s="33"/>
    </row>
    <row r="32" spans="1:18" ht="14.25" customHeight="1" x14ac:dyDescent="0.3">
      <c r="F32" s="31" t="s">
        <v>75</v>
      </c>
      <c r="G32" s="7" t="s">
        <v>40</v>
      </c>
      <c r="H32" s="6" t="s">
        <v>2</v>
      </c>
      <c r="I32" s="6" t="s">
        <v>3</v>
      </c>
    </row>
    <row r="33" spans="5:15" ht="14.25" customHeight="1" x14ac:dyDescent="0.3">
      <c r="F33" s="31" t="s">
        <v>72</v>
      </c>
      <c r="G33" s="7" t="s">
        <v>10</v>
      </c>
      <c r="H33">
        <f>1/3</f>
        <v>0.33333333333333331</v>
      </c>
      <c r="I33">
        <f>-1/3</f>
        <v>-0.33333333333333331</v>
      </c>
      <c r="J33">
        <f>SUMPRODUCT(H33:I35,G4:H6)</f>
        <v>3.0692833333333356</v>
      </c>
      <c r="K33" cm="1">
        <f t="array" ref="K33">SUM(H33:I35^2)/S4</f>
        <v>0.11111111111111112</v>
      </c>
      <c r="L33">
        <f>J33^2/K33</f>
        <v>84.784501622500116</v>
      </c>
      <c r="M33">
        <f>L33/O15</f>
        <v>3.7429052834193266</v>
      </c>
      <c r="N33">
        <f>_xlfn.F.DIST.RT(M33,1,30)</f>
        <v>6.2511300944950721E-2</v>
      </c>
      <c r="O33" s="30" t="s">
        <v>55</v>
      </c>
    </row>
    <row r="34" spans="5:15" ht="14.25" customHeight="1" x14ac:dyDescent="0.3">
      <c r="G34" s="7" t="s">
        <v>11</v>
      </c>
      <c r="H34">
        <f>1/3</f>
        <v>0.33333333333333331</v>
      </c>
      <c r="I34">
        <f>-1/3</f>
        <v>-0.33333333333333331</v>
      </c>
    </row>
    <row r="35" spans="5:15" ht="14.25" customHeight="1" x14ac:dyDescent="0.3">
      <c r="G35" s="7" t="s">
        <v>13</v>
      </c>
      <c r="H35">
        <f>1/3</f>
        <v>0.33333333333333331</v>
      </c>
      <c r="I35">
        <f>-1/3</f>
        <v>-0.33333333333333331</v>
      </c>
    </row>
    <row r="36" spans="5:15" ht="14.25" customHeight="1" x14ac:dyDescent="0.3">
      <c r="H36" s="33" t="s">
        <v>21</v>
      </c>
      <c r="I36" s="33"/>
    </row>
    <row r="37" spans="5:15" ht="14.25" customHeight="1" x14ac:dyDescent="0.3">
      <c r="F37" s="31" t="s">
        <v>76</v>
      </c>
      <c r="G37" s="7" t="s">
        <v>40</v>
      </c>
      <c r="H37" s="6" t="s">
        <v>2</v>
      </c>
      <c r="I37" s="6" t="s">
        <v>3</v>
      </c>
    </row>
    <row r="38" spans="5:15" ht="14.25" customHeight="1" x14ac:dyDescent="0.3">
      <c r="E38" s="7"/>
      <c r="G38" s="7" t="s">
        <v>10</v>
      </c>
      <c r="H38">
        <v>0.25</v>
      </c>
      <c r="I38">
        <f>-0.25</f>
        <v>-0.25</v>
      </c>
      <c r="J38">
        <f>SUMPRODUCT(H38:I40,G4:H6)</f>
        <v>1.1873249999999995</v>
      </c>
      <c r="K38" cm="1">
        <f t="array" ref="K38">SUM(H38:I40^2)/S4</f>
        <v>0.125</v>
      </c>
      <c r="L38">
        <f>J38^2/K38</f>
        <v>11.277925244999992</v>
      </c>
      <c r="M38">
        <f>L38/O15</f>
        <v>0.49787644177549067</v>
      </c>
      <c r="N38">
        <f>_xlfn.F.DIST.RT(M38,2,30)</f>
        <v>0.61275374474938449</v>
      </c>
      <c r="O38" s="30" t="s">
        <v>55</v>
      </c>
    </row>
    <row r="39" spans="5:15" ht="14.25" customHeight="1" x14ac:dyDescent="0.3">
      <c r="E39" s="7"/>
      <c r="G39" s="7" t="s">
        <v>11</v>
      </c>
      <c r="H39">
        <v>0.25</v>
      </c>
      <c r="I39">
        <f>-0.25</f>
        <v>-0.25</v>
      </c>
    </row>
    <row r="40" spans="5:15" ht="14.25" customHeight="1" x14ac:dyDescent="0.3">
      <c r="E40" s="7"/>
      <c r="G40" s="7" t="s">
        <v>13</v>
      </c>
      <c r="H40">
        <f>-0.5</f>
        <v>-0.5</v>
      </c>
      <c r="I40">
        <f>0.5</f>
        <v>0.5</v>
      </c>
    </row>
    <row r="41" spans="5:15" ht="14.25" customHeight="1" x14ac:dyDescent="0.3">
      <c r="E41" s="7"/>
      <c r="H41" s="33" t="s">
        <v>21</v>
      </c>
      <c r="I41" s="33"/>
    </row>
    <row r="42" spans="5:15" ht="14.25" customHeight="1" x14ac:dyDescent="0.3">
      <c r="F42" s="31" t="s">
        <v>77</v>
      </c>
      <c r="G42" s="7" t="s">
        <v>40</v>
      </c>
      <c r="H42" s="6" t="s">
        <v>2</v>
      </c>
      <c r="I42" s="6" t="s">
        <v>3</v>
      </c>
    </row>
    <row r="43" spans="5:15" ht="14.25" customHeight="1" x14ac:dyDescent="0.3">
      <c r="G43" s="7" t="s">
        <v>10</v>
      </c>
      <c r="H43">
        <v>0.25</v>
      </c>
      <c r="I43">
        <f>-0.25</f>
        <v>-0.25</v>
      </c>
      <c r="J43">
        <f>SUMPRODUCT(H43:I45,G4:H6)</f>
        <v>-0.11458333333333259</v>
      </c>
      <c r="K43" cm="1">
        <f t="array" ref="K43">SUM(H43:I45^2)/S4</f>
        <v>4.1666666666666664E-2</v>
      </c>
      <c r="L43">
        <f>J43^2/K43</f>
        <v>0.31510416666666263</v>
      </c>
      <c r="M43">
        <f>L43/O15</f>
        <v>1.3910620781795162E-2</v>
      </c>
      <c r="N43">
        <f>_xlfn.F.DIST.RT(M43,2,30)</f>
        <v>0.98619204199405264</v>
      </c>
      <c r="O43" s="30" t="s">
        <v>55</v>
      </c>
    </row>
    <row r="44" spans="5:15" ht="14.25" customHeight="1" x14ac:dyDescent="0.3">
      <c r="G44" s="7" t="s">
        <v>11</v>
      </c>
      <c r="H44">
        <f>-0.25</f>
        <v>-0.25</v>
      </c>
      <c r="I44">
        <f>0.25</f>
        <v>0.25</v>
      </c>
    </row>
    <row r="45" spans="5:15" ht="14.25" customHeight="1" x14ac:dyDescent="0.3">
      <c r="G45" s="7" t="s">
        <v>13</v>
      </c>
      <c r="H45">
        <v>0</v>
      </c>
      <c r="I45">
        <v>0</v>
      </c>
    </row>
    <row r="46" spans="5:15" ht="14.25" customHeight="1" x14ac:dyDescent="0.3">
      <c r="L46" s="31" t="s">
        <v>78</v>
      </c>
      <c r="M46" s="31" t="s">
        <v>70</v>
      </c>
    </row>
    <row r="47" spans="5:15" ht="14.25" customHeight="1" x14ac:dyDescent="0.3">
      <c r="E47" s="7"/>
      <c r="L47">
        <f>SUM(L23,L28,L33,L38,L43)</f>
        <v>648.21149944583328</v>
      </c>
      <c r="M47">
        <f>AVERAGE(M23,M28,M33,M38,M43)</f>
        <v>5.7232022353602181</v>
      </c>
    </row>
    <row r="48" spans="5:15" ht="14.25" customHeight="1" x14ac:dyDescent="0.3">
      <c r="E48" s="7"/>
      <c r="F48" s="2"/>
      <c r="G48" s="2"/>
      <c r="H48" s="2"/>
    </row>
    <row r="49" spans="5:15" ht="14.25" customHeight="1" x14ac:dyDescent="0.3">
      <c r="E49" s="7"/>
      <c r="F49" s="2"/>
      <c r="G49" s="2"/>
      <c r="H49" s="2"/>
    </row>
    <row r="50" spans="5:15" ht="14.25" customHeight="1" x14ac:dyDescent="0.3"/>
    <row r="51" spans="5:15" ht="14.25" customHeight="1" x14ac:dyDescent="0.3"/>
    <row r="52" spans="5:15" ht="14.25" customHeight="1" x14ac:dyDescent="0.3"/>
    <row r="53" spans="5:15" ht="14.25" customHeight="1" x14ac:dyDescent="0.3"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5:15" ht="14.25" customHeight="1" x14ac:dyDescent="0.3">
      <c r="G54" s="7"/>
      <c r="H54" s="7"/>
      <c r="I54" s="7"/>
      <c r="J54" s="7"/>
      <c r="K54" s="7"/>
      <c r="L54" s="7"/>
      <c r="M54" s="7"/>
      <c r="N54" s="7"/>
      <c r="O54" s="7"/>
    </row>
    <row r="55" spans="5:15" ht="14.25" customHeight="1" x14ac:dyDescent="0.3">
      <c r="F55" s="7"/>
      <c r="G55" s="6"/>
      <c r="H55" s="6"/>
      <c r="I55" s="6"/>
      <c r="J55" s="6"/>
      <c r="K55" s="6"/>
      <c r="L55" s="6"/>
      <c r="M55" s="6"/>
      <c r="N55" s="6"/>
      <c r="O55" s="7"/>
    </row>
    <row r="56" spans="5:15" ht="14.25" customHeight="1" x14ac:dyDescent="0.3">
      <c r="E56" s="7"/>
      <c r="F56" s="7"/>
      <c r="G56" s="4"/>
      <c r="H56" s="4"/>
      <c r="O56" s="5"/>
    </row>
    <row r="57" spans="5:15" ht="14.25" customHeight="1" x14ac:dyDescent="0.3">
      <c r="E57" s="7"/>
      <c r="F57" s="7"/>
      <c r="G57" s="4"/>
      <c r="H57" s="4"/>
      <c r="O57" s="5"/>
    </row>
    <row r="58" spans="5:15" ht="14.25" customHeight="1" x14ac:dyDescent="0.3">
      <c r="E58" s="7"/>
      <c r="F58" s="7"/>
      <c r="G58" s="4"/>
      <c r="H58" s="4"/>
      <c r="O58" s="5"/>
    </row>
    <row r="59" spans="5:15" ht="14.25" customHeight="1" x14ac:dyDescent="0.3">
      <c r="E59" s="7"/>
      <c r="F59" s="7"/>
      <c r="O59" s="5"/>
    </row>
    <row r="60" spans="5:15" ht="14.25" customHeight="1" x14ac:dyDescent="0.3"/>
    <row r="61" spans="5:15" ht="14.25" customHeight="1" x14ac:dyDescent="0.3"/>
    <row r="62" spans="5:15" ht="14.25" customHeight="1" x14ac:dyDescent="0.3"/>
    <row r="63" spans="5:15" ht="14.25" customHeight="1" x14ac:dyDescent="0.3"/>
    <row r="64" spans="5:1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0">
    <mergeCell ref="A3:A20"/>
    <mergeCell ref="B3:B8"/>
    <mergeCell ref="B9:B14"/>
    <mergeCell ref="B15:B20"/>
    <mergeCell ref="F1:H1"/>
    <mergeCell ref="G2:H2"/>
    <mergeCell ref="Q2:U2"/>
    <mergeCell ref="B1:B2"/>
    <mergeCell ref="C1:D1"/>
    <mergeCell ref="L10:R10"/>
    <mergeCell ref="F10:H10"/>
    <mergeCell ref="H26:I26"/>
    <mergeCell ref="H31:I31"/>
    <mergeCell ref="H36:I36"/>
    <mergeCell ref="H41:I41"/>
    <mergeCell ref="L2:N2"/>
    <mergeCell ref="G11:H11"/>
    <mergeCell ref="G20:O20"/>
    <mergeCell ref="J21:O21"/>
    <mergeCell ref="H21:I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workbookViewId="0">
      <selection activeCell="F13" sqref="F13"/>
    </sheetView>
  </sheetViews>
  <sheetFormatPr defaultColWidth="12.6640625" defaultRowHeight="15" customHeight="1" x14ac:dyDescent="0.3"/>
  <cols>
    <col min="1" max="1" width="8.6640625" customWidth="1"/>
    <col min="2" max="2" width="17.44140625" customWidth="1"/>
    <col min="3" max="3" width="8.6640625" customWidth="1"/>
    <col min="4" max="4" width="14.21875" customWidth="1"/>
    <col min="5" max="5" width="8.6640625" customWidth="1"/>
    <col min="6" max="6" width="20.5546875" bestFit="1" customWidth="1"/>
    <col min="7" max="7" width="12.21875" customWidth="1"/>
    <col min="8" max="8" width="12.44140625" customWidth="1"/>
    <col min="9" max="9" width="20.5546875" bestFit="1" customWidth="1"/>
    <col min="10" max="10" width="11.109375" customWidth="1"/>
    <col min="11" max="11" width="11.33203125" customWidth="1"/>
    <col min="12" max="12" width="12.5546875" customWidth="1"/>
    <col min="13" max="13" width="8.6640625" customWidth="1"/>
    <col min="14" max="14" width="9.109375" customWidth="1"/>
    <col min="15" max="15" width="8.6640625" customWidth="1"/>
    <col min="16" max="16" width="12.6640625" customWidth="1"/>
    <col min="17" max="26" width="8.6640625" customWidth="1"/>
  </cols>
  <sheetData>
    <row r="1" spans="1:20" ht="14.25" customHeight="1" x14ac:dyDescent="0.3">
      <c r="B1" s="39" t="s">
        <v>0</v>
      </c>
      <c r="C1" s="41" t="s">
        <v>1</v>
      </c>
      <c r="D1" s="42"/>
      <c r="E1" s="19"/>
      <c r="F1" s="44" t="s">
        <v>4</v>
      </c>
      <c r="G1" s="44"/>
      <c r="H1" s="44"/>
      <c r="J1" s="7" t="s">
        <v>59</v>
      </c>
      <c r="L1" s="19"/>
      <c r="M1" s="19"/>
      <c r="N1" s="19"/>
      <c r="O1" s="19"/>
      <c r="P1" s="19"/>
      <c r="Q1" s="19"/>
      <c r="R1" s="19"/>
      <c r="S1" s="19"/>
      <c r="T1" s="19"/>
    </row>
    <row r="2" spans="1:20" ht="14.25" customHeight="1" x14ac:dyDescent="0.3">
      <c r="B2" s="40"/>
      <c r="C2" s="1" t="s">
        <v>2</v>
      </c>
      <c r="D2" s="1" t="s">
        <v>3</v>
      </c>
      <c r="E2" s="19"/>
      <c r="F2" s="7"/>
      <c r="G2" s="33" t="s">
        <v>21</v>
      </c>
      <c r="H2" s="33"/>
      <c r="J2" s="38" t="s">
        <v>28</v>
      </c>
      <c r="K2" s="38"/>
      <c r="L2" s="38"/>
      <c r="M2" s="38"/>
      <c r="N2" s="38"/>
      <c r="T2" s="19"/>
    </row>
    <row r="3" spans="1:20" ht="14.25" customHeight="1" x14ac:dyDescent="0.3">
      <c r="A3" s="46" t="s">
        <v>9</v>
      </c>
      <c r="B3" s="47" t="s">
        <v>10</v>
      </c>
      <c r="C3" s="16">
        <v>7.65</v>
      </c>
      <c r="D3" s="16">
        <v>6</v>
      </c>
      <c r="E3" s="19"/>
      <c r="F3" s="6" t="s">
        <v>40</v>
      </c>
      <c r="G3" s="6" t="s">
        <v>2</v>
      </c>
      <c r="H3" s="6" t="s">
        <v>3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27</v>
      </c>
      <c r="P3" s="6" t="s">
        <v>80</v>
      </c>
      <c r="T3" s="19"/>
    </row>
    <row r="4" spans="1:20" ht="14.25" customHeight="1" x14ac:dyDescent="0.3">
      <c r="A4" s="42"/>
      <c r="B4" s="48"/>
      <c r="C4" s="16">
        <v>14.02</v>
      </c>
      <c r="D4" s="16">
        <v>14</v>
      </c>
      <c r="E4" s="19"/>
      <c r="F4" s="12" t="s">
        <v>10</v>
      </c>
      <c r="G4" s="2">
        <f>AVERAGE(C3:C8)</f>
        <v>11.420000000000002</v>
      </c>
      <c r="H4" s="2">
        <f>AVERAGE(D3:D8)</f>
        <v>7.7883333333333331</v>
      </c>
      <c r="J4" s="2">
        <v>3</v>
      </c>
      <c r="K4" s="2">
        <v>2</v>
      </c>
      <c r="L4" s="2">
        <v>6</v>
      </c>
      <c r="M4" s="2">
        <v>36</v>
      </c>
      <c r="N4" s="5">
        <v>6</v>
      </c>
      <c r="P4" s="32" t="s">
        <v>81</v>
      </c>
      <c r="T4" s="19"/>
    </row>
    <row r="5" spans="1:20" ht="14.25" customHeight="1" x14ac:dyDescent="0.3">
      <c r="A5" s="42"/>
      <c r="B5" s="48"/>
      <c r="C5" s="16">
        <v>10</v>
      </c>
      <c r="D5" s="16">
        <v>8.1999999999999993</v>
      </c>
      <c r="E5" s="19"/>
      <c r="F5" s="12" t="s">
        <v>11</v>
      </c>
      <c r="G5" s="2">
        <f>AVERAGE(C9:C14)</f>
        <v>13.665000000000001</v>
      </c>
      <c r="H5" s="2">
        <f>AVERAGE(D9:D14)</f>
        <v>9.5750000000000011</v>
      </c>
      <c r="T5" s="19"/>
    </row>
    <row r="6" spans="1:20" ht="14.25" customHeight="1" x14ac:dyDescent="0.3">
      <c r="A6" s="42"/>
      <c r="B6" s="48"/>
      <c r="C6" s="16">
        <v>13.75</v>
      </c>
      <c r="D6" s="16">
        <v>6.1</v>
      </c>
      <c r="E6" s="19"/>
      <c r="F6" s="12" t="s">
        <v>13</v>
      </c>
      <c r="G6" s="2">
        <f>AVERAGE(C15:C20)</f>
        <v>19.475000000000001</v>
      </c>
      <c r="H6" s="2">
        <f>AVERAGE(D15:D20)</f>
        <v>17.988816666666665</v>
      </c>
      <c r="J6" s="29" t="s">
        <v>37</v>
      </c>
      <c r="K6" s="29" t="s">
        <v>38</v>
      </c>
      <c r="L6" s="29" t="s">
        <v>39</v>
      </c>
      <c r="M6" s="29" t="s">
        <v>46</v>
      </c>
      <c r="N6" s="29" t="s">
        <v>47</v>
      </c>
      <c r="O6" s="29" t="s">
        <v>48</v>
      </c>
    </row>
    <row r="7" spans="1:20" ht="14.25" customHeight="1" x14ac:dyDescent="0.3">
      <c r="A7" s="42"/>
      <c r="B7" s="48"/>
      <c r="C7" s="16">
        <v>11.6</v>
      </c>
      <c r="D7" s="16">
        <v>8.5</v>
      </c>
      <c r="E7" s="19"/>
      <c r="J7">
        <v>6</v>
      </c>
      <c r="K7">
        <v>6</v>
      </c>
      <c r="L7">
        <v>6</v>
      </c>
      <c r="M7">
        <v>6</v>
      </c>
      <c r="N7">
        <v>6</v>
      </c>
      <c r="O7">
        <v>6</v>
      </c>
    </row>
    <row r="8" spans="1:20" ht="14.25" customHeight="1" x14ac:dyDescent="0.3">
      <c r="A8" s="42"/>
      <c r="B8" s="49"/>
      <c r="C8" s="17">
        <v>11.5</v>
      </c>
      <c r="D8" s="17">
        <v>3.93</v>
      </c>
      <c r="E8" s="19"/>
      <c r="L8" s="5"/>
    </row>
    <row r="9" spans="1:20" ht="14.25" customHeight="1" x14ac:dyDescent="0.3">
      <c r="A9" s="42"/>
      <c r="B9" s="50" t="s">
        <v>15</v>
      </c>
      <c r="C9" s="16">
        <v>14.85</v>
      </c>
      <c r="D9" s="16">
        <v>9.5</v>
      </c>
      <c r="E9" s="19"/>
      <c r="J9" s="29" t="s">
        <v>37</v>
      </c>
      <c r="K9">
        <v>6</v>
      </c>
    </row>
    <row r="10" spans="1:20" ht="14.25" customHeight="1" x14ac:dyDescent="0.3">
      <c r="A10" s="42"/>
      <c r="B10" s="48"/>
      <c r="C10" s="16">
        <v>9.99</v>
      </c>
      <c r="D10" s="16">
        <v>9.1</v>
      </c>
      <c r="E10" s="19"/>
      <c r="F10" s="44" t="s">
        <v>14</v>
      </c>
      <c r="G10" s="45"/>
      <c r="H10" s="45"/>
      <c r="J10" s="29" t="s">
        <v>38</v>
      </c>
      <c r="K10">
        <v>6</v>
      </c>
    </row>
    <row r="11" spans="1:20" ht="14.25" customHeight="1" x14ac:dyDescent="0.3">
      <c r="A11" s="42"/>
      <c r="B11" s="48"/>
      <c r="C11" s="16">
        <v>16</v>
      </c>
      <c r="D11" s="16">
        <v>14.1</v>
      </c>
      <c r="E11" s="19"/>
      <c r="G11" s="33" t="s">
        <v>21</v>
      </c>
      <c r="H11" s="35"/>
      <c r="J11" s="29" t="s">
        <v>39</v>
      </c>
      <c r="K11">
        <v>6</v>
      </c>
    </row>
    <row r="12" spans="1:20" ht="14.25" customHeight="1" x14ac:dyDescent="0.3">
      <c r="A12" s="42"/>
      <c r="B12" s="48"/>
      <c r="C12" s="16">
        <v>12.5</v>
      </c>
      <c r="D12" s="16">
        <v>5.85</v>
      </c>
      <c r="E12" s="19"/>
      <c r="F12" s="6" t="s">
        <v>40</v>
      </c>
      <c r="G12" s="6" t="s">
        <v>2</v>
      </c>
      <c r="H12" s="6" t="s">
        <v>3</v>
      </c>
      <c r="J12" s="29" t="s">
        <v>46</v>
      </c>
      <c r="K12">
        <v>6</v>
      </c>
    </row>
    <row r="13" spans="1:20" ht="14.25" customHeight="1" x14ac:dyDescent="0.3">
      <c r="A13" s="42"/>
      <c r="B13" s="48"/>
      <c r="C13" s="16">
        <v>18.649999999999999</v>
      </c>
      <c r="D13" s="16">
        <v>9.8000000000000007</v>
      </c>
      <c r="E13" s="19"/>
      <c r="F13" s="7" t="s">
        <v>10</v>
      </c>
      <c r="G13" s="2">
        <f>DEVSQ(C3:C8)</f>
        <v>28.456999999999994</v>
      </c>
      <c r="H13" s="2">
        <f>DEVSQ(D3:D8)</f>
        <v>60.196083333333334</v>
      </c>
      <c r="J13" s="29" t="s">
        <v>47</v>
      </c>
      <c r="K13">
        <v>6</v>
      </c>
    </row>
    <row r="14" spans="1:20" ht="14.25" customHeight="1" x14ac:dyDescent="0.3">
      <c r="A14" s="42"/>
      <c r="B14" s="49"/>
      <c r="C14" s="17">
        <v>10</v>
      </c>
      <c r="D14" s="17">
        <v>9.1</v>
      </c>
      <c r="E14" s="19"/>
      <c r="F14" s="7" t="s">
        <v>11</v>
      </c>
      <c r="G14" s="2">
        <f>DEVSQ(C9:C14)</f>
        <v>60.001749999999987</v>
      </c>
      <c r="H14" s="2">
        <f>DEVSQ(D9:D14)</f>
        <v>34.858749999999993</v>
      </c>
      <c r="J14" s="29" t="s">
        <v>48</v>
      </c>
      <c r="K14">
        <v>6</v>
      </c>
    </row>
    <row r="15" spans="1:20" ht="14.25" customHeight="1" x14ac:dyDescent="0.3">
      <c r="A15" s="42"/>
      <c r="B15" s="50" t="s">
        <v>13</v>
      </c>
      <c r="C15" s="16">
        <v>17.75</v>
      </c>
      <c r="D15" s="16">
        <v>13.6</v>
      </c>
      <c r="E15" s="19"/>
      <c r="F15" s="7" t="s">
        <v>13</v>
      </c>
      <c r="G15" s="2">
        <f>DEVSQ(C15:C20)</f>
        <v>302.67874999999998</v>
      </c>
      <c r="H15" s="2">
        <f>DEVSQ(D15:D20)</f>
        <v>193.36935900833333</v>
      </c>
      <c r="I15" s="28" t="s">
        <v>60</v>
      </c>
    </row>
    <row r="16" spans="1:20" ht="14.25" customHeight="1" x14ac:dyDescent="0.3">
      <c r="A16" s="42"/>
      <c r="B16" s="48"/>
      <c r="C16" s="16">
        <v>11</v>
      </c>
      <c r="D16" s="16">
        <v>16.75</v>
      </c>
      <c r="E16" s="19"/>
      <c r="I16" s="20">
        <f>AVERAGE(C3:D20)</f>
        <v>13.318691666666666</v>
      </c>
    </row>
    <row r="17" spans="1:18" ht="14.25" customHeight="1" x14ac:dyDescent="0.3">
      <c r="A17" s="42"/>
      <c r="B17" s="48"/>
      <c r="C17" s="16">
        <v>21.5</v>
      </c>
      <c r="D17" s="16">
        <v>21.45</v>
      </c>
      <c r="E17" s="19"/>
      <c r="I17" s="10" t="s">
        <v>63</v>
      </c>
      <c r="J17" s="19">
        <f>(G4-$I$16)^2</f>
        <v>3.6050300450694359</v>
      </c>
      <c r="K17" s="19">
        <f>(G5-$I$16)^2</f>
        <v>0.1199294617361121</v>
      </c>
      <c r="L17" s="19">
        <f>(G6-$I$16)^2</f>
        <v>37.900132295069469</v>
      </c>
      <c r="M17" s="19">
        <f>(H4-$I$16)^2</f>
        <v>30.584863295069439</v>
      </c>
      <c r="N17" s="19">
        <f>(H5-$I$16)^2</f>
        <v>14.015227295069433</v>
      </c>
      <c r="O17" s="19">
        <f>(H6-$I$16)^2</f>
        <v>21.81006751562499</v>
      </c>
    </row>
    <row r="18" spans="1:18" ht="14.25" customHeight="1" x14ac:dyDescent="0.3">
      <c r="A18" s="42"/>
      <c r="B18" s="48"/>
      <c r="C18" s="16">
        <v>31.7</v>
      </c>
      <c r="D18" s="16">
        <v>26.597899999999999</v>
      </c>
      <c r="E18" s="19"/>
    </row>
    <row r="19" spans="1:18" ht="14.25" customHeight="1" x14ac:dyDescent="0.3">
      <c r="A19" s="42"/>
      <c r="B19" s="48"/>
      <c r="C19" s="16">
        <v>23.2</v>
      </c>
      <c r="D19" s="16">
        <v>20.5</v>
      </c>
      <c r="E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4.25" customHeight="1" x14ac:dyDescent="0.3">
      <c r="A20" s="42"/>
      <c r="B20" s="49"/>
      <c r="C20" s="17">
        <v>11.7</v>
      </c>
      <c r="D20" s="17">
        <v>9.0350000000000001</v>
      </c>
      <c r="E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4.25" customHeight="1" x14ac:dyDescent="0.3">
      <c r="A21" s="19"/>
      <c r="B21" s="19"/>
      <c r="C21" s="19"/>
      <c r="D21" s="19"/>
      <c r="E21" s="19"/>
      <c r="F21" s="23" t="s">
        <v>67</v>
      </c>
      <c r="G21" s="18" t="s">
        <v>16</v>
      </c>
      <c r="H21" s="23" t="s">
        <v>17</v>
      </c>
      <c r="I21" s="23" t="s">
        <v>18</v>
      </c>
      <c r="J21" s="23" t="s">
        <v>61</v>
      </c>
      <c r="K21" s="23" t="s">
        <v>51</v>
      </c>
      <c r="L21" s="23" t="s">
        <v>50</v>
      </c>
      <c r="M21" s="19"/>
      <c r="N21" s="19"/>
      <c r="O21" s="19"/>
      <c r="P21" s="19"/>
      <c r="Q21" s="19"/>
      <c r="R21" s="19"/>
    </row>
    <row r="22" spans="1:18" ht="14.25" customHeight="1" x14ac:dyDescent="0.3">
      <c r="A22" s="19"/>
      <c r="B22" s="19"/>
      <c r="C22" s="19"/>
      <c r="D22" s="19"/>
      <c r="E22" s="19"/>
      <c r="F22" s="7" t="s">
        <v>64</v>
      </c>
      <c r="G22" s="21">
        <f>SUMPRODUCT(J7:O7,J17:O17)</f>
        <v>648.21149944583328</v>
      </c>
      <c r="H22">
        <v>5</v>
      </c>
      <c r="I22" s="21">
        <f>G22/H22</f>
        <v>129.64229988916665</v>
      </c>
      <c r="J22" s="21">
        <f>I22/I23</f>
        <v>5.7232022353602181</v>
      </c>
      <c r="K22">
        <f>_xlfn.F.DIST.RT(J22,H22,H23)</f>
        <v>8.0141725457117275E-4</v>
      </c>
      <c r="L22" s="22" t="s">
        <v>65</v>
      </c>
      <c r="M22" s="19"/>
      <c r="N22" s="19"/>
      <c r="O22" s="19"/>
      <c r="P22" s="19"/>
      <c r="Q22" s="19"/>
      <c r="R22" s="19"/>
    </row>
    <row r="23" spans="1:18" ht="14.25" customHeight="1" x14ac:dyDescent="0.3">
      <c r="A23" s="19"/>
      <c r="B23" s="19"/>
      <c r="C23" s="19"/>
      <c r="D23" s="19"/>
      <c r="E23" s="19"/>
      <c r="F23" s="7" t="s">
        <v>62</v>
      </c>
      <c r="G23" s="15">
        <f>SUM(G13:H15)</f>
        <v>679.56169234166669</v>
      </c>
      <c r="H23">
        <v>30</v>
      </c>
      <c r="I23" s="21">
        <f>G23/H23</f>
        <v>22.652056411388891</v>
      </c>
      <c r="M23" s="19"/>
      <c r="N23" s="19"/>
      <c r="O23" s="19"/>
      <c r="P23" s="19"/>
      <c r="Q23" s="19"/>
      <c r="R23" s="19"/>
    </row>
    <row r="24" spans="1:18" ht="14.25" customHeight="1" x14ac:dyDescent="0.3">
      <c r="A24" s="19"/>
      <c r="B24" s="19"/>
      <c r="C24" s="19"/>
      <c r="D24" s="19"/>
      <c r="E24" s="19"/>
      <c r="F24" s="7" t="s">
        <v>58</v>
      </c>
      <c r="G24" s="21">
        <f>DEVSQ(C3:D20)</f>
        <v>1327.7731917875001</v>
      </c>
      <c r="H24">
        <f>M4-1</f>
        <v>35</v>
      </c>
      <c r="M24" s="19"/>
      <c r="N24" s="19"/>
      <c r="O24" s="19"/>
      <c r="P24" s="19"/>
      <c r="Q24" s="19"/>
      <c r="R24" s="19"/>
    </row>
    <row r="25" spans="1:18" ht="14.25" customHeight="1" x14ac:dyDescent="0.3">
      <c r="A25" s="19"/>
      <c r="B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4.25" customHeight="1" x14ac:dyDescent="0.3">
      <c r="A26" s="19"/>
      <c r="B26" s="19"/>
      <c r="C26" s="19"/>
      <c r="D26" s="19"/>
      <c r="E26" s="19"/>
      <c r="F26" s="19"/>
      <c r="G26" s="5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4.25" customHeight="1" x14ac:dyDescent="0.3"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4.25" customHeight="1" x14ac:dyDescent="0.3"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4.25" customHeight="1" x14ac:dyDescent="0.3"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4.25" customHeight="1" x14ac:dyDescent="0.3"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4.25" customHeight="1" x14ac:dyDescent="0.3"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4.25" customHeight="1" x14ac:dyDescent="0.3">
      <c r="J32" s="19"/>
      <c r="K32" s="19"/>
      <c r="L32" s="19"/>
      <c r="M32" s="19"/>
      <c r="N32" s="19"/>
      <c r="O32" s="19"/>
      <c r="P32" s="19"/>
      <c r="Q32" s="19"/>
      <c r="R32" s="19"/>
    </row>
    <row r="33" spans="10:18" ht="14.25" customHeight="1" x14ac:dyDescent="0.3">
      <c r="J33" s="19"/>
      <c r="K33" s="19"/>
      <c r="L33" s="19"/>
      <c r="M33" s="19"/>
      <c r="N33" s="19"/>
      <c r="O33" s="19"/>
      <c r="P33" s="19"/>
      <c r="Q33" s="19"/>
      <c r="R33" s="19"/>
    </row>
    <row r="34" spans="10:18" ht="14.25" customHeight="1" x14ac:dyDescent="0.3">
      <c r="J34" s="19"/>
      <c r="K34" s="19"/>
      <c r="L34" s="19"/>
      <c r="M34" s="19"/>
      <c r="N34" s="19"/>
      <c r="O34" s="19"/>
      <c r="P34" s="19"/>
      <c r="Q34" s="19"/>
      <c r="R34" s="19"/>
    </row>
    <row r="35" spans="10:18" ht="14.25" customHeight="1" x14ac:dyDescent="0.3">
      <c r="J35" s="19"/>
      <c r="K35" s="19"/>
      <c r="L35" s="19"/>
      <c r="M35" s="19"/>
      <c r="N35" s="19"/>
      <c r="O35" s="19"/>
      <c r="P35" s="19"/>
      <c r="Q35" s="19"/>
      <c r="R35" s="19"/>
    </row>
    <row r="36" spans="10:18" ht="14.25" customHeight="1" x14ac:dyDescent="0.3">
      <c r="J36" s="19"/>
      <c r="K36" s="19"/>
      <c r="L36" s="19"/>
      <c r="M36" s="19"/>
      <c r="N36" s="19"/>
      <c r="O36" s="19"/>
      <c r="P36" s="19"/>
      <c r="Q36" s="19"/>
      <c r="R36" s="19"/>
    </row>
    <row r="37" spans="10:18" ht="14.25" customHeight="1" x14ac:dyDescent="0.3">
      <c r="J37" s="19"/>
      <c r="K37" s="19"/>
      <c r="L37" s="19"/>
      <c r="M37" s="19"/>
      <c r="N37" s="19"/>
      <c r="O37" s="19"/>
      <c r="P37" s="19"/>
      <c r="Q37" s="19"/>
      <c r="R37" s="19"/>
    </row>
    <row r="38" spans="10:18" ht="14.25" customHeight="1" x14ac:dyDescent="0.3">
      <c r="J38" s="19"/>
      <c r="K38" s="19"/>
      <c r="L38" s="19"/>
      <c r="M38" s="19"/>
      <c r="N38" s="19"/>
      <c r="O38" s="19"/>
      <c r="P38" s="19"/>
      <c r="Q38" s="19"/>
      <c r="R38" s="19"/>
    </row>
    <row r="39" spans="10:18" ht="14.25" customHeight="1" x14ac:dyDescent="0.3">
      <c r="J39" s="19"/>
      <c r="K39" s="19"/>
    </row>
    <row r="40" spans="10:18" ht="14.25" customHeight="1" x14ac:dyDescent="0.3"/>
    <row r="41" spans="10:18" ht="14.25" customHeight="1" x14ac:dyDescent="0.3"/>
    <row r="42" spans="10:18" ht="14.25" customHeight="1" x14ac:dyDescent="0.3"/>
    <row r="43" spans="10:18" ht="14.25" customHeight="1" x14ac:dyDescent="0.3"/>
    <row r="44" spans="10:18" ht="14.25" customHeight="1" x14ac:dyDescent="0.3"/>
    <row r="45" spans="10:18" ht="14.25" customHeight="1" x14ac:dyDescent="0.3"/>
    <row r="46" spans="10:18" ht="14.25" customHeight="1" x14ac:dyDescent="0.3"/>
    <row r="47" spans="10:18" ht="14.25" customHeight="1" x14ac:dyDescent="0.3"/>
    <row r="48" spans="10:1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1">
    <mergeCell ref="B1:B2"/>
    <mergeCell ref="C1:D1"/>
    <mergeCell ref="A3:A20"/>
    <mergeCell ref="B3:B8"/>
    <mergeCell ref="B9:B14"/>
    <mergeCell ref="B15:B20"/>
    <mergeCell ref="J2:N2"/>
    <mergeCell ref="F1:H1"/>
    <mergeCell ref="G2:H2"/>
    <mergeCell ref="F10:H10"/>
    <mergeCell ref="G11:H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9E5-2B31-445D-A863-D63E81A6A5EC}">
  <dimension ref="A1:V20"/>
  <sheetViews>
    <sheetView topLeftCell="B1" workbookViewId="0">
      <selection activeCell="G12" sqref="G12"/>
    </sheetView>
  </sheetViews>
  <sheetFormatPr defaultRowHeight="14.4" x14ac:dyDescent="0.3"/>
  <cols>
    <col min="2" max="2" width="25.109375" bestFit="1" customWidth="1"/>
    <col min="6" max="6" width="13.77734375" bestFit="1" customWidth="1"/>
    <col min="7" max="7" width="12.109375" customWidth="1"/>
    <col min="9" max="9" width="10.21875" bestFit="1" customWidth="1"/>
    <col min="11" max="11" width="10.88671875" customWidth="1"/>
    <col min="12" max="12" width="34.77734375" bestFit="1" customWidth="1"/>
  </cols>
  <sheetData>
    <row r="1" spans="1:22" x14ac:dyDescent="0.3">
      <c r="B1" s="39" t="s">
        <v>0</v>
      </c>
      <c r="C1" s="41" t="s">
        <v>1</v>
      </c>
      <c r="D1" s="42"/>
      <c r="F1" s="44" t="s">
        <v>4</v>
      </c>
      <c r="G1" s="44"/>
      <c r="H1" s="7"/>
      <c r="J1" s="7"/>
      <c r="K1" s="7"/>
      <c r="L1" s="7"/>
      <c r="M1" s="7"/>
    </row>
    <row r="2" spans="1:22" ht="15" thickBot="1" x14ac:dyDescent="0.35">
      <c r="B2" s="40"/>
      <c r="C2" s="1" t="s">
        <v>2</v>
      </c>
      <c r="D2" s="1" t="s">
        <v>3</v>
      </c>
      <c r="F2" s="7"/>
      <c r="G2" s="7" t="s">
        <v>21</v>
      </c>
      <c r="H2" s="7"/>
    </row>
    <row r="3" spans="1:22" ht="15" thickTop="1" x14ac:dyDescent="0.3">
      <c r="A3" s="46" t="s">
        <v>9</v>
      </c>
      <c r="B3" s="47" t="s">
        <v>10</v>
      </c>
      <c r="C3" s="16">
        <v>7.65</v>
      </c>
      <c r="D3" s="16">
        <v>6</v>
      </c>
      <c r="F3" s="6" t="s">
        <v>40</v>
      </c>
      <c r="G3" s="6" t="s">
        <v>2</v>
      </c>
      <c r="I3" s="38" t="s">
        <v>28</v>
      </c>
      <c r="J3" s="38"/>
      <c r="L3" s="24" t="s">
        <v>66</v>
      </c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3">
      <c r="A4" s="42"/>
      <c r="B4" s="48"/>
      <c r="C4" s="16">
        <v>14.02</v>
      </c>
      <c r="D4" s="16">
        <v>14</v>
      </c>
      <c r="F4" s="12" t="s">
        <v>10</v>
      </c>
      <c r="G4" s="2">
        <f>AVERAGE(C3:C8)</f>
        <v>11.420000000000002</v>
      </c>
      <c r="I4" s="7" t="s">
        <v>37</v>
      </c>
      <c r="J4">
        <v>6</v>
      </c>
      <c r="L4">
        <v>0</v>
      </c>
    </row>
    <row r="5" spans="1:22" x14ac:dyDescent="0.3">
      <c r="A5" s="42"/>
      <c r="B5" s="48"/>
      <c r="C5" s="16">
        <v>10</v>
      </c>
      <c r="D5" s="16">
        <v>8.1999999999999993</v>
      </c>
      <c r="F5" s="12" t="s">
        <v>11</v>
      </c>
      <c r="G5" s="2">
        <f>AVERAGE(C9:C14)</f>
        <v>13.665000000000001</v>
      </c>
      <c r="I5" s="7" t="s">
        <v>38</v>
      </c>
      <c r="J5">
        <v>6</v>
      </c>
      <c r="L5">
        <v>0</v>
      </c>
    </row>
    <row r="6" spans="1:22" x14ac:dyDescent="0.3">
      <c r="A6" s="42"/>
      <c r="B6" s="48"/>
      <c r="C6" s="16">
        <v>13.75</v>
      </c>
      <c r="D6" s="16">
        <v>6.1</v>
      </c>
      <c r="F6" s="12" t="s">
        <v>13</v>
      </c>
      <c r="G6" s="2">
        <f>AVERAGE(C15:C20)</f>
        <v>19.475000000000001</v>
      </c>
      <c r="I6" s="7" t="s">
        <v>39</v>
      </c>
      <c r="J6">
        <v>6</v>
      </c>
      <c r="L6">
        <v>1</v>
      </c>
    </row>
    <row r="7" spans="1:22" x14ac:dyDescent="0.3">
      <c r="A7" s="42"/>
      <c r="B7" s="48"/>
      <c r="C7" s="16">
        <v>11.6</v>
      </c>
      <c r="D7" s="16">
        <v>8.5</v>
      </c>
      <c r="I7" s="7" t="s">
        <v>8</v>
      </c>
      <c r="J7" s="7" t="s">
        <v>27</v>
      </c>
    </row>
    <row r="8" spans="1:22" x14ac:dyDescent="0.3">
      <c r="A8" s="42"/>
      <c r="B8" s="49"/>
      <c r="C8" s="17">
        <v>11.5</v>
      </c>
      <c r="D8" s="17">
        <v>3.93</v>
      </c>
      <c r="I8">
        <v>36</v>
      </c>
      <c r="J8">
        <v>6</v>
      </c>
    </row>
    <row r="9" spans="1:22" x14ac:dyDescent="0.3">
      <c r="A9" s="42"/>
      <c r="B9" s="50" t="s">
        <v>15</v>
      </c>
      <c r="C9" s="16">
        <v>14.85</v>
      </c>
      <c r="D9" s="16">
        <v>9.5</v>
      </c>
    </row>
    <row r="10" spans="1:22" x14ac:dyDescent="0.3">
      <c r="A10" s="42"/>
      <c r="B10" s="48"/>
      <c r="C10" s="16">
        <v>9.99</v>
      </c>
      <c r="D10" s="16">
        <v>9.1</v>
      </c>
      <c r="F10" s="51" t="s">
        <v>68</v>
      </c>
      <c r="G10" s="51"/>
      <c r="H10" s="51"/>
      <c r="I10" s="51"/>
      <c r="J10" s="51"/>
      <c r="K10" s="51"/>
      <c r="L10" s="51"/>
      <c r="M10" s="51"/>
      <c r="N10" s="51"/>
    </row>
    <row r="11" spans="1:22" x14ac:dyDescent="0.3">
      <c r="A11" s="42"/>
      <c r="B11" s="48"/>
      <c r="C11" s="16">
        <v>16</v>
      </c>
      <c r="D11" s="16">
        <v>14.1</v>
      </c>
      <c r="F11" s="6" t="s">
        <v>24</v>
      </c>
      <c r="G11" s="6" t="s">
        <v>25</v>
      </c>
      <c r="H11" s="6" t="s">
        <v>26</v>
      </c>
      <c r="I11" s="6" t="s">
        <v>29</v>
      </c>
      <c r="J11" s="6" t="s">
        <v>30</v>
      </c>
      <c r="K11" s="6" t="s">
        <v>31</v>
      </c>
      <c r="L11" s="6" t="s">
        <v>32</v>
      </c>
      <c r="M11" s="6" t="s">
        <v>24</v>
      </c>
      <c r="N11" s="6" t="s">
        <v>33</v>
      </c>
    </row>
    <row r="12" spans="1:22" x14ac:dyDescent="0.3">
      <c r="A12" s="42"/>
      <c r="B12" s="48"/>
      <c r="C12" s="16">
        <v>12.5</v>
      </c>
      <c r="D12" s="16">
        <v>5.85</v>
      </c>
      <c r="F12">
        <f>SUMPRODUCT(L4:L6,$G$4:$G$6)</f>
        <v>19.475000000000001</v>
      </c>
      <c r="G12" s="4">
        <f>'1-way ANOVA'!I23</f>
        <v>22.652056411388891</v>
      </c>
      <c r="H12" cm="1">
        <f t="array" ref="H12">SUM(L4:L6^2/$J$4:$J$6)</f>
        <v>0.16666666666666666</v>
      </c>
      <c r="I12">
        <f>SQRT(G12*H12)</f>
        <v>1.9430241211141672</v>
      </c>
      <c r="J12" s="25">
        <v>0.05</v>
      </c>
      <c r="K12" s="26">
        <f>_xlfn.T.INV.2T(J12,$I$8-$J$8)</f>
        <v>2.0422724563012378</v>
      </c>
      <c r="L12" s="21">
        <f>F12-I12*K12</f>
        <v>15.506815355519617</v>
      </c>
      <c r="M12" s="27">
        <f>F12</f>
        <v>19.475000000000001</v>
      </c>
      <c r="N12" s="27">
        <f>F12+I12*K12</f>
        <v>23.443184644480386</v>
      </c>
    </row>
    <row r="13" spans="1:22" x14ac:dyDescent="0.3">
      <c r="A13" s="42"/>
      <c r="B13" s="48"/>
      <c r="C13" s="16">
        <v>18.649999999999999</v>
      </c>
      <c r="D13" s="16">
        <v>9.8000000000000007</v>
      </c>
    </row>
    <row r="14" spans="1:22" x14ac:dyDescent="0.3">
      <c r="A14" s="42"/>
      <c r="B14" s="49"/>
      <c r="C14" s="17">
        <v>10</v>
      </c>
      <c r="D14" s="17">
        <v>9.1</v>
      </c>
    </row>
    <row r="15" spans="1:22" x14ac:dyDescent="0.3">
      <c r="A15" s="42"/>
      <c r="B15" s="50" t="s">
        <v>13</v>
      </c>
      <c r="C15" s="16">
        <v>17.75</v>
      </c>
      <c r="D15" s="16">
        <v>13.6</v>
      </c>
    </row>
    <row r="16" spans="1:22" x14ac:dyDescent="0.3">
      <c r="A16" s="42"/>
      <c r="B16" s="48"/>
      <c r="C16" s="16">
        <v>11</v>
      </c>
      <c r="D16" s="16">
        <v>16.75</v>
      </c>
    </row>
    <row r="17" spans="1:4" x14ac:dyDescent="0.3">
      <c r="A17" s="42"/>
      <c r="B17" s="48"/>
      <c r="C17" s="16">
        <v>21.5</v>
      </c>
      <c r="D17" s="16">
        <v>21.45</v>
      </c>
    </row>
    <row r="18" spans="1:4" x14ac:dyDescent="0.3">
      <c r="A18" s="42"/>
      <c r="B18" s="48"/>
      <c r="C18" s="16">
        <v>31.7</v>
      </c>
      <c r="D18" s="16">
        <v>26.597899999999999</v>
      </c>
    </row>
    <row r="19" spans="1:4" x14ac:dyDescent="0.3">
      <c r="A19" s="42"/>
      <c r="B19" s="48"/>
      <c r="C19" s="16">
        <v>23.2</v>
      </c>
      <c r="D19" s="16">
        <v>20.5</v>
      </c>
    </row>
    <row r="20" spans="1:4" x14ac:dyDescent="0.3">
      <c r="A20" s="42"/>
      <c r="B20" s="49"/>
      <c r="C20" s="17">
        <v>11.7</v>
      </c>
      <c r="D20" s="17">
        <v>9.0350000000000001</v>
      </c>
    </row>
  </sheetData>
  <mergeCells count="9">
    <mergeCell ref="F1:G1"/>
    <mergeCell ref="I3:J3"/>
    <mergeCell ref="B1:B2"/>
    <mergeCell ref="C1:D1"/>
    <mergeCell ref="A3:A20"/>
    <mergeCell ref="B3:B8"/>
    <mergeCell ref="B9:B14"/>
    <mergeCell ref="B15:B20"/>
    <mergeCell ref="F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ANOVA</vt:lpstr>
      <vt:lpstr>1-way ANOVA</vt:lpstr>
      <vt:lpstr>Intervalo de Confiança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fc54514</dc:creator>
  <cp:lastModifiedBy>fc54514</cp:lastModifiedBy>
  <dcterms:created xsi:type="dcterms:W3CDTF">2024-03-27T11:31:14Z</dcterms:created>
  <dcterms:modified xsi:type="dcterms:W3CDTF">2024-06-23T18:14:15Z</dcterms:modified>
</cp:coreProperties>
</file>