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4783983-A1FB-4792-8FDA-FE0093FEE9BE}" xr6:coauthVersionLast="47" xr6:coauthVersionMax="47" xr10:uidLastSave="{00000000-0000-0000-0000-000000000000}"/>
  <bookViews>
    <workbookView xWindow="-120" yWindow="-120" windowWidth="29040" windowHeight="15840" xr2:uid="{267FF0F9-C28C-4FC8-9C3C-2E6B6C06343E}"/>
  </bookViews>
  <sheets>
    <sheet name="1" sheetId="6" r:id="rId1"/>
    <sheet name="2" sheetId="7" r:id="rId2"/>
    <sheet name="3" sheetId="8" r:id="rId3"/>
    <sheet name="4" sheetId="9" r:id="rId4"/>
    <sheet name="5" sheetId="10" r:id="rId5"/>
    <sheet name="6" sheetId="11" r:id="rId6"/>
    <sheet name="7" sheetId="12" r:id="rId7"/>
    <sheet name="8" sheetId="16" r:id="rId8"/>
    <sheet name="9" sheetId="15" r:id="rId9"/>
    <sheet name="10" sheetId="17" r:id="rId10"/>
    <sheet name="11" sheetId="18" r:id="rId11"/>
    <sheet name="12" sheetId="19" r:id="rId12"/>
    <sheet name="13" sheetId="20" r:id="rId13"/>
    <sheet name="14" sheetId="21" r:id="rId14"/>
    <sheet name="15" sheetId="22" r:id="rId15"/>
    <sheet name="16" sheetId="23" r:id="rId16"/>
    <sheet name="17" sheetId="24" r:id="rId17"/>
    <sheet name="18" sheetId="25" r:id="rId18"/>
    <sheet name="19" sheetId="26" r:id="rId19"/>
    <sheet name="20" sheetId="27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7" l="1"/>
  <c r="E19" i="27"/>
  <c r="E18" i="27"/>
  <c r="H11" i="26"/>
  <c r="H12" i="26"/>
  <c r="H13" i="26"/>
  <c r="H14" i="26"/>
  <c r="H15" i="26"/>
  <c r="H16" i="26"/>
  <c r="H17" i="26"/>
  <c r="H18" i="26"/>
  <c r="H10" i="26"/>
  <c r="F11" i="26"/>
  <c r="F12" i="26"/>
  <c r="F13" i="26"/>
  <c r="F14" i="26"/>
  <c r="F15" i="26"/>
  <c r="F16" i="26"/>
  <c r="F17" i="26"/>
  <c r="F18" i="26"/>
  <c r="F10" i="26"/>
  <c r="G14" i="26"/>
  <c r="G18" i="26"/>
  <c r="E10" i="26"/>
  <c r="G10" i="26" s="1"/>
  <c r="E11" i="26"/>
  <c r="G11" i="26" s="1"/>
  <c r="E12" i="26"/>
  <c r="E13" i="26"/>
  <c r="E14" i="26"/>
  <c r="E15" i="26"/>
  <c r="G15" i="26" s="1"/>
  <c r="E16" i="26"/>
  <c r="E17" i="26"/>
  <c r="E18" i="26"/>
  <c r="D13" i="25"/>
  <c r="E13" i="25"/>
  <c r="E6" i="25"/>
  <c r="E7" i="25"/>
  <c r="E8" i="25"/>
  <c r="E9" i="25"/>
  <c r="E10" i="25"/>
  <c r="E11" i="25"/>
  <c r="E12" i="25"/>
  <c r="G6" i="24"/>
  <c r="F19" i="24"/>
  <c r="F6" i="24"/>
  <c r="F14" i="24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E15" i="24"/>
  <c r="F15" i="24" s="1"/>
  <c r="E16" i="24"/>
  <c r="F16" i="24" s="1"/>
  <c r="E17" i="24"/>
  <c r="F17" i="24" s="1"/>
  <c r="E18" i="24"/>
  <c r="F18" i="24" s="1"/>
  <c r="E6" i="24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8" i="23"/>
  <c r="E9" i="23"/>
  <c r="E10" i="23"/>
  <c r="E31" i="23" s="1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8" i="23"/>
  <c r="G31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8" i="23"/>
  <c r="F31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8" i="23"/>
  <c r="D31" i="23"/>
  <c r="G8" i="22"/>
  <c r="G9" i="22"/>
  <c r="G10" i="22"/>
  <c r="G7" i="22"/>
  <c r="F8" i="22"/>
  <c r="F9" i="22"/>
  <c r="F10" i="22"/>
  <c r="F7" i="22"/>
  <c r="E8" i="22"/>
  <c r="E11" i="22" s="1"/>
  <c r="E9" i="22"/>
  <c r="E10" i="22"/>
  <c r="E7" i="22"/>
  <c r="D8" i="22"/>
  <c r="D11" i="22" s="1"/>
  <c r="D9" i="22"/>
  <c r="D10" i="22"/>
  <c r="D7" i="22"/>
  <c r="C8" i="22"/>
  <c r="C9" i="22"/>
  <c r="C11" i="22" s="1"/>
  <c r="C10" i="22"/>
  <c r="C7" i="22"/>
  <c r="F11" i="22"/>
  <c r="I4" i="21"/>
  <c r="J4" i="21"/>
  <c r="K4" i="21"/>
  <c r="L4" i="21"/>
  <c r="M4" i="21"/>
  <c r="N4" i="21"/>
  <c r="O4" i="21"/>
  <c r="P4" i="21"/>
  <c r="I5" i="21"/>
  <c r="J5" i="21"/>
  <c r="K5" i="21"/>
  <c r="L5" i="21"/>
  <c r="M5" i="21"/>
  <c r="N5" i="21"/>
  <c r="O5" i="21"/>
  <c r="P5" i="21"/>
  <c r="I6" i="21"/>
  <c r="J6" i="21"/>
  <c r="K6" i="21"/>
  <c r="L6" i="21"/>
  <c r="M6" i="21"/>
  <c r="N6" i="21"/>
  <c r="O6" i="21"/>
  <c r="P6" i="21"/>
  <c r="I7" i="21"/>
  <c r="J7" i="21"/>
  <c r="K7" i="21"/>
  <c r="L7" i="21"/>
  <c r="M7" i="21"/>
  <c r="N7" i="21"/>
  <c r="O7" i="21"/>
  <c r="P7" i="21"/>
  <c r="I8" i="21"/>
  <c r="J8" i="21"/>
  <c r="K8" i="21"/>
  <c r="L8" i="21"/>
  <c r="M8" i="21"/>
  <c r="N8" i="21"/>
  <c r="O8" i="21"/>
  <c r="P8" i="21"/>
  <c r="I9" i="21"/>
  <c r="J9" i="21"/>
  <c r="K9" i="21"/>
  <c r="L9" i="21"/>
  <c r="M9" i="21"/>
  <c r="N9" i="21"/>
  <c r="O9" i="21"/>
  <c r="P9" i="21"/>
  <c r="I10" i="21"/>
  <c r="J10" i="21"/>
  <c r="K10" i="21"/>
  <c r="L10" i="21"/>
  <c r="M10" i="21"/>
  <c r="N10" i="21"/>
  <c r="O10" i="21"/>
  <c r="P10" i="21"/>
  <c r="I11" i="21"/>
  <c r="J11" i="21"/>
  <c r="K11" i="21"/>
  <c r="L11" i="21"/>
  <c r="M11" i="21"/>
  <c r="N11" i="21"/>
  <c r="O11" i="21"/>
  <c r="P11" i="21"/>
  <c r="I12" i="21"/>
  <c r="J12" i="21"/>
  <c r="K12" i="21"/>
  <c r="L12" i="21"/>
  <c r="M12" i="21"/>
  <c r="N12" i="21"/>
  <c r="O12" i="21"/>
  <c r="P12" i="21"/>
  <c r="H5" i="21"/>
  <c r="H6" i="21"/>
  <c r="H7" i="21"/>
  <c r="H8" i="21"/>
  <c r="H9" i="21"/>
  <c r="H10" i="21"/>
  <c r="H11" i="21"/>
  <c r="H12" i="21"/>
  <c r="H4" i="21"/>
  <c r="E5" i="21"/>
  <c r="E6" i="21"/>
  <c r="E7" i="21"/>
  <c r="E8" i="21"/>
  <c r="E9" i="21"/>
  <c r="E10" i="21"/>
  <c r="E11" i="21"/>
  <c r="E12" i="21"/>
  <c r="E13" i="21"/>
  <c r="E4" i="21"/>
  <c r="G9" i="20"/>
  <c r="G10" i="20"/>
  <c r="G24" i="20" s="1"/>
  <c r="G11" i="20"/>
  <c r="G12" i="20"/>
  <c r="G13" i="20"/>
  <c r="K13" i="20" s="1"/>
  <c r="G14" i="20"/>
  <c r="G15" i="20"/>
  <c r="G16" i="20"/>
  <c r="G17" i="20"/>
  <c r="G18" i="20"/>
  <c r="G19" i="20"/>
  <c r="G20" i="20"/>
  <c r="G21" i="20"/>
  <c r="G22" i="20"/>
  <c r="G23" i="20"/>
  <c r="G8" i="20"/>
  <c r="K9" i="20"/>
  <c r="K10" i="20"/>
  <c r="K11" i="20"/>
  <c r="K12" i="20"/>
  <c r="K14" i="20"/>
  <c r="K15" i="20"/>
  <c r="K16" i="20"/>
  <c r="K17" i="20"/>
  <c r="K18" i="20"/>
  <c r="K19" i="20"/>
  <c r="K20" i="20"/>
  <c r="K21" i="20"/>
  <c r="K22" i="20"/>
  <c r="K23" i="20"/>
  <c r="K8" i="20"/>
  <c r="J24" i="20"/>
  <c r="I24" i="20"/>
  <c r="I8" i="20"/>
  <c r="H24" i="20"/>
  <c r="F24" i="20"/>
  <c r="E24" i="20"/>
  <c r="D24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8" i="20"/>
  <c r="F23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8" i="20"/>
  <c r="H9" i="19"/>
  <c r="H10" i="19"/>
  <c r="H11" i="19"/>
  <c r="H12" i="19"/>
  <c r="H13" i="19"/>
  <c r="H14" i="19"/>
  <c r="H15" i="19"/>
  <c r="H8" i="19"/>
  <c r="G9" i="19"/>
  <c r="G10" i="19"/>
  <c r="G11" i="19"/>
  <c r="G12" i="19"/>
  <c r="G13" i="19"/>
  <c r="G14" i="19"/>
  <c r="G15" i="19"/>
  <c r="G8" i="19"/>
  <c r="F9" i="19"/>
  <c r="F10" i="19"/>
  <c r="F11" i="19"/>
  <c r="F12" i="19"/>
  <c r="F13" i="19"/>
  <c r="F14" i="19"/>
  <c r="F15" i="19"/>
  <c r="F8" i="19"/>
  <c r="E9" i="19"/>
  <c r="E10" i="19"/>
  <c r="E11" i="19"/>
  <c r="E12" i="19"/>
  <c r="E13" i="19"/>
  <c r="E14" i="19"/>
  <c r="E15" i="19"/>
  <c r="E8" i="19"/>
  <c r="D9" i="19"/>
  <c r="D10" i="19"/>
  <c r="D11" i="19"/>
  <c r="D12" i="19"/>
  <c r="D13" i="19"/>
  <c r="D14" i="19"/>
  <c r="D15" i="19"/>
  <c r="D8" i="19"/>
  <c r="I20" i="18"/>
  <c r="I21" i="18"/>
  <c r="I22" i="18"/>
  <c r="I23" i="18"/>
  <c r="I19" i="18"/>
  <c r="H20" i="18"/>
  <c r="H21" i="18"/>
  <c r="H22" i="18"/>
  <c r="H23" i="18"/>
  <c r="H19" i="18"/>
  <c r="F20" i="18"/>
  <c r="F21" i="18"/>
  <c r="F22" i="18"/>
  <c r="F23" i="18"/>
  <c r="F19" i="18"/>
  <c r="A19" i="18"/>
  <c r="I16" i="18"/>
  <c r="A17" i="18" s="1"/>
  <c r="I7" i="18"/>
  <c r="I8" i="18"/>
  <c r="I9" i="18"/>
  <c r="I6" i="18"/>
  <c r="H16" i="18"/>
  <c r="F16" i="18"/>
  <c r="H1" i="18"/>
  <c r="H7" i="18"/>
  <c r="H9" i="18"/>
  <c r="H6" i="18"/>
  <c r="F7" i="18"/>
  <c r="F8" i="18"/>
  <c r="F9" i="18"/>
  <c r="F6" i="18"/>
  <c r="I32" i="15"/>
  <c r="I31" i="15"/>
  <c r="I30" i="15"/>
  <c r="E36" i="15"/>
  <c r="E35" i="15"/>
  <c r="E33" i="15"/>
  <c r="E32" i="15"/>
  <c r="E31" i="15"/>
  <c r="E30" i="15"/>
  <c r="B28" i="15"/>
  <c r="E34" i="15" s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3" i="16"/>
  <c r="AC25" i="12"/>
  <c r="AC23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6" i="12"/>
  <c r="AC21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6" i="12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F6" i="10"/>
  <c r="E6" i="10"/>
  <c r="G7" i="10"/>
  <c r="G8" i="10"/>
  <c r="G9" i="10"/>
  <c r="G10" i="10"/>
  <c r="G11" i="10"/>
  <c r="G12" i="10"/>
  <c r="G13" i="10"/>
  <c r="G6" i="10"/>
  <c r="F7" i="10"/>
  <c r="F8" i="10"/>
  <c r="F9" i="10"/>
  <c r="F10" i="10"/>
  <c r="F11" i="10"/>
  <c r="F12" i="10"/>
  <c r="F13" i="10"/>
  <c r="E7" i="10"/>
  <c r="E8" i="10"/>
  <c r="E9" i="10"/>
  <c r="E10" i="10"/>
  <c r="E11" i="10"/>
  <c r="E12" i="10"/>
  <c r="E13" i="10"/>
  <c r="K18" i="9"/>
  <c r="K9" i="9"/>
  <c r="K10" i="9"/>
  <c r="K11" i="9"/>
  <c r="K12" i="9"/>
  <c r="K13" i="9"/>
  <c r="K14" i="9"/>
  <c r="K15" i="9"/>
  <c r="K16" i="9"/>
  <c r="K17" i="9"/>
  <c r="K8" i="9"/>
  <c r="J18" i="9"/>
  <c r="I18" i="9"/>
  <c r="I9" i="9"/>
  <c r="I10" i="9"/>
  <c r="I11" i="9"/>
  <c r="I12" i="9"/>
  <c r="I13" i="9"/>
  <c r="I14" i="9"/>
  <c r="I15" i="9"/>
  <c r="I16" i="9"/>
  <c r="I17" i="9"/>
  <c r="I8" i="9"/>
  <c r="H18" i="9"/>
  <c r="H9" i="9"/>
  <c r="H10" i="9"/>
  <c r="H11" i="9"/>
  <c r="H12" i="9"/>
  <c r="H13" i="9"/>
  <c r="H14" i="9"/>
  <c r="H15" i="9"/>
  <c r="H16" i="9"/>
  <c r="H17" i="9"/>
  <c r="H8" i="9"/>
  <c r="C8" i="9"/>
  <c r="G18" i="9"/>
  <c r="F18" i="9"/>
  <c r="F8" i="9"/>
  <c r="E18" i="9"/>
  <c r="D18" i="9"/>
  <c r="F9" i="9"/>
  <c r="F10" i="9"/>
  <c r="F11" i="9"/>
  <c r="F12" i="9"/>
  <c r="F13" i="9"/>
  <c r="F14" i="9"/>
  <c r="F15" i="9"/>
  <c r="F16" i="9"/>
  <c r="F17" i="9"/>
  <c r="D8" i="9"/>
  <c r="B18" i="9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I14" i="8"/>
  <c r="I5" i="8"/>
  <c r="J5" i="8" s="1"/>
  <c r="J14" i="8" s="1"/>
  <c r="I6" i="8"/>
  <c r="J6" i="8"/>
  <c r="J7" i="8"/>
  <c r="J8" i="8"/>
  <c r="J9" i="8"/>
  <c r="J10" i="8"/>
  <c r="J11" i="8"/>
  <c r="J12" i="8"/>
  <c r="J13" i="8"/>
  <c r="I7" i="8"/>
  <c r="I8" i="8"/>
  <c r="I9" i="8"/>
  <c r="I10" i="8"/>
  <c r="I11" i="8"/>
  <c r="I12" i="8"/>
  <c r="I13" i="8"/>
  <c r="F6" i="8"/>
  <c r="F7" i="8"/>
  <c r="F8" i="8"/>
  <c r="F9" i="8"/>
  <c r="F10" i="8"/>
  <c r="F11" i="8"/>
  <c r="F12" i="8"/>
  <c r="F13" i="8"/>
  <c r="F5" i="8"/>
  <c r="D6" i="8"/>
  <c r="D7" i="8"/>
  <c r="D8" i="8"/>
  <c r="D9" i="8"/>
  <c r="D10" i="8"/>
  <c r="D11" i="8"/>
  <c r="D12" i="8"/>
  <c r="D13" i="8"/>
  <c r="D5" i="8"/>
  <c r="E6" i="7"/>
  <c r="E7" i="7"/>
  <c r="E8" i="7"/>
  <c r="E9" i="7"/>
  <c r="E10" i="7"/>
  <c r="E11" i="7"/>
  <c r="E12" i="7"/>
  <c r="E13" i="7"/>
  <c r="E5" i="7"/>
  <c r="H7" i="6"/>
  <c r="H8" i="6"/>
  <c r="E8" i="6"/>
  <c r="E9" i="6"/>
  <c r="I9" i="6" s="1"/>
  <c r="E10" i="6"/>
  <c r="E11" i="6"/>
  <c r="E12" i="6"/>
  <c r="H12" i="6" s="1"/>
  <c r="E13" i="6"/>
  <c r="H13" i="6" s="1"/>
  <c r="E14" i="6"/>
  <c r="E15" i="6"/>
  <c r="E16" i="6"/>
  <c r="I16" i="6" s="1"/>
  <c r="E7" i="6"/>
  <c r="J7" i="6" s="1"/>
  <c r="I15" i="6"/>
  <c r="H11" i="6"/>
  <c r="H16" i="6"/>
  <c r="J10" i="6"/>
  <c r="J14" i="6"/>
  <c r="I10" i="6"/>
  <c r="I12" i="6"/>
  <c r="I13" i="6"/>
  <c r="I14" i="6"/>
  <c r="H10" i="6"/>
  <c r="H14" i="6"/>
  <c r="G10" i="6"/>
  <c r="G14" i="6"/>
  <c r="D12" i="25"/>
  <c r="F19" i="26" l="1"/>
  <c r="G17" i="26"/>
  <c r="E19" i="26"/>
  <c r="G13" i="26"/>
  <c r="G16" i="26"/>
  <c r="G12" i="26"/>
  <c r="E19" i="24"/>
  <c r="G17" i="24" s="1"/>
  <c r="H31" i="23"/>
  <c r="G11" i="22"/>
  <c r="K24" i="20"/>
  <c r="C18" i="9"/>
  <c r="I7" i="6"/>
  <c r="G7" i="6"/>
  <c r="H15" i="6"/>
  <c r="J15" i="6"/>
  <c r="H9" i="6"/>
  <c r="G13" i="6"/>
  <c r="G9" i="6"/>
  <c r="I8" i="6"/>
  <c r="J13" i="6"/>
  <c r="J9" i="6"/>
  <c r="G16" i="6"/>
  <c r="G12" i="6"/>
  <c r="G8" i="6"/>
  <c r="I11" i="6"/>
  <c r="J16" i="6"/>
  <c r="J12" i="6"/>
  <c r="J8" i="6"/>
  <c r="G15" i="6"/>
  <c r="G11" i="6"/>
  <c r="J11" i="6"/>
  <c r="D13" i="7"/>
  <c r="D12" i="7"/>
  <c r="D11" i="7"/>
  <c r="D10" i="7"/>
  <c r="D9" i="7"/>
  <c r="D8" i="7"/>
  <c r="D7" i="7"/>
  <c r="D6" i="7"/>
  <c r="D5" i="7"/>
  <c r="H19" i="26" l="1"/>
  <c r="G19" i="26"/>
  <c r="G9" i="24"/>
  <c r="G12" i="24"/>
  <c r="G16" i="24"/>
  <c r="G7" i="24"/>
  <c r="G11" i="24"/>
  <c r="G15" i="24"/>
  <c r="G19" i="24"/>
  <c r="G8" i="24"/>
  <c r="G13" i="24"/>
  <c r="G14" i="24"/>
  <c r="G18" i="24"/>
  <c r="G10" i="24"/>
  <c r="I17" i="6"/>
  <c r="H17" i="6"/>
  <c r="G17" i="6"/>
  <c r="J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Zadowolony użytkownik programu Microsoft Office</author>
  </authors>
  <commentList>
    <comment ref="D4" authorId="0" shapeId="0" xr:uid="{6EC01917-4A9D-48BD-BFF0-6A60746EF73C}">
      <text>
        <r>
          <rPr>
            <sz val="9"/>
            <color indexed="81"/>
            <rFont val="Tahoma"/>
            <family val="2"/>
            <charset val="238"/>
          </rPr>
          <t>podstawa * stopa podatkowa</t>
        </r>
      </text>
    </comment>
    <comment ref="F4" authorId="0" shapeId="0" xr:uid="{B5C6E978-DE6C-4656-86DD-4FF9C64B995E}">
      <text>
        <r>
          <rPr>
            <sz val="9"/>
            <color indexed="81"/>
            <rFont val="Tahoma"/>
            <family val="2"/>
            <charset val="238"/>
          </rPr>
          <t>podstawa * premia %</t>
        </r>
      </text>
    </comment>
    <comment ref="I4" authorId="0" shapeId="0" xr:uid="{BB65165B-871F-49EA-843A-261856305240}">
      <text>
        <r>
          <rPr>
            <sz val="9"/>
            <color indexed="81"/>
            <rFont val="Tahoma"/>
            <family val="2"/>
            <charset val="238"/>
          </rPr>
          <t>podstawa + podatek + premia + dodatki</t>
        </r>
      </text>
    </comment>
    <comment ref="J4" authorId="0" shapeId="0" xr:uid="{88F2B5E5-029A-4FA6-B316-5A43962F921E}">
      <text>
        <r>
          <rPr>
            <sz val="9"/>
            <color indexed="81"/>
            <rFont val="Tahoma"/>
            <family val="2"/>
            <charset val="238"/>
          </rPr>
          <t>brutto - spłaty - podatek - opłata ubezpieczeniowa.</t>
        </r>
      </text>
    </comment>
  </commentList>
</comments>
</file>

<file path=xl/sharedStrings.xml><?xml version="1.0" encoding="utf-8"?>
<sst xmlns="http://schemas.openxmlformats.org/spreadsheetml/2006/main" count="654" uniqueCount="472">
  <si>
    <t>marzec</t>
  </si>
  <si>
    <t>Nazwisko</t>
  </si>
  <si>
    <t>Imię</t>
  </si>
  <si>
    <t>Paweł</t>
  </si>
  <si>
    <t>Krzysztof</t>
  </si>
  <si>
    <t>Anna</t>
  </si>
  <si>
    <t>Paulina</t>
  </si>
  <si>
    <t>Monika</t>
  </si>
  <si>
    <t>POLECENIE:</t>
  </si>
  <si>
    <t>Oblicz opóźnienia w płatności w kolumnie E (w przeliczeniu do dzisiaj)</t>
  </si>
  <si>
    <t>Za pomocą funkcji jeżeli rozmieść kwoty należności w zależności od czasu w kolumnach G,H,I</t>
  </si>
  <si>
    <t>Oblicz odsetki w kolumnie J, przy założeniu 0,2% za każdy dzień zwłoki</t>
  </si>
  <si>
    <t xml:space="preserve">Nazwa klienta </t>
  </si>
  <si>
    <t>Nr faktury</t>
  </si>
  <si>
    <t>Data sprzedaży</t>
  </si>
  <si>
    <t>Data płatności</t>
  </si>
  <si>
    <t>Opóźnienia</t>
  </si>
  <si>
    <t>Kwota na fakturze</t>
  </si>
  <si>
    <t>Zaległości do 30 dni</t>
  </si>
  <si>
    <t>Zaległości do 60 dni</t>
  </si>
  <si>
    <t>Zaległości dłuższe niż 60 dni</t>
  </si>
  <si>
    <t>Odsetki</t>
  </si>
  <si>
    <t>ABC</t>
  </si>
  <si>
    <t>BCD</t>
  </si>
  <si>
    <t>CDE</t>
  </si>
  <si>
    <t>DEF</t>
  </si>
  <si>
    <t>EFG</t>
  </si>
  <si>
    <t>FGH</t>
  </si>
  <si>
    <t>HIJ</t>
  </si>
  <si>
    <t>IJK</t>
  </si>
  <si>
    <t>Razem:</t>
  </si>
  <si>
    <t>PŁACE W CZERWCU</t>
  </si>
  <si>
    <t>dni roboczych</t>
  </si>
  <si>
    <t>Dni zwolnienia</t>
  </si>
  <si>
    <t>Pensja</t>
  </si>
  <si>
    <t>Dniówka</t>
  </si>
  <si>
    <t>Potrącenie za zwolnienie</t>
  </si>
  <si>
    <t>Pszczoła</t>
  </si>
  <si>
    <t>Trzmiel</t>
  </si>
  <si>
    <t>Osa</t>
  </si>
  <si>
    <t>Mucha</t>
  </si>
  <si>
    <t>Chrabąszcz</t>
  </si>
  <si>
    <t>Żuk</t>
  </si>
  <si>
    <t>Szerszeń</t>
  </si>
  <si>
    <t>Komar</t>
  </si>
  <si>
    <t>Świetlik</t>
  </si>
  <si>
    <t>Podstawa</t>
  </si>
  <si>
    <t>Podatek</t>
  </si>
  <si>
    <t>Premia(%)</t>
  </si>
  <si>
    <t>Premia</t>
  </si>
  <si>
    <t>Dodatki</t>
  </si>
  <si>
    <t>Spłaty</t>
  </si>
  <si>
    <t>Brutto</t>
  </si>
  <si>
    <t>Netto</t>
  </si>
  <si>
    <t>Kasia</t>
  </si>
  <si>
    <t>Kopeć</t>
  </si>
  <si>
    <t>Małgosia</t>
  </si>
  <si>
    <t>Trzaska</t>
  </si>
  <si>
    <t>Perońska</t>
  </si>
  <si>
    <t>Łabuńko</t>
  </si>
  <si>
    <t>Michał</t>
  </si>
  <si>
    <t>Aszychmin</t>
  </si>
  <si>
    <t>Renata</t>
  </si>
  <si>
    <t>Bardecka</t>
  </si>
  <si>
    <t>Krzystowska</t>
  </si>
  <si>
    <t>Grzegorz</t>
  </si>
  <si>
    <t>Zawada</t>
  </si>
  <si>
    <t>Rafał</t>
  </si>
  <si>
    <t>Misztal</t>
  </si>
  <si>
    <t>SUMA</t>
  </si>
  <si>
    <t>Stopa podatkowa</t>
  </si>
  <si>
    <t>Opłata ubezp.</t>
  </si>
  <si>
    <t>podatek</t>
  </si>
  <si>
    <t>podstawa * stopa podatkowa</t>
  </si>
  <si>
    <t>premia</t>
  </si>
  <si>
    <t>podstawa * premia%</t>
  </si>
  <si>
    <t>brutto</t>
  </si>
  <si>
    <t>podstawa + podatek + premia + dodatki</t>
  </si>
  <si>
    <t>netto</t>
  </si>
  <si>
    <t>brutto - spłaty - podatek - opłata ubezpieczeniowa</t>
  </si>
  <si>
    <t>Oblicz ceny brutto w poszczególnych sklepach.</t>
  </si>
  <si>
    <t>Wykonaj zaokrąglenie tej ceny: w dół - jeśli po przecinku jest mniej niż 0,5; w górę - jeśli po przecinku jest więcej jub równe 0,5.</t>
  </si>
  <si>
    <t>Sprzedaż w 2014r.</t>
  </si>
  <si>
    <t>sklep 1</t>
  </si>
  <si>
    <t>sklep2</t>
  </si>
  <si>
    <t>cenna netto</t>
  </si>
  <si>
    <t>cena brutto</t>
  </si>
  <si>
    <t>cena brutto po zaokrągleniu</t>
  </si>
  <si>
    <t>ilość</t>
  </si>
  <si>
    <t>Razem</t>
  </si>
  <si>
    <t>produkt1</t>
  </si>
  <si>
    <t>produkt2</t>
  </si>
  <si>
    <t>produkt3</t>
  </si>
  <si>
    <t>produkt4</t>
  </si>
  <si>
    <t>produkt5</t>
  </si>
  <si>
    <t>produkt6</t>
  </si>
  <si>
    <t>produkt7</t>
  </si>
  <si>
    <t>produkt8</t>
  </si>
  <si>
    <t>produkt9</t>
  </si>
  <si>
    <t>produkt10</t>
  </si>
  <si>
    <t>vat</t>
  </si>
  <si>
    <t>dolar</t>
  </si>
  <si>
    <t>euro</t>
  </si>
  <si>
    <t>funt</t>
  </si>
  <si>
    <t>Lp</t>
  </si>
  <si>
    <t>Złote</t>
  </si>
  <si>
    <t>Dolary</t>
  </si>
  <si>
    <t>Euro</t>
  </si>
  <si>
    <t>Funty</t>
  </si>
  <si>
    <t>Katarzyna</t>
  </si>
  <si>
    <t>Adamska</t>
  </si>
  <si>
    <t>Piotr</t>
  </si>
  <si>
    <t>Kordek</t>
  </si>
  <si>
    <t>Polański</t>
  </si>
  <si>
    <t>Jan</t>
  </si>
  <si>
    <t>Nowak</t>
  </si>
  <si>
    <t>Mateusz</t>
  </si>
  <si>
    <t>Grodek</t>
  </si>
  <si>
    <t>Maja</t>
  </si>
  <si>
    <t>Grodzka</t>
  </si>
  <si>
    <t>Turska</t>
  </si>
  <si>
    <t>Karol</t>
  </si>
  <si>
    <t>Fudecki</t>
  </si>
  <si>
    <t>Zasiłek wynosi 153 zł</t>
  </si>
  <si>
    <t>Przysługuje on osobom po 65 roku życia, które mają dochód poniżej 2200 zł brutto</t>
  </si>
  <si>
    <t>W kolumnie E podaj kwotę zasiłku (jeśli przysługuje) lub zero jeśli nie jest spełniony któryś z tych dwóch warunków (funkcja "Lub")</t>
  </si>
  <si>
    <t>Osoba</t>
  </si>
  <si>
    <t>Wiek</t>
  </si>
  <si>
    <t>Dochód miesięczny brutto</t>
  </si>
  <si>
    <t>Zasilek</t>
  </si>
  <si>
    <t>Kowalski Jerzy</t>
  </si>
  <si>
    <t>Miłosz Waldemar</t>
  </si>
  <si>
    <t>Baron Otokar</t>
  </si>
  <si>
    <t>Mirska Ewelina</t>
  </si>
  <si>
    <t>Boni Alojzy</t>
  </si>
  <si>
    <t>Grabara Piotr</t>
  </si>
  <si>
    <t>Kleks Ambroży</t>
  </si>
  <si>
    <t>Kominiak Leon</t>
  </si>
  <si>
    <t>Guevara Che</t>
  </si>
  <si>
    <t>Hendrix Jimi</t>
  </si>
  <si>
    <t>Chopin Fryderyk</t>
  </si>
  <si>
    <t>Sosna Jagoda</t>
  </si>
  <si>
    <t>Salaterka Henryk</t>
  </si>
  <si>
    <t>Ozimek Ryszard</t>
  </si>
  <si>
    <t>Mewa Ewa</t>
  </si>
  <si>
    <t>Rokitka Angela</t>
  </si>
  <si>
    <t>Koksu Krzesimir</t>
  </si>
  <si>
    <t>Piorunkiewicz Grzegorz</t>
  </si>
  <si>
    <t>miesiąc:</t>
  </si>
  <si>
    <t>rok</t>
  </si>
  <si>
    <t>opłata stała:</t>
  </si>
  <si>
    <t>opłata stała ze zniżką:</t>
  </si>
  <si>
    <t>Opłaty za przedszkole</t>
  </si>
  <si>
    <t>stawka żywieniowa</t>
  </si>
  <si>
    <t>Płeć</t>
  </si>
  <si>
    <t>Czy zniżka na opłatę stałą ?</t>
  </si>
  <si>
    <t>Liczba dni w przedszkolu</t>
  </si>
  <si>
    <t>opłata stała</t>
  </si>
  <si>
    <t>opłata za obiady</t>
  </si>
  <si>
    <t>opłata całkowita (stała + za obiady)</t>
  </si>
  <si>
    <t>Abacki</t>
  </si>
  <si>
    <t>Adam</t>
  </si>
  <si>
    <t>m</t>
  </si>
  <si>
    <t>nb</t>
  </si>
  <si>
    <t>Bednarz</t>
  </si>
  <si>
    <t>Barbara</t>
  </si>
  <si>
    <t>k</t>
  </si>
  <si>
    <t>Cebula</t>
  </si>
  <si>
    <t>T</t>
  </si>
  <si>
    <t>Krakowiak</t>
  </si>
  <si>
    <t>Julia</t>
  </si>
  <si>
    <t>Leśniak</t>
  </si>
  <si>
    <t>Majewski</t>
  </si>
  <si>
    <t>Wacław</t>
  </si>
  <si>
    <t>Zmora</t>
  </si>
  <si>
    <t>Kazimierz</t>
  </si>
  <si>
    <t>Abramowicz</t>
  </si>
  <si>
    <t>Babicz</t>
  </si>
  <si>
    <t>Czosnek</t>
  </si>
  <si>
    <t>Zdzisław</t>
  </si>
  <si>
    <t>Leśniewski</t>
  </si>
  <si>
    <t>Majek</t>
  </si>
  <si>
    <t>Zabrzański</t>
  </si>
  <si>
    <t>Jędrzej</t>
  </si>
  <si>
    <t>średnia opłata:</t>
  </si>
  <si>
    <t>opłata najwyższa:</t>
  </si>
  <si>
    <t>opłata najniższa:</t>
  </si>
  <si>
    <t>KANDYDAT</t>
  </si>
  <si>
    <t>PUNKTY</t>
  </si>
  <si>
    <t>OCENA</t>
  </si>
  <si>
    <t>Kandydat 1</t>
  </si>
  <si>
    <t>Kandydat 2</t>
  </si>
  <si>
    <t>KRYTERIA OCEN</t>
  </si>
  <si>
    <t>Kandydat 3</t>
  </si>
  <si>
    <t>Kandydat 4</t>
  </si>
  <si>
    <t>poniżej 35</t>
  </si>
  <si>
    <t>niedostateczny</t>
  </si>
  <si>
    <t>Kandydat 5</t>
  </si>
  <si>
    <t>od 35 i poniżej 45</t>
  </si>
  <si>
    <t>dostateczny</t>
  </si>
  <si>
    <t>Kandydat 6</t>
  </si>
  <si>
    <t>od 45 i poniżej 55</t>
  </si>
  <si>
    <t>dobry</t>
  </si>
  <si>
    <t>Kandydat 7</t>
  </si>
  <si>
    <t>od 55 do 60</t>
  </si>
  <si>
    <t>bardzo dobry</t>
  </si>
  <si>
    <t>Kandydat 8</t>
  </si>
  <si>
    <t>Kandydat 9</t>
  </si>
  <si>
    <t>Kandydat 10</t>
  </si>
  <si>
    <t>Kandydat 11</t>
  </si>
  <si>
    <t>Kandydat 12</t>
  </si>
  <si>
    <t>Kandydat 13</t>
  </si>
  <si>
    <t>Kandydat 14</t>
  </si>
  <si>
    <t>Kandydat 15</t>
  </si>
  <si>
    <t>Kandydat 16</t>
  </si>
  <si>
    <t>Kandydat 17</t>
  </si>
  <si>
    <t>Kandydat 18</t>
  </si>
  <si>
    <t>Kandydat 19</t>
  </si>
  <si>
    <t>Kandydat 20</t>
  </si>
  <si>
    <t>1. Wykorzystując funkcje JEŻELI i określić</t>
  </si>
  <si>
    <t>oceny poszczególnych kandydatów, zgodnie z kryteriami z tabeli ocen.</t>
  </si>
  <si>
    <t>PODSTAWOWE DANE STATYSTYCZNE SZKOŁY</t>
  </si>
  <si>
    <t>KLASA</t>
  </si>
  <si>
    <t>ILOŚĆ UCZNIÓW</t>
  </si>
  <si>
    <t>ŚREDNIA KLASY</t>
  </si>
  <si>
    <t>I B</t>
  </si>
  <si>
    <t>I A</t>
  </si>
  <si>
    <t>I D</t>
  </si>
  <si>
    <t>II H</t>
  </si>
  <si>
    <t>III B</t>
  </si>
  <si>
    <t>III E</t>
  </si>
  <si>
    <t>I F</t>
  </si>
  <si>
    <t>III G</t>
  </si>
  <si>
    <t>I C</t>
  </si>
  <si>
    <t>I E</t>
  </si>
  <si>
    <t>I H</t>
  </si>
  <si>
    <t>III F</t>
  </si>
  <si>
    <t>I G</t>
  </si>
  <si>
    <t>II C</t>
  </si>
  <si>
    <t>III A</t>
  </si>
  <si>
    <t>III H</t>
  </si>
  <si>
    <t>II A</t>
  </si>
  <si>
    <t>III C</t>
  </si>
  <si>
    <t>II G</t>
  </si>
  <si>
    <t>II B</t>
  </si>
  <si>
    <t>II E</t>
  </si>
  <si>
    <t>III D</t>
  </si>
  <si>
    <t>II D</t>
  </si>
  <si>
    <t>II F</t>
  </si>
  <si>
    <t>RAZEM</t>
  </si>
  <si>
    <t>ŚREDNIE ILOŚCI UCZNIÓW</t>
  </si>
  <si>
    <t>Ilość uczniów w najmniejszej klasie</t>
  </si>
  <si>
    <t>klasy I (A - H)</t>
  </si>
  <si>
    <t>Ilość uczniów w największej klasie</t>
  </si>
  <si>
    <t>klasy II (A - H)</t>
  </si>
  <si>
    <t>Najniższa średnia ocen</t>
  </si>
  <si>
    <t>klasy III (A - H)</t>
  </si>
  <si>
    <t>Najwyższa średnia ocen</t>
  </si>
  <si>
    <t>Ilość uczniów w szkole</t>
  </si>
  <si>
    <t>Średnia ilość uczniów w klasie</t>
  </si>
  <si>
    <t>ŚREDNIA NAUCZANIA W SZKOLE</t>
  </si>
  <si>
    <t>GRATISOWY 1 PUNKT</t>
  </si>
  <si>
    <t xml:space="preserve">Faktura VAT NR </t>
  </si>
  <si>
    <t>Zabrze</t>
  </si>
  <si>
    <t xml:space="preserve">SPÓŁKA Z OGRANICZONĄ ODPOWIEDZIALNOSCIĄ
40-200 Katowice ul. Piłsudskiego 90
</t>
  </si>
  <si>
    <t>Nabywca</t>
  </si>
  <si>
    <t>OLK PORADNIE SPECJALISTYCZNE W SOSNOWCU
43-200 Zabrze ul. Piłsudskiego 9
NIP 644-35-05-311</t>
  </si>
  <si>
    <t>Sposób zapłaty</t>
  </si>
  <si>
    <t>przelew</t>
  </si>
  <si>
    <t>Termin zapłaty</t>
  </si>
  <si>
    <t>30 dni</t>
  </si>
  <si>
    <t>Nazwa towaru lub usługi</t>
  </si>
  <si>
    <t>Symbol
SWW/KU</t>
  </si>
  <si>
    <t>J.m.</t>
  </si>
  <si>
    <t>Ilość towaru/
zakres usługi</t>
  </si>
  <si>
    <t>Cena jednostkowa netto</t>
  </si>
  <si>
    <t>Wartość sprzedaży netto</t>
  </si>
  <si>
    <t>Stawka VAT</t>
  </si>
  <si>
    <t>Kwota VAT</t>
  </si>
  <si>
    <t>Wartość towaru/
usługi brutto</t>
  </si>
  <si>
    <t>Papier RUM</t>
  </si>
  <si>
    <t>szt</t>
  </si>
  <si>
    <t>Usługa serwisowa (XII)</t>
  </si>
  <si>
    <t>godz</t>
  </si>
  <si>
    <t>Usługa edukacyjana</t>
  </si>
  <si>
    <t>godz.</t>
  </si>
  <si>
    <t>zw</t>
  </si>
  <si>
    <t>Jabłka</t>
  </si>
  <si>
    <t>kg</t>
  </si>
  <si>
    <t>Do zapłaty</t>
  </si>
  <si>
    <t>Kwota należności ogółem</t>
  </si>
  <si>
    <t>W tym:</t>
  </si>
  <si>
    <t xml:space="preserve">   </t>
  </si>
  <si>
    <t xml:space="preserve">  </t>
  </si>
  <si>
    <t xml:space="preserve"> czytelny podpis osoby
upoważnionej do otrzymania faktury</t>
  </si>
  <si>
    <t>czytelny podpis osoby 
upoważnionej do wystawienia faktury</t>
  </si>
  <si>
    <t>Podatek dochodowy:</t>
  </si>
  <si>
    <t>Lista Płac</t>
  </si>
  <si>
    <t>Składka na FOZ:</t>
  </si>
  <si>
    <t>Składka na FS:</t>
  </si>
  <si>
    <t>Premia:</t>
  </si>
  <si>
    <t>Wynagrodzenie</t>
  </si>
  <si>
    <t>Składka na FOZ</t>
  </si>
  <si>
    <t>Składka na FS</t>
  </si>
  <si>
    <t>Do wypłaty</t>
  </si>
  <si>
    <t>Helena</t>
  </si>
  <si>
    <t>Juchniewicz</t>
  </si>
  <si>
    <t xml:space="preserve">Salomea </t>
  </si>
  <si>
    <t>Brynicka</t>
  </si>
  <si>
    <t>Oleńka</t>
  </si>
  <si>
    <t>Billewicz</t>
  </si>
  <si>
    <t>Jagna</t>
  </si>
  <si>
    <t>Boryna</t>
  </si>
  <si>
    <t>Zosia</t>
  </si>
  <si>
    <t>Horeszko</t>
  </si>
  <si>
    <t>Borzobohata</t>
  </si>
  <si>
    <t>Krzysia</t>
  </si>
  <si>
    <t>Drohojowska</t>
  </si>
  <si>
    <t>Baśka</t>
  </si>
  <si>
    <t>Jeziorkowska</t>
  </si>
  <si>
    <t>Lista płac.</t>
  </si>
  <si>
    <t>Nagroda</t>
  </si>
  <si>
    <t>Składka ubezp.</t>
  </si>
  <si>
    <t>PKZP</t>
  </si>
  <si>
    <t>Skł. na zw. Zawod.</t>
  </si>
  <si>
    <t xml:space="preserve">  +</t>
  </si>
  <si>
    <t>L.p.</t>
  </si>
  <si>
    <t>Płaca zasadn.</t>
  </si>
  <si>
    <t>Ubezp.</t>
  </si>
  <si>
    <t>Zw. Zawod.</t>
  </si>
  <si>
    <t>Mieszko</t>
  </si>
  <si>
    <t>Pierwszy</t>
  </si>
  <si>
    <t>Bolesław</t>
  </si>
  <si>
    <t>Chrobry</t>
  </si>
  <si>
    <t>Drugi</t>
  </si>
  <si>
    <t>Odnowiciel</t>
  </si>
  <si>
    <t>Śmiały</t>
  </si>
  <si>
    <t>Władysław</t>
  </si>
  <si>
    <t>Herman</t>
  </si>
  <si>
    <t>Krzywousty</t>
  </si>
  <si>
    <t>Wygnaniec</t>
  </si>
  <si>
    <t>Stary</t>
  </si>
  <si>
    <t>Sprawiedliwy</t>
  </si>
  <si>
    <t>Leszek</t>
  </si>
  <si>
    <t>Biały</t>
  </si>
  <si>
    <t>Henryk</t>
  </si>
  <si>
    <t>Brodaty</t>
  </si>
  <si>
    <t>Pobożny</t>
  </si>
  <si>
    <t>Przemysław</t>
  </si>
  <si>
    <t>Łokietek</t>
  </si>
  <si>
    <t>Wielki</t>
  </si>
  <si>
    <t>Jeden słupek (uzupełnij)</t>
  </si>
  <si>
    <t>Cała tabliczka mnożenia:</t>
  </si>
  <si>
    <t>*</t>
  </si>
  <si>
    <t xml:space="preserve"> =</t>
  </si>
  <si>
    <t>Utwórz drugi słupek tabliczki mnożenia (skopiuj)</t>
  </si>
  <si>
    <t>Tydzień</t>
  </si>
  <si>
    <t>Liczba kilometrów</t>
  </si>
  <si>
    <t>Nazwa firmy</t>
  </si>
  <si>
    <t>Trans</t>
  </si>
  <si>
    <t>Ustrans</t>
  </si>
  <si>
    <t>J&amp;M</t>
  </si>
  <si>
    <t>Transfirma</t>
  </si>
  <si>
    <t>BraciaP</t>
  </si>
  <si>
    <t xml:space="preserve">Koszt 1 km w euro </t>
  </si>
  <si>
    <t xml:space="preserve">Koszt transportu w złotówkach </t>
  </si>
  <si>
    <t>Lista płac</t>
  </si>
  <si>
    <t>Płaca zasadn(+).</t>
  </si>
  <si>
    <t>Podatek(-)</t>
  </si>
  <si>
    <t>Premia(+)</t>
  </si>
  <si>
    <t>PKZP(-)</t>
  </si>
  <si>
    <t>Udział %</t>
  </si>
  <si>
    <t xml:space="preserve">Kazimierz </t>
  </si>
  <si>
    <t>Wygnabiec</t>
  </si>
  <si>
    <t>Kędzierzawy</t>
  </si>
  <si>
    <t>Wysoki</t>
  </si>
  <si>
    <t>Wstydliwy</t>
  </si>
  <si>
    <t>Probus</t>
  </si>
  <si>
    <t>Trzeci</t>
  </si>
  <si>
    <t>Ludwik</t>
  </si>
  <si>
    <t>Węgierski</t>
  </si>
  <si>
    <t>Kalkulacja zakupu PC</t>
  </si>
  <si>
    <t>Obniżka cen wszystkich elementów:</t>
  </si>
  <si>
    <t>Nazwa elementu</t>
  </si>
  <si>
    <t>Ilość zakupionych sztuk</t>
  </si>
  <si>
    <t>Cena bez obniżki</t>
  </si>
  <si>
    <t>Cena elementu po obniżce</t>
  </si>
  <si>
    <t>Wartość zakupu</t>
  </si>
  <si>
    <t>Udział pozycji w wydatku</t>
  </si>
  <si>
    <t>pamięć RAM</t>
  </si>
  <si>
    <t>procesor</t>
  </si>
  <si>
    <t>płyta główna</t>
  </si>
  <si>
    <t>dysk twardy</t>
  </si>
  <si>
    <t>CD ROM</t>
  </si>
  <si>
    <t>DVD</t>
  </si>
  <si>
    <t>obudowa</t>
  </si>
  <si>
    <t>złączka</t>
  </si>
  <si>
    <t>wkręt</t>
  </si>
  <si>
    <t>podkładki</t>
  </si>
  <si>
    <t>monitor</t>
  </si>
  <si>
    <t>drukarka</t>
  </si>
  <si>
    <t>Suma do zapłacenia:</t>
  </si>
  <si>
    <t>ZAKUP KSIĄŻEK DLA CAŁEJ KLASY</t>
  </si>
  <si>
    <t>LP</t>
  </si>
  <si>
    <t>TYTUŁ</t>
  </si>
  <si>
    <t>Kolumna1</t>
  </si>
  <si>
    <t>CENA KSIĄŻKI</t>
  </si>
  <si>
    <t>WARTOŚĆ DLA CAŁEJ KLASY</t>
  </si>
  <si>
    <t>J. POLSKI</t>
  </si>
  <si>
    <t>J. ANGIELSKI</t>
  </si>
  <si>
    <t>MATEMATYKA</t>
  </si>
  <si>
    <t>FIZYKA</t>
  </si>
  <si>
    <t>CHEMIA</t>
  </si>
  <si>
    <t>HISTORIA</t>
  </si>
  <si>
    <t>SPRZEDAWCA</t>
  </si>
  <si>
    <t>NABYWCA</t>
  </si>
  <si>
    <t>SKLEPIK SZKOLNY ZUCH MATEO 40-000 KATOWICE</t>
  </si>
  <si>
    <t>UCZEŃ PACIEJ 40-000 KATOWICE</t>
  </si>
  <si>
    <t>Upust</t>
  </si>
  <si>
    <t>%VAT</t>
  </si>
  <si>
    <t>FAKTURA VAT NR 1/2000</t>
  </si>
  <si>
    <t>Lp.</t>
  </si>
  <si>
    <t>Nazwa towaru</t>
  </si>
  <si>
    <t>cena netto</t>
  </si>
  <si>
    <t>ilość sztuk</t>
  </si>
  <si>
    <t>Wartość netto</t>
  </si>
  <si>
    <t>Wartość z upustem</t>
  </si>
  <si>
    <t>kwota VAT</t>
  </si>
  <si>
    <t>Wartość brutto</t>
  </si>
  <si>
    <t>zeszyt B5</t>
  </si>
  <si>
    <t>zeszyt A4</t>
  </si>
  <si>
    <t>długopis</t>
  </si>
  <si>
    <t>pióro</t>
  </si>
  <si>
    <t>linijka</t>
  </si>
  <si>
    <t>ekierka</t>
  </si>
  <si>
    <t>gumka</t>
  </si>
  <si>
    <t>kredki</t>
  </si>
  <si>
    <t>farby</t>
  </si>
  <si>
    <t>LUTY</t>
  </si>
  <si>
    <t>LP.</t>
  </si>
  <si>
    <t>DATA</t>
  </si>
  <si>
    <r>
      <t xml:space="preserve">TEMP.  </t>
    </r>
    <r>
      <rPr>
        <vertAlign val="superscript"/>
        <sz val="10"/>
        <color indexed="10"/>
        <rFont val="Arial CE"/>
        <charset val="238"/>
      </rPr>
      <t>0</t>
    </r>
    <r>
      <rPr>
        <sz val="10"/>
        <color indexed="10"/>
        <rFont val="Arial CE"/>
        <charset val="238"/>
      </rPr>
      <t>C</t>
    </r>
  </si>
  <si>
    <t>ŚREDNIA TEMP.</t>
  </si>
  <si>
    <t>MAKS. TEMP.</t>
  </si>
  <si>
    <t>MIN. TEMP.</t>
  </si>
  <si>
    <t>111/2023</t>
  </si>
  <si>
    <t>112/2023</t>
  </si>
  <si>
    <t>113/2023</t>
  </si>
  <si>
    <t>114/2023</t>
  </si>
  <si>
    <t>115/2023</t>
  </si>
  <si>
    <t>116/2023</t>
  </si>
  <si>
    <t>117/2022</t>
  </si>
  <si>
    <t>118/2022</t>
  </si>
  <si>
    <t>119/2022</t>
  </si>
  <si>
    <t>120/2022</t>
  </si>
  <si>
    <t>-</t>
  </si>
  <si>
    <t>kabel /m</t>
  </si>
  <si>
    <t>ŚREDNIA CENA</t>
  </si>
  <si>
    <t>1 LUTEGO 2024</t>
  </si>
  <si>
    <t>2 LUTEGO 2024</t>
  </si>
  <si>
    <t>3 LUTEGO 2024</t>
  </si>
  <si>
    <t>4 LUTEGO 2024</t>
  </si>
  <si>
    <t>5 LUTEGO 2024</t>
  </si>
  <si>
    <t>6 LUTEGO 2024</t>
  </si>
  <si>
    <t>7 LUTEGO 2024</t>
  </si>
  <si>
    <t>8 LUTEGO 2024</t>
  </si>
  <si>
    <t>9 LUTEGO 2024</t>
  </si>
  <si>
    <t>10 LUTEGO 2024</t>
  </si>
  <si>
    <t>11 LUTEGO 2024</t>
  </si>
  <si>
    <t>12 LUTEGO 2024</t>
  </si>
  <si>
    <t>13 LUTEGO 2024</t>
  </si>
  <si>
    <t>14 LUTEGO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</si>
</sst>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#,##0\ &quot;zł&quot;;\-#,##0\ &quot;zł&quot;"/>
    <numFmt numFmtId="6" formatCode="#,##0\ &quot;zł&quot;;[Red]\-#,##0\ &quot;zł&quot;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\ &quot;zł&quot;_-;\-* #,##0\ &quot;zł&quot;_-;_-* &quot;-&quot;??\ &quot;zł&quot;_-;_-@_-"/>
    <numFmt numFmtId="165" formatCode="#,##0.00\ &quot;zł&quot;"/>
    <numFmt numFmtId="166" formatCode="_-* #,##0.00\ _z_ł_-;\-* #,##0.00\ _z_ł_-;_-* &quot;-&quot;??\ _z_ł_-;_-@_-"/>
    <numFmt numFmtId="167" formatCode="#,##0.00\ "/>
    <numFmt numFmtId="168" formatCode="_-[$€-2]\ * #,##0.00_-;\-[$€-2]\ * #,##0.00_-;_-[$€-2]\ * &quot;-&quot;??_-;_-@_-"/>
    <numFmt numFmtId="169" formatCode="#,##0\ "/>
    <numFmt numFmtId="170" formatCode="d\ mmmm\ yyyy"/>
    <numFmt numFmtId="174" formatCode="_-[$$-C09]* #,##0.00_-;\-[$$-C09]* #,##0.00_-;_-[$$-C09]* &quot;-&quot;??_-;_-@_-"/>
    <numFmt numFmtId="175" formatCode="_-[$£-809]* #,##0.00_-;\-[$£-809]* #,##0.00_-;_-[$£-809]* &quot;-&quot;??_-;_-@_-"/>
    <numFmt numFmtId="178" formatCode="0.0"/>
  </numFmts>
  <fonts count="5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sz val="14"/>
      <name val="Arial CE"/>
      <family val="2"/>
      <charset val="238"/>
    </font>
    <font>
      <b/>
      <sz val="12"/>
      <name val="Arial CE"/>
      <family val="2"/>
      <charset val="238"/>
    </font>
    <font>
      <sz val="10"/>
      <name val="Arial CE"/>
      <charset val="238"/>
    </font>
    <font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b/>
      <sz val="11"/>
      <color indexed="62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Arial"/>
      <family val="2"/>
      <charset val="238"/>
    </font>
    <font>
      <b/>
      <sz val="11"/>
      <color indexed="8"/>
      <name val="Arial"/>
      <family val="2"/>
      <charset val="238"/>
    </font>
    <font>
      <sz val="11"/>
      <name val="Arial CE"/>
      <charset val="238"/>
    </font>
    <font>
      <b/>
      <sz val="11"/>
      <name val="Arial CE"/>
      <charset val="238"/>
    </font>
    <font>
      <sz val="14"/>
      <name val="Arial CE"/>
      <charset val="238"/>
    </font>
    <font>
      <sz val="9"/>
      <color theme="1"/>
      <name val="Arial CE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sz val="2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b/>
      <sz val="7"/>
      <name val="Arial"/>
      <family val="2"/>
      <charset val="238"/>
    </font>
    <font>
      <sz val="12"/>
      <name val="Arial CE"/>
      <charset val="238"/>
    </font>
    <font>
      <sz val="26"/>
      <name val="Times New Roman CE"/>
      <family val="1"/>
      <charset val="238"/>
    </font>
    <font>
      <sz val="12"/>
      <name val="Times New Roman CE"/>
      <family val="1"/>
      <charset val="238"/>
    </font>
    <font>
      <b/>
      <sz val="15"/>
      <name val="Times New Roman CE"/>
      <family val="1"/>
      <charset val="238"/>
    </font>
    <font>
      <b/>
      <sz val="12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3.5"/>
      <name val="Times New Roman CE"/>
      <family val="1"/>
      <charset val="238"/>
    </font>
    <font>
      <sz val="16"/>
      <name val="Times New Roman CE"/>
      <family val="1"/>
      <charset val="238"/>
    </font>
    <font>
      <b/>
      <sz val="16"/>
      <name val="Times New Roman CE"/>
      <family val="1"/>
      <charset val="238"/>
    </font>
    <font>
      <sz val="12"/>
      <color theme="0"/>
      <name val="Times New Roman CE"/>
      <family val="1"/>
      <charset val="238"/>
    </font>
    <font>
      <b/>
      <sz val="11"/>
      <color theme="0"/>
      <name val="Calibri Light"/>
      <family val="1"/>
      <charset val="238"/>
      <scheme val="major"/>
    </font>
    <font>
      <sz val="11"/>
      <color theme="0"/>
      <name val="Calibri Light"/>
      <family val="1"/>
      <charset val="238"/>
      <scheme val="major"/>
    </font>
    <font>
      <b/>
      <sz val="11"/>
      <name val="Calibri Light"/>
      <family val="1"/>
      <charset val="238"/>
      <scheme val="major"/>
    </font>
    <font>
      <sz val="11"/>
      <name val="Calibri Light"/>
      <family val="1"/>
      <charset val="238"/>
      <scheme val="major"/>
    </font>
    <font>
      <sz val="9"/>
      <name val="Arial CE"/>
      <family val="2"/>
      <charset val="238"/>
    </font>
    <font>
      <sz val="16"/>
      <name val="Arial CE"/>
      <family val="2"/>
      <charset val="238"/>
    </font>
    <font>
      <sz val="10"/>
      <color indexed="10"/>
      <name val="Arial CE"/>
      <charset val="238"/>
    </font>
    <font>
      <vertAlign val="superscript"/>
      <sz val="10"/>
      <color indexed="10"/>
      <name val="Arial CE"/>
      <charset val="238"/>
    </font>
    <font>
      <b/>
      <sz val="10"/>
      <color theme="0"/>
      <name val="Arial CE"/>
      <charset val="238"/>
    </font>
    <font>
      <sz val="10"/>
      <color indexed="48"/>
      <name val="Arial CE"/>
      <charset val="238"/>
    </font>
    <font>
      <b/>
      <sz val="10"/>
      <name val="Arial CE"/>
      <charset val="238"/>
    </font>
    <font>
      <sz val="10"/>
      <color indexed="40"/>
      <name val="Arial CE"/>
      <charset val="238"/>
    </font>
    <font>
      <sz val="8"/>
      <name val="Arial"/>
      <family val="2"/>
      <charset val="238"/>
    </font>
    <font>
      <sz val="11"/>
      <color theme="0"/>
      <name val="Calibri Light"/>
      <family val="2"/>
      <charset val="238"/>
      <scheme val="major"/>
    </font>
    <font>
      <sz val="8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12"/>
      </bottom>
      <diagonal/>
    </border>
    <border>
      <left/>
      <right/>
      <top style="medium">
        <color indexed="64"/>
      </top>
      <bottom style="medium">
        <color indexed="12"/>
      </bottom>
      <diagonal/>
    </border>
    <border>
      <left/>
      <right style="thick">
        <color indexed="64"/>
      </right>
      <top style="medium">
        <color indexed="64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2"/>
      </bottom>
      <diagonal/>
    </border>
    <border>
      <left/>
      <right style="medium">
        <color indexed="64"/>
      </right>
      <top style="medium">
        <color indexed="64"/>
      </top>
      <bottom style="medium">
        <color indexed="12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5" xfId="0" applyBorder="1"/>
    <xf numFmtId="0" fontId="9" fillId="0" borderId="0" xfId="2" applyFont="1"/>
    <xf numFmtId="0" fontId="10" fillId="0" borderId="0" xfId="3"/>
    <xf numFmtId="0" fontId="11" fillId="0" borderId="0" xfId="3" applyFont="1"/>
    <xf numFmtId="0" fontId="11" fillId="0" borderId="5" xfId="3" applyFont="1" applyBorder="1"/>
    <xf numFmtId="0" fontId="5" fillId="0" borderId="0" xfId="6"/>
    <xf numFmtId="0" fontId="13" fillId="0" borderId="0" xfId="6" applyFont="1"/>
    <xf numFmtId="0" fontId="13" fillId="3" borderId="5" xfId="6" applyFont="1" applyFill="1" applyBorder="1" applyAlignment="1">
      <alignment horizontal="center" vertical="center" wrapText="1"/>
    </xf>
    <xf numFmtId="0" fontId="13" fillId="8" borderId="5" xfId="6" applyFont="1" applyFill="1" applyBorder="1"/>
    <xf numFmtId="49" fontId="13" fillId="8" borderId="5" xfId="6" quotePrefix="1" applyNumberFormat="1" applyFont="1" applyFill="1" applyBorder="1"/>
    <xf numFmtId="14" fontId="13" fillId="8" borderId="5" xfId="6" applyNumberFormat="1" applyFont="1" applyFill="1" applyBorder="1"/>
    <xf numFmtId="1" fontId="13" fillId="8" borderId="5" xfId="6" applyNumberFormat="1" applyFont="1" applyFill="1" applyBorder="1"/>
    <xf numFmtId="4" fontId="13" fillId="8" borderId="5" xfId="6" applyNumberFormat="1" applyFont="1" applyFill="1" applyBorder="1"/>
    <xf numFmtId="49" fontId="13" fillId="8" borderId="5" xfId="6" applyNumberFormat="1" applyFont="1" applyFill="1" applyBorder="1"/>
    <xf numFmtId="0" fontId="14" fillId="0" borderId="0" xfId="6" applyFont="1"/>
    <xf numFmtId="0" fontId="14" fillId="8" borderId="12" xfId="6" applyFont="1" applyFill="1" applyBorder="1"/>
    <xf numFmtId="4" fontId="14" fillId="8" borderId="5" xfId="6" applyNumberFormat="1" applyFont="1" applyFill="1" applyBorder="1"/>
    <xf numFmtId="0" fontId="2" fillId="0" borderId="0" xfId="7" applyFont="1"/>
    <xf numFmtId="0" fontId="6" fillId="0" borderId="0" xfId="7" applyFont="1"/>
    <xf numFmtId="0" fontId="8" fillId="0" borderId="0" xfId="7"/>
    <xf numFmtId="0" fontId="8" fillId="9" borderId="5" xfId="7" applyFill="1" applyBorder="1" applyAlignment="1">
      <alignment horizontal="center"/>
    </xf>
    <xf numFmtId="0" fontId="2" fillId="0" borderId="0" xfId="7" applyFont="1" applyAlignment="1">
      <alignment horizontal="center"/>
    </xf>
    <xf numFmtId="0" fontId="6" fillId="0" borderId="0" xfId="7" applyFont="1" applyAlignment="1">
      <alignment horizontal="center"/>
    </xf>
    <xf numFmtId="0" fontId="8" fillId="0" borderId="0" xfId="7" applyAlignment="1">
      <alignment horizontal="center"/>
    </xf>
    <xf numFmtId="14" fontId="8" fillId="0" borderId="0" xfId="7" applyNumberFormat="1"/>
    <xf numFmtId="0" fontId="15" fillId="0" borderId="0" xfId="9" applyFont="1" applyAlignment="1">
      <alignment horizontal="center"/>
    </xf>
    <xf numFmtId="0" fontId="8" fillId="0" borderId="0" xfId="9"/>
    <xf numFmtId="0" fontId="8" fillId="0" borderId="0" xfId="9" applyAlignment="1">
      <alignment horizontal="center"/>
    </xf>
    <xf numFmtId="0" fontId="10" fillId="0" borderId="0" xfId="3" applyAlignment="1">
      <alignment wrapText="1"/>
    </xf>
    <xf numFmtId="0" fontId="10" fillId="0" borderId="0" xfId="3" applyAlignment="1">
      <alignment horizontal="center"/>
    </xf>
    <xf numFmtId="0" fontId="11" fillId="0" borderId="0" xfId="3" applyFont="1" applyAlignment="1">
      <alignment wrapText="1"/>
    </xf>
    <xf numFmtId="0" fontId="11" fillId="0" borderId="0" xfId="3" applyFont="1" applyAlignment="1">
      <alignment horizontal="center"/>
    </xf>
    <xf numFmtId="0" fontId="11" fillId="0" borderId="5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/>
    </xf>
    <xf numFmtId="0" fontId="12" fillId="12" borderId="24" xfId="3" applyFont="1" applyFill="1" applyBorder="1" applyAlignment="1">
      <alignment horizontal="center"/>
    </xf>
    <xf numFmtId="0" fontId="12" fillId="0" borderId="12" xfId="3" applyFont="1" applyBorder="1" applyAlignment="1">
      <alignment horizontal="center" vertical="center"/>
    </xf>
    <xf numFmtId="0" fontId="21" fillId="12" borderId="5" xfId="3" applyFont="1" applyFill="1" applyBorder="1" applyAlignment="1">
      <alignment horizontal="center"/>
    </xf>
    <xf numFmtId="165" fontId="11" fillId="0" borderId="5" xfId="3" applyNumberFormat="1" applyFont="1" applyBorder="1"/>
    <xf numFmtId="3" fontId="11" fillId="0" borderId="10" xfId="3" applyNumberFormat="1" applyFont="1" applyBorder="1" applyAlignment="1">
      <alignment horizontal="center"/>
    </xf>
    <xf numFmtId="165" fontId="11" fillId="12" borderId="25" xfId="3" applyNumberFormat="1" applyFont="1" applyFill="1" applyBorder="1"/>
    <xf numFmtId="165" fontId="11" fillId="0" borderId="12" xfId="3" applyNumberFormat="1" applyFont="1" applyBorder="1"/>
    <xf numFmtId="3" fontId="11" fillId="0" borderId="5" xfId="3" applyNumberFormat="1" applyFont="1" applyBorder="1" applyAlignment="1">
      <alignment horizontal="center"/>
    </xf>
    <xf numFmtId="165" fontId="22" fillId="12" borderId="5" xfId="3" applyNumberFormat="1" applyFont="1" applyFill="1" applyBorder="1"/>
    <xf numFmtId="0" fontId="11" fillId="0" borderId="13" xfId="3" applyFont="1" applyBorder="1"/>
    <xf numFmtId="165" fontId="11" fillId="0" borderId="13" xfId="3" applyNumberFormat="1" applyFont="1" applyBorder="1"/>
    <xf numFmtId="3" fontId="11" fillId="0" borderId="26" xfId="3" applyNumberFormat="1" applyFont="1" applyBorder="1" applyAlignment="1">
      <alignment horizontal="center"/>
    </xf>
    <xf numFmtId="165" fontId="11" fillId="0" borderId="23" xfId="3" applyNumberFormat="1" applyFont="1" applyBorder="1"/>
    <xf numFmtId="3" fontId="11" fillId="0" borderId="13" xfId="3" applyNumberFormat="1" applyFont="1" applyBorder="1" applyAlignment="1">
      <alignment horizontal="center"/>
    </xf>
    <xf numFmtId="0" fontId="12" fillId="0" borderId="14" xfId="3" applyFont="1" applyBorder="1"/>
    <xf numFmtId="0" fontId="10" fillId="4" borderId="5" xfId="3" applyFill="1" applyBorder="1"/>
    <xf numFmtId="9" fontId="10" fillId="4" borderId="5" xfId="3" applyNumberFormat="1" applyFill="1" applyBorder="1"/>
    <xf numFmtId="0" fontId="2" fillId="0" borderId="0" xfId="12" applyFont="1"/>
    <xf numFmtId="0" fontId="2" fillId="4" borderId="27" xfId="12" applyFont="1" applyFill="1" applyBorder="1" applyAlignment="1">
      <alignment horizontal="center"/>
    </xf>
    <xf numFmtId="44" fontId="2" fillId="0" borderId="27" xfId="13" applyFont="1" applyBorder="1" applyAlignment="1">
      <alignment horizontal="center"/>
    </xf>
    <xf numFmtId="0" fontId="2" fillId="0" borderId="0" xfId="12" applyFont="1" applyAlignment="1">
      <alignment horizontal="center"/>
    </xf>
    <xf numFmtId="0" fontId="8" fillId="0" borderId="0" xfId="12" applyAlignment="1">
      <alignment horizontal="center"/>
    </xf>
    <xf numFmtId="0" fontId="2" fillId="4" borderId="28" xfId="12" applyFont="1" applyFill="1" applyBorder="1" applyAlignment="1">
      <alignment horizontal="center"/>
    </xf>
    <xf numFmtId="44" fontId="2" fillId="0" borderId="28" xfId="13" applyFont="1" applyBorder="1" applyAlignment="1">
      <alignment horizontal="center"/>
    </xf>
    <xf numFmtId="0" fontId="2" fillId="4" borderId="5" xfId="12" applyFont="1" applyFill="1" applyBorder="1"/>
    <xf numFmtId="0" fontId="2" fillId="4" borderId="5" xfId="12" applyFont="1" applyFill="1" applyBorder="1" applyAlignment="1">
      <alignment horizontal="center"/>
    </xf>
    <xf numFmtId="0" fontId="2" fillId="0" borderId="5" xfId="12" applyFont="1" applyBorder="1"/>
    <xf numFmtId="0" fontId="2" fillId="0" borderId="5" xfId="12" applyFont="1" applyBorder="1" applyAlignment="1">
      <alignment horizontal="center"/>
    </xf>
    <xf numFmtId="164" fontId="2" fillId="0" borderId="5" xfId="13" applyNumberFormat="1" applyFont="1" applyBorder="1" applyAlignment="1">
      <alignment horizontal="center"/>
    </xf>
    <xf numFmtId="0" fontId="8" fillId="0" borderId="0" xfId="12"/>
    <xf numFmtId="0" fontId="13" fillId="0" borderId="0" xfId="6" applyFont="1" applyAlignment="1">
      <alignment horizontal="center" wrapText="1"/>
    </xf>
    <xf numFmtId="0" fontId="13" fillId="5" borderId="5" xfId="6" applyFont="1" applyFill="1" applyBorder="1" applyAlignment="1">
      <alignment horizontal="center" wrapText="1"/>
    </xf>
    <xf numFmtId="0" fontId="13" fillId="13" borderId="5" xfId="6" applyFont="1" applyFill="1" applyBorder="1" applyAlignment="1">
      <alignment horizontal="left"/>
    </xf>
    <xf numFmtId="0" fontId="13" fillId="13" borderId="5" xfId="6" applyFont="1" applyFill="1" applyBorder="1"/>
    <xf numFmtId="44" fontId="13" fillId="13" borderId="5" xfId="5" applyFont="1" applyFill="1" applyBorder="1"/>
    <xf numFmtId="0" fontId="5" fillId="0" borderId="0" xfId="6" applyProtection="1">
      <protection locked="0"/>
    </xf>
    <xf numFmtId="0" fontId="23" fillId="15" borderId="5" xfId="6" applyFont="1" applyFill="1" applyBorder="1" applyAlignment="1">
      <alignment horizontal="center" vertical="top" wrapText="1"/>
    </xf>
    <xf numFmtId="0" fontId="23" fillId="15" borderId="12" xfId="6" applyFont="1" applyFill="1" applyBorder="1" applyAlignment="1">
      <alignment horizontal="center" vertical="top" wrapText="1"/>
    </xf>
    <xf numFmtId="0" fontId="23" fillId="16" borderId="3" xfId="6" applyFont="1" applyFill="1" applyBorder="1" applyAlignment="1">
      <alignment vertical="top" wrapText="1"/>
    </xf>
    <xf numFmtId="0" fontId="23" fillId="16" borderId="29" xfId="6" applyFont="1" applyFill="1" applyBorder="1" applyAlignment="1">
      <alignment horizontal="right" vertical="top" wrapText="1"/>
    </xf>
    <xf numFmtId="0" fontId="24" fillId="16" borderId="5" xfId="6" applyFont="1" applyFill="1" applyBorder="1" applyAlignment="1">
      <alignment horizontal="right" vertical="top" wrapText="1"/>
    </xf>
    <xf numFmtId="0" fontId="23" fillId="5" borderId="3" xfId="6" applyFont="1" applyFill="1" applyBorder="1" applyAlignment="1">
      <alignment horizontal="center" vertical="top" wrapText="1"/>
    </xf>
    <xf numFmtId="0" fontId="23" fillId="5" borderId="29" xfId="6" applyFont="1" applyFill="1" applyBorder="1" applyAlignment="1">
      <alignment horizontal="center" vertical="top" wrapText="1"/>
    </xf>
    <xf numFmtId="0" fontId="23" fillId="4" borderId="3" xfId="6" applyFont="1" applyFill="1" applyBorder="1" applyAlignment="1">
      <alignment vertical="top" wrapText="1"/>
    </xf>
    <xf numFmtId="0" fontId="23" fillId="4" borderId="29" xfId="6" applyFont="1" applyFill="1" applyBorder="1" applyAlignment="1">
      <alignment vertical="top" wrapText="1"/>
    </xf>
    <xf numFmtId="0" fontId="7" fillId="0" borderId="0" xfId="6" applyFont="1"/>
    <xf numFmtId="0" fontId="0" fillId="2" borderId="0" xfId="0" applyFill="1"/>
    <xf numFmtId="0" fontId="0" fillId="0" borderId="21" xfId="0" applyBorder="1"/>
    <xf numFmtId="0" fontId="0" fillId="0" borderId="30" xfId="0" applyBorder="1" applyAlignment="1">
      <alignment horizontal="left" vertical="center"/>
    </xf>
    <xf numFmtId="0" fontId="25" fillId="7" borderId="14" xfId="0" applyFont="1" applyFill="1" applyBorder="1"/>
    <xf numFmtId="0" fontId="25" fillId="7" borderId="31" xfId="0" applyFont="1" applyFill="1" applyBorder="1"/>
    <xf numFmtId="0" fontId="26" fillId="0" borderId="32" xfId="0" applyFont="1" applyBorder="1" applyAlignment="1" applyProtection="1">
      <alignment horizontal="center"/>
      <protection locked="0"/>
    </xf>
    <xf numFmtId="0" fontId="0" fillId="7" borderId="14" xfId="0" applyFill="1" applyBorder="1" applyAlignment="1">
      <alignment horizontal="center" vertical="center" textRotation="90"/>
    </xf>
    <xf numFmtId="0" fontId="0" fillId="7" borderId="2" xfId="0" applyFill="1" applyBorder="1"/>
    <xf numFmtId="0" fontId="0" fillId="7" borderId="3" xfId="0" applyFill="1" applyBorder="1"/>
    <xf numFmtId="0" fontId="0" fillId="0" borderId="38" xfId="0" applyBorder="1"/>
    <xf numFmtId="0" fontId="0" fillId="7" borderId="7" xfId="0" applyFill="1" applyBorder="1"/>
    <xf numFmtId="0" fontId="0" fillId="7" borderId="8" xfId="0" applyFill="1" applyBorder="1"/>
    <xf numFmtId="0" fontId="0" fillId="7" borderId="39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43" fontId="0" fillId="0" borderId="5" xfId="1" applyFont="1" applyBorder="1" applyProtection="1">
      <protection locked="0"/>
    </xf>
    <xf numFmtId="44" fontId="8" fillId="0" borderId="5" xfId="14" applyBorder="1" applyProtection="1">
      <protection locked="0"/>
    </xf>
    <xf numFmtId="44" fontId="8" fillId="10" borderId="5" xfId="14" applyFill="1" applyBorder="1"/>
    <xf numFmtId="9" fontId="8" fillId="0" borderId="5" xfId="15" applyFont="1" applyBorder="1" applyProtection="1">
      <protection locked="0"/>
    </xf>
    <xf numFmtId="44" fontId="8" fillId="10" borderId="6" xfId="14" applyFill="1" applyBorder="1"/>
    <xf numFmtId="0" fontId="8" fillId="0" borderId="5" xfId="0" applyFont="1" applyBorder="1" applyProtection="1">
      <protection locked="0"/>
    </xf>
    <xf numFmtId="43" fontId="8" fillId="0" borderId="5" xfId="1" applyFont="1" applyBorder="1" applyProtection="1">
      <protection locked="0"/>
    </xf>
    <xf numFmtId="9" fontId="8" fillId="0" borderId="5" xfId="15" applyBorder="1" applyAlignment="1" applyProtection="1">
      <alignment horizontal="center"/>
      <protection locked="0"/>
    </xf>
    <xf numFmtId="9" fontId="8" fillId="0" borderId="5" xfId="15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 applyProtection="1">
      <protection locked="0"/>
    </xf>
    <xf numFmtId="43" fontId="8" fillId="0" borderId="13" xfId="1" applyFont="1" applyBorder="1" applyProtection="1">
      <protection locked="0"/>
    </xf>
    <xf numFmtId="44" fontId="8" fillId="0" borderId="13" xfId="14" applyBorder="1" applyProtection="1">
      <protection locked="0"/>
    </xf>
    <xf numFmtId="9" fontId="8" fillId="0" borderId="13" xfId="15" applyBorder="1" applyProtection="1">
      <protection locked="0"/>
    </xf>
    <xf numFmtId="44" fontId="8" fillId="10" borderId="40" xfId="14" applyFill="1" applyBorder="1"/>
    <xf numFmtId="0" fontId="0" fillId="7" borderId="22" xfId="0" applyFill="1" applyBorder="1" applyAlignment="1">
      <alignment horizontal="left"/>
    </xf>
    <xf numFmtId="44" fontId="17" fillId="10" borderId="15" xfId="14" applyFont="1" applyFill="1" applyBorder="1"/>
    <xf numFmtId="166" fontId="17" fillId="0" borderId="15" xfId="0" applyNumberFormat="1" applyFont="1" applyBorder="1"/>
    <xf numFmtId="44" fontId="17" fillId="10" borderId="16" xfId="14" applyFont="1" applyFill="1" applyBorder="1"/>
    <xf numFmtId="44" fontId="25" fillId="10" borderId="41" xfId="14" applyFont="1" applyFill="1" applyBorder="1" applyAlignment="1">
      <alignment horizontal="left"/>
    </xf>
    <xf numFmtId="0" fontId="0" fillId="0" borderId="17" xfId="0" applyBorder="1" applyAlignment="1">
      <alignment horizontal="right"/>
    </xf>
    <xf numFmtId="44" fontId="8" fillId="10" borderId="39" xfId="14" applyFill="1" applyBorder="1"/>
    <xf numFmtId="0" fontId="0" fillId="0" borderId="39" xfId="0" applyBorder="1"/>
    <xf numFmtId="44" fontId="8" fillId="10" borderId="18" xfId="14" applyFill="1" applyBorder="1"/>
    <xf numFmtId="9" fontId="0" fillId="0" borderId="4" xfId="0" applyNumberFormat="1" applyBorder="1" applyAlignment="1">
      <alignment horizontal="right"/>
    </xf>
    <xf numFmtId="0" fontId="0" fillId="0" borderId="44" xfId="0" applyBorder="1"/>
    <xf numFmtId="0" fontId="0" fillId="0" borderId="8" xfId="0" applyBorder="1"/>
    <xf numFmtId="0" fontId="28" fillId="0" borderId="0" xfId="16"/>
    <xf numFmtId="0" fontId="28" fillId="8" borderId="45" xfId="16" applyFill="1" applyBorder="1"/>
    <xf numFmtId="0" fontId="28" fillId="8" borderId="20" xfId="16" applyFill="1" applyBorder="1" applyAlignment="1">
      <alignment horizontal="right"/>
    </xf>
    <xf numFmtId="9" fontId="0" fillId="8" borderId="18" xfId="17" applyFont="1" applyFill="1" applyBorder="1" applyAlignment="1">
      <alignment horizontal="right"/>
    </xf>
    <xf numFmtId="9" fontId="0" fillId="0" borderId="0" xfId="17" applyFont="1" applyBorder="1" applyAlignment="1">
      <alignment horizontal="left"/>
    </xf>
    <xf numFmtId="0" fontId="28" fillId="8" borderId="46" xfId="16" applyFill="1" applyBorder="1"/>
    <xf numFmtId="0" fontId="28" fillId="8" borderId="11" xfId="16" applyFill="1" applyBorder="1" applyAlignment="1">
      <alignment horizontal="right"/>
    </xf>
    <xf numFmtId="44" fontId="0" fillId="8" borderId="6" xfId="18" applyFont="1" applyFill="1" applyBorder="1" applyAlignment="1">
      <alignment horizontal="right"/>
    </xf>
    <xf numFmtId="9" fontId="0" fillId="8" borderId="6" xfId="17" applyFont="1" applyFill="1" applyBorder="1" applyAlignment="1">
      <alignment horizontal="right"/>
    </xf>
    <xf numFmtId="0" fontId="28" fillId="8" borderId="47" xfId="16" applyFill="1" applyBorder="1"/>
    <xf numFmtId="0" fontId="28" fillId="8" borderId="48" xfId="16" applyFill="1" applyBorder="1" applyAlignment="1">
      <alignment horizontal="right"/>
    </xf>
    <xf numFmtId="9" fontId="0" fillId="8" borderId="9" xfId="17" applyFont="1" applyFill="1" applyBorder="1" applyAlignment="1">
      <alignment horizontal="right"/>
    </xf>
    <xf numFmtId="0" fontId="30" fillId="0" borderId="0" xfId="16" applyFont="1"/>
    <xf numFmtId="0" fontId="28" fillId="0" borderId="5" xfId="16" applyBorder="1"/>
    <xf numFmtId="44" fontId="0" fillId="0" borderId="5" xfId="18" applyFont="1" applyBorder="1" applyAlignment="1">
      <alignment horizontal="right"/>
    </xf>
    <xf numFmtId="0" fontId="31" fillId="0" borderId="0" xfId="16" applyFont="1"/>
    <xf numFmtId="0" fontId="32" fillId="0" borderId="0" xfId="16" applyFont="1"/>
    <xf numFmtId="0" fontId="30" fillId="0" borderId="53" xfId="16" applyFont="1" applyBorder="1"/>
    <xf numFmtId="0" fontId="34" fillId="0" borderId="0" xfId="16" applyFont="1"/>
    <xf numFmtId="0" fontId="35" fillId="0" borderId="26" xfId="16" applyFont="1" applyBorder="1"/>
    <xf numFmtId="0" fontId="30" fillId="0" borderId="57" xfId="16" applyFont="1" applyBorder="1"/>
    <xf numFmtId="0" fontId="35" fillId="0" borderId="0" xfId="16" applyFont="1"/>
    <xf numFmtId="0" fontId="30" fillId="0" borderId="58" xfId="16" applyFont="1" applyBorder="1"/>
    <xf numFmtId="0" fontId="30" fillId="2" borderId="0" xfId="16" applyFont="1" applyFill="1" applyAlignment="1">
      <alignment horizontal="center"/>
    </xf>
    <xf numFmtId="0" fontId="32" fillId="0" borderId="5" xfId="16" applyFont="1" applyBorder="1" applyAlignment="1">
      <alignment horizontal="center"/>
    </xf>
    <xf numFmtId="0" fontId="30" fillId="0" borderId="5" xfId="16" applyFont="1" applyBorder="1" applyAlignment="1">
      <alignment horizontal="center"/>
    </xf>
    <xf numFmtId="0" fontId="30" fillId="13" borderId="5" xfId="16" applyFont="1" applyFill="1" applyBorder="1" applyAlignment="1">
      <alignment horizontal="center"/>
    </xf>
    <xf numFmtId="0" fontId="30" fillId="13" borderId="5" xfId="16" applyFont="1" applyFill="1" applyBorder="1"/>
    <xf numFmtId="0" fontId="7" fillId="0" borderId="5" xfId="16" applyFont="1" applyBorder="1" applyAlignment="1">
      <alignment horizontal="center"/>
    </xf>
    <xf numFmtId="168" fontId="28" fillId="0" borderId="5" xfId="16" applyNumberFormat="1" applyBorder="1"/>
    <xf numFmtId="0" fontId="28" fillId="0" borderId="5" xfId="16" applyBorder="1" applyAlignment="1">
      <alignment horizontal="center"/>
    </xf>
    <xf numFmtId="0" fontId="28" fillId="0" borderId="8" xfId="16" applyBorder="1" applyAlignment="1">
      <alignment horizontal="center"/>
    </xf>
    <xf numFmtId="0" fontId="28" fillId="0" borderId="8" xfId="16" applyBorder="1"/>
    <xf numFmtId="0" fontId="28" fillId="0" borderId="3" xfId="16" applyBorder="1"/>
    <xf numFmtId="9" fontId="32" fillId="0" borderId="0" xfId="16" applyNumberFormat="1" applyFont="1"/>
    <xf numFmtId="5" fontId="32" fillId="0" borderId="0" xfId="16" applyNumberFormat="1" applyFont="1"/>
    <xf numFmtId="0" fontId="30" fillId="0" borderId="0" xfId="0" applyFont="1"/>
    <xf numFmtId="0" fontId="36" fillId="0" borderId="0" xfId="0" applyFont="1"/>
    <xf numFmtId="9" fontId="32" fillId="8" borderId="0" xfId="0" applyNumberFormat="1" applyFont="1" applyFill="1"/>
    <xf numFmtId="0" fontId="3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5" fillId="0" borderId="0" xfId="19"/>
    <xf numFmtId="0" fontId="5" fillId="0" borderId="61" xfId="19" applyBorder="1" applyAlignment="1">
      <alignment horizontal="center" vertical="center"/>
    </xf>
    <xf numFmtId="0" fontId="44" fillId="0" borderId="62" xfId="19" applyFont="1" applyBorder="1" applyAlignment="1">
      <alignment horizontal="center" vertical="center"/>
    </xf>
    <xf numFmtId="0" fontId="5" fillId="0" borderId="3" xfId="19" applyBorder="1"/>
    <xf numFmtId="170" fontId="5" fillId="0" borderId="3" xfId="19" applyNumberFormat="1" applyBorder="1"/>
    <xf numFmtId="0" fontId="7" fillId="0" borderId="64" xfId="19" applyFont="1" applyBorder="1" applyAlignment="1">
      <alignment horizontal="center"/>
    </xf>
    <xf numFmtId="0" fontId="5" fillId="0" borderId="5" xfId="19" applyBorder="1"/>
    <xf numFmtId="0" fontId="7" fillId="0" borderId="50" xfId="19" applyFont="1" applyBorder="1" applyAlignment="1">
      <alignment horizontal="center"/>
    </xf>
    <xf numFmtId="0" fontId="7" fillId="0" borderId="66" xfId="19" applyFont="1" applyBorder="1" applyAlignment="1">
      <alignment horizontal="center"/>
    </xf>
    <xf numFmtId="0" fontId="5" fillId="0" borderId="67" xfId="19" applyBorder="1" applyAlignment="1">
      <alignment wrapText="1"/>
    </xf>
    <xf numFmtId="0" fontId="5" fillId="2" borderId="67" xfId="19" applyFill="1" applyBorder="1" applyAlignment="1">
      <alignment wrapText="1"/>
    </xf>
    <xf numFmtId="0" fontId="20" fillId="0" borderId="19" xfId="3" applyFont="1" applyBorder="1" applyAlignment="1">
      <alignment horizont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23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12" xfId="3" applyFont="1" applyBorder="1" applyAlignment="1">
      <alignment horizontal="center"/>
    </xf>
    <xf numFmtId="0" fontId="23" fillId="5" borderId="10" xfId="6" applyFont="1" applyFill="1" applyBorder="1" applyAlignment="1">
      <alignment horizontal="center" vertical="top" wrapText="1"/>
    </xf>
    <xf numFmtId="0" fontId="23" fillId="5" borderId="12" xfId="6" applyFont="1" applyFill="1" applyBorder="1" applyAlignment="1">
      <alignment horizontal="center" vertical="top" wrapText="1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right"/>
    </xf>
    <xf numFmtId="0" fontId="0" fillId="0" borderId="15" xfId="0" applyBorder="1"/>
    <xf numFmtId="0" fontId="0" fillId="7" borderId="33" xfId="0" applyFill="1" applyBorder="1"/>
    <xf numFmtId="0" fontId="0" fillId="7" borderId="30" xfId="0" applyFill="1" applyBorder="1"/>
    <xf numFmtId="0" fontId="0" fillId="7" borderId="34" xfId="0" applyFill="1" applyBorder="1"/>
    <xf numFmtId="9" fontId="29" fillId="0" borderId="0" xfId="17" applyFont="1" applyBorder="1" applyAlignment="1">
      <alignment horizontal="center"/>
    </xf>
    <xf numFmtId="0" fontId="7" fillId="4" borderId="13" xfId="16" applyFont="1" applyFill="1" applyBorder="1" applyAlignment="1">
      <alignment vertical="top"/>
    </xf>
    <xf numFmtId="0" fontId="28" fillId="0" borderId="59" xfId="16" applyBorder="1" applyAlignment="1">
      <alignment vertical="top"/>
    </xf>
    <xf numFmtId="0" fontId="28" fillId="0" borderId="3" xfId="16" applyBorder="1" applyAlignment="1">
      <alignment vertical="top"/>
    </xf>
    <xf numFmtId="0" fontId="7" fillId="4" borderId="13" xfId="16" quotePrefix="1" applyFont="1" applyFill="1" applyBorder="1" applyAlignment="1">
      <alignment horizontal="center" vertical="top" wrapText="1"/>
    </xf>
    <xf numFmtId="0" fontId="28" fillId="4" borderId="59" xfId="16" applyFill="1" applyBorder="1" applyAlignment="1">
      <alignment horizontal="center" vertical="top"/>
    </xf>
    <xf numFmtId="0" fontId="28" fillId="0" borderId="59" xfId="16" applyBorder="1" applyAlignment="1">
      <alignment horizontal="center" vertical="top"/>
    </xf>
    <xf numFmtId="0" fontId="28" fillId="0" borderId="3" xfId="16" applyBorder="1" applyAlignment="1">
      <alignment horizontal="center" vertical="top"/>
    </xf>
    <xf numFmtId="0" fontId="7" fillId="4" borderId="10" xfId="16" quotePrefix="1" applyFont="1" applyFill="1" applyBorder="1" applyAlignment="1">
      <alignment horizontal="center"/>
    </xf>
    <xf numFmtId="0" fontId="28" fillId="0" borderId="11" xfId="16" applyBorder="1" applyAlignment="1">
      <alignment horizontal="center"/>
    </xf>
    <xf numFmtId="0" fontId="4" fillId="13" borderId="60" xfId="19" applyFont="1" applyFill="1" applyBorder="1" applyAlignment="1">
      <alignment horizontal="center" vertical="center" textRotation="255"/>
    </xf>
    <xf numFmtId="0" fontId="5" fillId="0" borderId="63" xfId="19" applyBorder="1"/>
    <xf numFmtId="0" fontId="5" fillId="0" borderId="65" xfId="19" applyBorder="1"/>
    <xf numFmtId="10" fontId="0" fillId="0" borderId="0" xfId="0" applyNumberFormat="1"/>
    <xf numFmtId="14" fontId="0" fillId="0" borderId="0" xfId="0" applyNumberFormat="1"/>
    <xf numFmtId="0" fontId="2" fillId="0" borderId="5" xfId="7" applyFont="1" applyBorder="1"/>
    <xf numFmtId="0" fontId="5" fillId="0" borderId="5" xfId="7" applyFont="1" applyBorder="1"/>
    <xf numFmtId="0" fontId="7" fillId="0" borderId="5" xfId="7" applyFont="1" applyBorder="1"/>
    <xf numFmtId="0" fontId="8" fillId="0" borderId="5" xfId="7" applyBorder="1"/>
    <xf numFmtId="0" fontId="5" fillId="0" borderId="5" xfId="7" applyFont="1" applyBorder="1" applyAlignment="1">
      <alignment horizontal="center" wrapText="1"/>
    </xf>
    <xf numFmtId="44" fontId="2" fillId="0" borderId="5" xfId="8" applyFont="1" applyBorder="1"/>
    <xf numFmtId="44" fontId="2" fillId="10" borderId="5" xfId="8" applyFont="1" applyFill="1" applyBorder="1" applyAlignment="1">
      <alignment horizontal="center"/>
    </xf>
    <xf numFmtId="0" fontId="16" fillId="11" borderId="5" xfId="9" applyFont="1" applyFill="1" applyBorder="1" applyAlignment="1">
      <alignment horizontal="left"/>
    </xf>
    <xf numFmtId="0" fontId="8" fillId="0" borderId="5" xfId="9" applyBorder="1"/>
    <xf numFmtId="44" fontId="0" fillId="0" borderId="5" xfId="10" applyFont="1" applyFill="1" applyBorder="1" applyAlignment="1"/>
    <xf numFmtId="9" fontId="0" fillId="0" borderId="5" xfId="11" applyFont="1" applyFill="1" applyBorder="1" applyAlignment="1"/>
    <xf numFmtId="0" fontId="17" fillId="0" borderId="5" xfId="9" applyFont="1" applyBorder="1" applyAlignment="1">
      <alignment horizontal="center"/>
    </xf>
    <xf numFmtId="0" fontId="8" fillId="9" borderId="5" xfId="9" applyFill="1" applyBorder="1" applyAlignment="1">
      <alignment horizontal="center"/>
    </xf>
    <xf numFmtId="44" fontId="18" fillId="10" borderId="5" xfId="9" applyNumberFormat="1" applyFont="1" applyFill="1" applyBorder="1"/>
    <xf numFmtId="9" fontId="5" fillId="0" borderId="5" xfId="11" applyFont="1" applyBorder="1"/>
    <xf numFmtId="44" fontId="5" fillId="0" borderId="5" xfId="10" applyBorder="1"/>
    <xf numFmtId="165" fontId="12" fillId="0" borderId="15" xfId="3" applyNumberFormat="1" applyFont="1" applyBorder="1"/>
    <xf numFmtId="44" fontId="11" fillId="0" borderId="5" xfId="3" applyNumberFormat="1" applyFont="1" applyBorder="1" applyAlignment="1">
      <alignment wrapText="1"/>
    </xf>
    <xf numFmtId="44" fontId="12" fillId="0" borderId="15" xfId="3" applyNumberFormat="1" applyFont="1" applyBorder="1" applyAlignment="1">
      <alignment wrapText="1"/>
    </xf>
    <xf numFmtId="3" fontId="12" fillId="0" borderId="15" xfId="3" applyNumberFormat="1" applyFont="1" applyBorder="1" applyAlignment="1">
      <alignment horizontal="center"/>
    </xf>
    <xf numFmtId="165" fontId="12" fillId="12" borderId="15" xfId="3" applyNumberFormat="1" applyFont="1" applyFill="1" applyBorder="1"/>
    <xf numFmtId="165" fontId="21" fillId="12" borderId="15" xfId="3" applyNumberFormat="1" applyFont="1" applyFill="1" applyBorder="1"/>
    <xf numFmtId="174" fontId="2" fillId="0" borderId="5" xfId="12" applyNumberFormat="1" applyFont="1" applyBorder="1"/>
    <xf numFmtId="168" fontId="2" fillId="0" borderId="5" xfId="12" applyNumberFormat="1" applyFont="1" applyBorder="1"/>
    <xf numFmtId="175" fontId="2" fillId="0" borderId="5" xfId="12" applyNumberFormat="1" applyFont="1" applyBorder="1"/>
    <xf numFmtId="6" fontId="13" fillId="0" borderId="0" xfId="6" applyNumberFormat="1" applyFont="1"/>
    <xf numFmtId="165" fontId="13" fillId="0" borderId="5" xfId="6" applyNumberFormat="1" applyFont="1" applyBorder="1"/>
    <xf numFmtId="0" fontId="46" fillId="9" borderId="5" xfId="6" applyFont="1" applyFill="1" applyBorder="1" applyAlignment="1">
      <alignment horizontal="right" wrapText="1"/>
    </xf>
    <xf numFmtId="0" fontId="47" fillId="0" borderId="5" xfId="6" applyFont="1" applyBorder="1" applyAlignment="1">
      <alignment horizontal="right"/>
    </xf>
    <xf numFmtId="0" fontId="47" fillId="0" borderId="5" xfId="6" applyFont="1" applyBorder="1"/>
    <xf numFmtId="0" fontId="47" fillId="0" borderId="0" xfId="6" applyFont="1" applyAlignment="1">
      <alignment horizontal="right"/>
    </xf>
    <xf numFmtId="0" fontId="5" fillId="0" borderId="0" xfId="6" applyFont="1"/>
    <xf numFmtId="44" fontId="47" fillId="0" borderId="5" xfId="5" applyFont="1" applyFill="1" applyBorder="1" applyAlignment="1" applyProtection="1">
      <alignment horizontal="right"/>
    </xf>
    <xf numFmtId="44" fontId="47" fillId="0" borderId="0" xfId="5" applyFont="1" applyFill="1" applyBorder="1" applyAlignment="1" applyProtection="1">
      <alignment horizontal="right"/>
    </xf>
    <xf numFmtId="0" fontId="46" fillId="9" borderId="5" xfId="6" applyFont="1" applyFill="1" applyBorder="1" applyAlignment="1">
      <alignment horizontal="right" vertical="center" wrapText="1"/>
    </xf>
    <xf numFmtId="0" fontId="5" fillId="4" borderId="5" xfId="6" applyFont="1" applyFill="1" applyBorder="1" applyAlignment="1">
      <alignment horizontal="center"/>
    </xf>
    <xf numFmtId="0" fontId="48" fillId="9" borderId="5" xfId="6" applyFont="1" applyFill="1" applyBorder="1" applyAlignment="1">
      <alignment wrapText="1"/>
    </xf>
    <xf numFmtId="0" fontId="5" fillId="9" borderId="5" xfId="6" applyFont="1" applyFill="1" applyBorder="1" applyAlignment="1">
      <alignment horizontal="center" vertical="center" textRotation="90" wrapText="1"/>
    </xf>
    <xf numFmtId="0" fontId="48" fillId="14" borderId="5" xfId="6" applyFont="1" applyFill="1" applyBorder="1" applyAlignment="1">
      <alignment horizontal="center" vertical="center" wrapText="1"/>
    </xf>
    <xf numFmtId="0" fontId="47" fillId="0" borderId="5" xfId="6" applyFont="1" applyBorder="1" applyAlignment="1">
      <alignment horizontal="left"/>
    </xf>
    <xf numFmtId="0" fontId="47" fillId="0" borderId="5" xfId="6" applyFont="1" applyBorder="1" applyAlignment="1">
      <alignment horizontal="center"/>
    </xf>
    <xf numFmtId="0" fontId="44" fillId="0" borderId="5" xfId="6" applyFont="1" applyBorder="1" applyAlignment="1">
      <alignment horizontal="center"/>
    </xf>
    <xf numFmtId="0" fontId="5" fillId="10" borderId="5" xfId="6" applyFont="1" applyFill="1" applyBorder="1" applyProtection="1">
      <protection locked="0"/>
    </xf>
    <xf numFmtId="44" fontId="5" fillId="10" borderId="5" xfId="6" applyNumberFormat="1" applyFont="1" applyFill="1" applyBorder="1" applyProtection="1">
      <protection locked="0"/>
    </xf>
    <xf numFmtId="0" fontId="5" fillId="0" borderId="0" xfId="6" applyFont="1" applyProtection="1">
      <protection locked="0"/>
    </xf>
    <xf numFmtId="0" fontId="48" fillId="0" borderId="0" xfId="6" applyFont="1" applyAlignment="1">
      <alignment horizontal="left"/>
    </xf>
    <xf numFmtId="0" fontId="49" fillId="0" borderId="0" xfId="6" applyFont="1" applyAlignment="1">
      <alignment horizontal="center"/>
    </xf>
    <xf numFmtId="1" fontId="0" fillId="2" borderId="0" xfId="0" applyNumberFormat="1" applyFill="1"/>
    <xf numFmtId="2" fontId="0" fillId="6" borderId="0" xfId="0" applyNumberFormat="1" applyFill="1"/>
    <xf numFmtId="0" fontId="0" fillId="0" borderId="21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right"/>
    </xf>
    <xf numFmtId="14" fontId="0" fillId="10" borderId="5" xfId="0" applyNumberFormat="1" applyFill="1" applyBorder="1" applyAlignment="1" applyProtection="1">
      <alignment horizontal="left"/>
      <protection locked="0"/>
    </xf>
    <xf numFmtId="44" fontId="8" fillId="10" borderId="5" xfId="14" applyFill="1" applyBorder="1" applyAlignment="1">
      <alignment horizontal="center"/>
    </xf>
    <xf numFmtId="49" fontId="8" fillId="0" borderId="42" xfId="0" applyNumberFormat="1" applyFont="1" applyBorder="1" applyAlignment="1" applyProtection="1">
      <alignment vertical="center" shrinkToFit="1"/>
      <protection locked="0"/>
    </xf>
    <xf numFmtId="49" fontId="0" fillId="0" borderId="0" xfId="0" applyNumberFormat="1" applyAlignment="1" applyProtection="1">
      <alignment vertical="center" shrinkToFit="1"/>
      <protection locked="0"/>
    </xf>
    <xf numFmtId="49" fontId="0" fillId="0" borderId="38" xfId="0" applyNumberFormat="1" applyBorder="1" applyAlignment="1" applyProtection="1">
      <alignment vertical="center" shrinkToFit="1"/>
      <protection locked="0"/>
    </xf>
    <xf numFmtId="9" fontId="0" fillId="0" borderId="12" xfId="0" applyNumberFormat="1" applyBorder="1" applyAlignment="1">
      <alignment horizontal="right"/>
    </xf>
    <xf numFmtId="9" fontId="0" fillId="0" borderId="23" xfId="0" applyNumberFormat="1" applyBorder="1" applyAlignment="1">
      <alignment horizontal="right"/>
    </xf>
    <xf numFmtId="9" fontId="0" fillId="0" borderId="68" xfId="0" applyNumberFormat="1" applyBorder="1" applyAlignment="1">
      <alignment horizontal="right"/>
    </xf>
    <xf numFmtId="49" fontId="0" fillId="0" borderId="42" xfId="0" applyNumberFormat="1" applyBorder="1" applyAlignment="1" applyProtection="1">
      <alignment vertical="center" shrinkToFit="1"/>
      <protection locked="0"/>
    </xf>
    <xf numFmtId="49" fontId="0" fillId="0" borderId="0" xfId="0" applyNumberFormat="1" applyBorder="1" applyAlignment="1" applyProtection="1">
      <alignment vertical="center" shrinkToFit="1"/>
      <protection locked="0"/>
    </xf>
    <xf numFmtId="0" fontId="0" fillId="0" borderId="5" xfId="0" applyBorder="1"/>
    <xf numFmtId="0" fontId="50" fillId="0" borderId="5" xfId="0" applyFont="1" applyBorder="1" applyAlignment="1">
      <alignment horizontal="center" vertical="top" wrapText="1"/>
    </xf>
    <xf numFmtId="0" fontId="0" fillId="0" borderId="17" xfId="0" applyBorder="1"/>
    <xf numFmtId="0" fontId="0" fillId="0" borderId="39" xfId="0" applyBorder="1"/>
    <xf numFmtId="0" fontId="0" fillId="0" borderId="18" xfId="0" applyBorder="1"/>
    <xf numFmtId="0" fontId="0" fillId="0" borderId="4" xfId="0" applyBorder="1"/>
    <xf numFmtId="0" fontId="0" fillId="0" borderId="6" xfId="0" applyBorder="1"/>
    <xf numFmtId="0" fontId="50" fillId="0" borderId="4" xfId="0" applyFont="1" applyBorder="1" applyAlignment="1">
      <alignment horizontal="center" vertical="top" wrapText="1"/>
    </xf>
    <xf numFmtId="0" fontId="50" fillId="0" borderId="6" xfId="0" applyFont="1" applyBorder="1" applyAlignment="1">
      <alignment horizontal="center" vertical="top" wrapText="1"/>
    </xf>
    <xf numFmtId="0" fontId="50" fillId="0" borderId="7" xfId="0" applyFont="1" applyBorder="1" applyAlignment="1">
      <alignment horizontal="center" vertical="top" wrapText="1"/>
    </xf>
    <xf numFmtId="0" fontId="50" fillId="0" borderId="8" xfId="0" applyFont="1" applyBorder="1" applyAlignment="1">
      <alignment horizontal="center" vertical="top" wrapText="1"/>
    </xf>
    <xf numFmtId="0" fontId="50" fillId="0" borderId="9" xfId="0" applyFont="1" applyBorder="1" applyAlignment="1">
      <alignment horizontal="center" vertical="top" wrapText="1"/>
    </xf>
    <xf numFmtId="0" fontId="27" fillId="0" borderId="30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14" fontId="0" fillId="0" borderId="32" xfId="0" applyNumberFormat="1" applyBorder="1" applyAlignment="1" applyProtection="1">
      <alignment horizontal="center"/>
      <protection locked="0"/>
    </xf>
    <xf numFmtId="14" fontId="0" fillId="0" borderId="30" xfId="0" applyNumberFormat="1" applyBorder="1" applyAlignment="1" applyProtection="1">
      <alignment horizontal="center"/>
      <protection locked="0"/>
    </xf>
    <xf numFmtId="14" fontId="0" fillId="0" borderId="34" xfId="0" applyNumberFormat="1" applyBorder="1" applyAlignment="1" applyProtection="1">
      <alignment horizontal="center"/>
      <protection locked="0"/>
    </xf>
    <xf numFmtId="14" fontId="0" fillId="0" borderId="70" xfId="0" applyNumberFormat="1" applyBorder="1" applyAlignment="1" applyProtection="1">
      <alignment horizontal="center"/>
      <protection locked="0"/>
    </xf>
    <xf numFmtId="14" fontId="0" fillId="0" borderId="21" xfId="0" applyNumberFormat="1" applyBorder="1" applyAlignment="1" applyProtection="1">
      <alignment horizontal="center"/>
      <protection locked="0"/>
    </xf>
    <xf numFmtId="14" fontId="0" fillId="0" borderId="44" xfId="0" applyNumberFormat="1" applyBorder="1" applyAlignment="1" applyProtection="1">
      <alignment horizontal="center"/>
      <protection locked="0"/>
    </xf>
    <xf numFmtId="44" fontId="28" fillId="0" borderId="49" xfId="16" applyNumberFormat="1" applyBorder="1"/>
    <xf numFmtId="0" fontId="30" fillId="0" borderId="71" xfId="16" applyFont="1" applyBorder="1" applyAlignment="1">
      <alignment horizontal="left"/>
    </xf>
    <xf numFmtId="0" fontId="30" fillId="0" borderId="72" xfId="16" applyFont="1" applyBorder="1" applyAlignment="1">
      <alignment horizontal="left"/>
    </xf>
    <xf numFmtId="0" fontId="30" fillId="0" borderId="72" xfId="16" applyFont="1" applyBorder="1" applyAlignment="1">
      <alignment horizontal="center"/>
    </xf>
    <xf numFmtId="0" fontId="30" fillId="0" borderId="73" xfId="16" applyFont="1" applyBorder="1" applyAlignment="1">
      <alignment horizontal="center"/>
    </xf>
    <xf numFmtId="0" fontId="28" fillId="0" borderId="4" xfId="16" applyBorder="1"/>
    <xf numFmtId="44" fontId="28" fillId="0" borderId="0" xfId="16" applyNumberFormat="1" applyBorder="1"/>
    <xf numFmtId="44" fontId="28" fillId="0" borderId="6" xfId="16" applyNumberFormat="1" applyBorder="1"/>
    <xf numFmtId="0" fontId="28" fillId="0" borderId="7" xfId="16" applyBorder="1"/>
    <xf numFmtId="44" fontId="0" fillId="0" borderId="8" xfId="18" applyFont="1" applyBorder="1" applyAlignment="1">
      <alignment horizontal="right"/>
    </xf>
    <xf numFmtId="44" fontId="28" fillId="0" borderId="74" xfId="16" applyNumberFormat="1" applyBorder="1"/>
    <xf numFmtId="44" fontId="28" fillId="0" borderId="21" xfId="16" applyNumberFormat="1" applyBorder="1"/>
    <xf numFmtId="44" fontId="28" fillId="0" borderId="9" xfId="16" applyNumberFormat="1" applyBorder="1"/>
    <xf numFmtId="0" fontId="36" fillId="0" borderId="0" xfId="16" applyFont="1"/>
    <xf numFmtId="9" fontId="36" fillId="2" borderId="0" xfId="16" applyNumberFormat="1" applyFont="1" applyFill="1"/>
    <xf numFmtId="164" fontId="36" fillId="2" borderId="0" xfId="18" applyNumberFormat="1" applyFont="1" applyFill="1"/>
    <xf numFmtId="164" fontId="35" fillId="0" borderId="0" xfId="18" applyNumberFormat="1" applyFont="1" applyFill="1"/>
    <xf numFmtId="9" fontId="35" fillId="0" borderId="0" xfId="16" applyNumberFormat="1" applyFont="1"/>
    <xf numFmtId="5" fontId="36" fillId="2" borderId="0" xfId="16" applyNumberFormat="1" applyFont="1" applyFill="1"/>
    <xf numFmtId="44" fontId="36" fillId="2" borderId="0" xfId="18" applyFont="1" applyFill="1"/>
    <xf numFmtId="0" fontId="36" fillId="0" borderId="0" xfId="16" applyFont="1" applyAlignment="1">
      <alignment horizontal="center"/>
    </xf>
    <xf numFmtId="0" fontId="35" fillId="0" borderId="21" xfId="16" applyFont="1" applyBorder="1"/>
    <xf numFmtId="0" fontId="36" fillId="0" borderId="51" xfId="16" applyFont="1" applyBorder="1" applyAlignment="1">
      <alignment horizontal="center" vertical="center"/>
    </xf>
    <xf numFmtId="0" fontId="36" fillId="0" borderId="36" xfId="16" applyFont="1" applyBorder="1" applyAlignment="1">
      <alignment horizontal="center" vertical="center"/>
    </xf>
    <xf numFmtId="0" fontId="36" fillId="0" borderId="52" xfId="16" applyFont="1" applyBorder="1" applyAlignment="1">
      <alignment horizontal="center" vertical="center"/>
    </xf>
    <xf numFmtId="0" fontId="36" fillId="0" borderId="30" xfId="16" applyFont="1" applyBorder="1" applyAlignment="1">
      <alignment horizontal="center" vertical="center"/>
    </xf>
    <xf numFmtId="0" fontId="36" fillId="0" borderId="22" xfId="16" applyFont="1" applyBorder="1" applyAlignment="1">
      <alignment horizontal="center" vertical="center"/>
    </xf>
    <xf numFmtId="0" fontId="35" fillId="0" borderId="53" xfId="16" applyFont="1" applyBorder="1"/>
    <xf numFmtId="167" fontId="35" fillId="0" borderId="17" xfId="16" applyNumberFormat="1" applyFont="1" applyBorder="1"/>
    <xf numFmtId="0" fontId="35" fillId="0" borderId="39" xfId="16" applyFont="1" applyBorder="1"/>
    <xf numFmtId="164" fontId="35" fillId="0" borderId="39" xfId="16" applyNumberFormat="1" applyFont="1" applyBorder="1"/>
    <xf numFmtId="5" fontId="35" fillId="0" borderId="39" xfId="16" applyNumberFormat="1" applyFont="1" applyBorder="1"/>
    <xf numFmtId="167" fontId="35" fillId="0" borderId="4" xfId="16" applyNumberFormat="1" applyFont="1" applyBorder="1"/>
    <xf numFmtId="0" fontId="35" fillId="0" borderId="55" xfId="16" applyFont="1" applyBorder="1"/>
    <xf numFmtId="0" fontId="35" fillId="0" borderId="44" xfId="16" applyFont="1" applyBorder="1"/>
    <xf numFmtId="167" fontId="35" fillId="0" borderId="7" xfId="16" applyNumberFormat="1" applyFont="1" applyBorder="1"/>
    <xf numFmtId="44" fontId="35" fillId="0" borderId="54" xfId="16" applyNumberFormat="1" applyFont="1" applyBorder="1"/>
    <xf numFmtId="167" fontId="30" fillId="0" borderId="0" xfId="16" applyNumberFormat="1" applyFont="1"/>
    <xf numFmtId="164" fontId="30" fillId="0" borderId="0" xfId="16" applyNumberFormat="1" applyFont="1"/>
    <xf numFmtId="5" fontId="30" fillId="0" borderId="0" xfId="16" applyNumberFormat="1" applyFont="1"/>
    <xf numFmtId="44" fontId="30" fillId="0" borderId="0" xfId="16" applyNumberFormat="1" applyFont="1"/>
    <xf numFmtId="44" fontId="35" fillId="0" borderId="24" xfId="16" applyNumberFormat="1" applyFont="1" applyBorder="1"/>
    <xf numFmtId="44" fontId="35" fillId="0" borderId="39" xfId="16" applyNumberFormat="1" applyFont="1" applyBorder="1"/>
    <xf numFmtId="0" fontId="30" fillId="13" borderId="29" xfId="16" applyFont="1" applyFill="1" applyBorder="1"/>
    <xf numFmtId="0" fontId="32" fillId="0" borderId="15" xfId="16" applyFont="1" applyBorder="1"/>
    <xf numFmtId="0" fontId="32" fillId="0" borderId="16" xfId="16" applyFont="1" applyBorder="1"/>
    <xf numFmtId="0" fontId="32" fillId="0" borderId="75" xfId="16" applyFont="1" applyBorder="1"/>
    <xf numFmtId="0" fontId="32" fillId="0" borderId="69" xfId="16" applyFont="1" applyBorder="1" applyAlignment="1">
      <alignment horizontal="center"/>
    </xf>
    <xf numFmtId="0" fontId="32" fillId="0" borderId="76" xfId="16" applyFont="1" applyBorder="1" applyAlignment="1">
      <alignment horizontal="center"/>
    </xf>
    <xf numFmtId="0" fontId="32" fillId="0" borderId="25" xfId="16" applyFont="1" applyBorder="1" applyAlignment="1">
      <alignment horizontal="center"/>
    </xf>
    <xf numFmtId="0" fontId="32" fillId="0" borderId="56" xfId="16" applyFont="1" applyBorder="1" applyAlignment="1">
      <alignment horizontal="center"/>
    </xf>
    <xf numFmtId="168" fontId="28" fillId="0" borderId="58" xfId="16" applyNumberFormat="1" applyFill="1" applyBorder="1"/>
    <xf numFmtId="165" fontId="28" fillId="0" borderId="5" xfId="16" applyNumberFormat="1" applyBorder="1"/>
    <xf numFmtId="165" fontId="28" fillId="0" borderId="3" xfId="16" applyNumberFormat="1" applyBorder="1"/>
    <xf numFmtId="0" fontId="33" fillId="0" borderId="77" xfId="16" applyFont="1" applyBorder="1" applyAlignment="1">
      <alignment horizontal="center" vertical="center"/>
    </xf>
    <xf numFmtId="0" fontId="33" fillId="0" borderId="78" xfId="16" applyFont="1" applyBorder="1" applyAlignment="1">
      <alignment horizontal="center" vertical="center"/>
    </xf>
    <xf numFmtId="0" fontId="33" fillId="0" borderId="79" xfId="16" applyFont="1" applyBorder="1" applyAlignment="1">
      <alignment horizontal="center" vertical="center"/>
    </xf>
    <xf numFmtId="0" fontId="33" fillId="0" borderId="80" xfId="16" applyFont="1" applyBorder="1" applyAlignment="1">
      <alignment horizontal="center" vertical="center"/>
    </xf>
    <xf numFmtId="0" fontId="33" fillId="0" borderId="81" xfId="16" applyFont="1" applyBorder="1" applyAlignment="1">
      <alignment horizontal="center" vertical="center"/>
    </xf>
    <xf numFmtId="0" fontId="30" fillId="0" borderId="82" xfId="16" applyFont="1" applyBorder="1"/>
    <xf numFmtId="0" fontId="30" fillId="0" borderId="0" xfId="16" applyFont="1" applyBorder="1"/>
    <xf numFmtId="169" fontId="30" fillId="0" borderId="0" xfId="16" applyNumberFormat="1" applyFont="1" applyBorder="1"/>
    <xf numFmtId="0" fontId="30" fillId="0" borderId="43" xfId="16" applyFont="1" applyBorder="1"/>
    <xf numFmtId="5" fontId="30" fillId="0" borderId="0" xfId="16" applyNumberFormat="1" applyFont="1" applyBorder="1"/>
    <xf numFmtId="5" fontId="30" fillId="0" borderId="41" xfId="16" applyNumberFormat="1" applyFont="1" applyBorder="1"/>
    <xf numFmtId="9" fontId="30" fillId="0" borderId="38" xfId="20" applyFont="1" applyBorder="1"/>
    <xf numFmtId="0" fontId="34" fillId="0" borderId="21" xfId="16" applyFont="1" applyBorder="1"/>
    <xf numFmtId="169" fontId="30" fillId="0" borderId="83" xfId="16" applyNumberFormat="1" applyFont="1" applyBorder="1"/>
    <xf numFmtId="169" fontId="30" fillId="0" borderId="1" xfId="16" applyNumberFormat="1" applyFont="1" applyBorder="1"/>
    <xf numFmtId="0" fontId="30" fillId="0" borderId="36" xfId="16" applyFont="1" applyBorder="1"/>
    <xf numFmtId="5" fontId="30" fillId="0" borderId="36" xfId="16" applyNumberFormat="1" applyFont="1" applyBorder="1"/>
    <xf numFmtId="5" fontId="30" fillId="0" borderId="69" xfId="16" applyNumberFormat="1" applyFont="1" applyBorder="1"/>
    <xf numFmtId="9" fontId="30" fillId="0" borderId="37" xfId="16" applyNumberFormat="1" applyFont="1" applyBorder="1"/>
    <xf numFmtId="0" fontId="30" fillId="0" borderId="21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165" fontId="30" fillId="0" borderId="21" xfId="0" applyNumberFormat="1" applyFont="1" applyBorder="1" applyAlignment="1">
      <alignment horizontal="center"/>
    </xf>
    <xf numFmtId="165" fontId="30" fillId="0" borderId="0" xfId="0" applyNumberFormat="1" applyFont="1"/>
    <xf numFmtId="165" fontId="30" fillId="0" borderId="21" xfId="0" applyNumberFormat="1" applyFont="1" applyBorder="1"/>
    <xf numFmtId="9" fontId="30" fillId="0" borderId="0" xfId="20" applyFont="1"/>
    <xf numFmtId="9" fontId="30" fillId="0" borderId="21" xfId="20" applyFont="1" applyBorder="1"/>
    <xf numFmtId="0" fontId="30" fillId="0" borderId="0" xfId="0" applyFont="1" applyAlignment="1"/>
    <xf numFmtId="0" fontId="30" fillId="0" borderId="21" xfId="0" applyFont="1" applyBorder="1" applyAlignment="1"/>
    <xf numFmtId="0" fontId="32" fillId="0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32" fillId="5" borderId="0" xfId="0" applyFont="1" applyFill="1" applyAlignment="1">
      <alignment horizontal="center" vertical="center" wrapText="1"/>
    </xf>
    <xf numFmtId="0" fontId="6" fillId="17" borderId="0" xfId="0" applyFont="1" applyFill="1" applyAlignment="1">
      <alignment horizontal="center"/>
    </xf>
    <xf numFmtId="44" fontId="51" fillId="0" borderId="0" xfId="5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5" fontId="39" fillId="0" borderId="0" xfId="0" applyNumberFormat="1" applyFont="1" applyAlignment="1">
      <alignment horizontal="right" vertical="center"/>
    </xf>
    <xf numFmtId="9" fontId="0" fillId="0" borderId="5" xfId="0" applyNumberFormat="1" applyBorder="1"/>
    <xf numFmtId="0" fontId="43" fillId="0" borderId="5" xfId="0" applyFont="1" applyBorder="1"/>
    <xf numFmtId="0" fontId="41" fillId="0" borderId="5" xfId="0" applyFont="1" applyBorder="1"/>
    <xf numFmtId="0" fontId="41" fillId="0" borderId="5" xfId="0" applyFont="1" applyBorder="1" applyAlignment="1">
      <alignment horizontal="center"/>
    </xf>
    <xf numFmtId="44" fontId="41" fillId="0" borderId="5" xfId="5" applyFont="1" applyBorder="1"/>
    <xf numFmtId="44" fontId="41" fillId="0" borderId="5" xfId="0" applyNumberFormat="1" applyFont="1" applyBorder="1"/>
    <xf numFmtId="0" fontId="41" fillId="0" borderId="5" xfId="0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9" fontId="0" fillId="2" borderId="10" xfId="0" applyNumberFormat="1" applyFill="1" applyBorder="1" applyAlignment="1">
      <alignment horizontal="center"/>
    </xf>
    <xf numFmtId="9" fontId="0" fillId="2" borderId="12" xfId="0" applyNumberForma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/>
    <xf numFmtId="0" fontId="5" fillId="17" borderId="3" xfId="19" applyFill="1" applyBorder="1"/>
    <xf numFmtId="170" fontId="5" fillId="17" borderId="3" xfId="19" applyNumberFormat="1" applyFill="1" applyBorder="1"/>
    <xf numFmtId="0" fontId="7" fillId="17" borderId="50" xfId="19" applyFont="1" applyFill="1" applyBorder="1" applyAlignment="1">
      <alignment horizontal="center"/>
    </xf>
    <xf numFmtId="178" fontId="5" fillId="2" borderId="67" xfId="19" applyNumberFormat="1" applyFill="1" applyBorder="1" applyAlignment="1">
      <alignment wrapText="1"/>
    </xf>
    <xf numFmtId="0" fontId="5" fillId="18" borderId="5" xfId="19" applyFill="1" applyBorder="1"/>
    <xf numFmtId="0" fontId="5" fillId="18" borderId="3" xfId="19" applyFill="1" applyBorder="1"/>
    <xf numFmtId="0" fontId="5" fillId="18" borderId="0" xfId="19" applyFill="1"/>
  </cellXfs>
  <cellStyles count="21">
    <cellStyle name="Dziesiętny" xfId="1" builtinId="3"/>
    <cellStyle name="Normalny" xfId="0" builtinId="0"/>
    <cellStyle name="Normalny 2" xfId="16" xr:uid="{3F6D988F-43E5-4823-9314-C792AC89EF4D}"/>
    <cellStyle name="Normalny 2 2 2" xfId="7" xr:uid="{3FAC58E1-71EF-4A27-897E-695B6F79B91E}"/>
    <cellStyle name="Normalny 2 3" xfId="6" xr:uid="{9119FCDC-F72C-49E5-A4FF-A10877BC0D6F}"/>
    <cellStyle name="Normalny 2 3 2" xfId="12" xr:uid="{434710C2-4A5C-486D-BD18-8B3C38D0680B}"/>
    <cellStyle name="Normalny 6" xfId="9" xr:uid="{B093ADA7-E572-418D-A3A4-4E5F58378C31}"/>
    <cellStyle name="Normalny_Xl0000001" xfId="3" xr:uid="{10692017-4E80-430A-B2E0-6863BB7A28D7}"/>
    <cellStyle name="Normalny_zadania_Excel" xfId="19" xr:uid="{724E63EF-E58B-49DE-B144-B40EEC986BCA}"/>
    <cellStyle name="Normalny_Zeszyt1" xfId="2" xr:uid="{F7971909-41E8-4DC2-BC9F-D13BD7B387E4}"/>
    <cellStyle name="Procentowy" xfId="20" builtinId="5"/>
    <cellStyle name="Procentowy 2 3" xfId="4" xr:uid="{79484A56-C99E-4DEF-A19B-034408760354}"/>
    <cellStyle name="Procentowy 3" xfId="17" xr:uid="{49D33979-A24D-4D87-A635-060793B9A624}"/>
    <cellStyle name="Procentowy 3 2" xfId="11" xr:uid="{F03C50D6-9857-4183-BFEF-1A1FD237E05B}"/>
    <cellStyle name="Procentowy 4" xfId="15" xr:uid="{F779E48A-AEFB-4FC0-B367-A675604533F9}"/>
    <cellStyle name="Walutowy 2 2" xfId="8" xr:uid="{34D26B2C-DEE0-497B-8AD9-462197E9C5E8}"/>
    <cellStyle name="Walutowy 2 3" xfId="13" xr:uid="{F12662BE-1016-44FE-96F9-3C05CB2E9D6C}"/>
    <cellStyle name="Walutowy 2 4" xfId="5" xr:uid="{DC654E9B-9A3D-4C83-8431-08ED85180B99}"/>
    <cellStyle name="Walutowy 3" xfId="18" xr:uid="{0379CD95-1F19-41C5-B386-2BED55912703}"/>
    <cellStyle name="Walutowy 4" xfId="14" xr:uid="{96CD90FF-B884-4103-B715-2D554473A470}"/>
    <cellStyle name="Walutowy_bezwgledne" xfId="10" xr:uid="{B5436F74-9787-4342-959E-B4E6B08B36E6}"/>
  </cellStyles>
  <dxfs count="32">
    <dxf>
      <fill>
        <patternFill>
          <bgColor indexed="1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1"/>
        <charset val="238"/>
        <scheme val="maj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numFmt numFmtId="34" formatCode="_-* #,##0.00\ &quot;zł&quot;_-;\-* #,##0.00\ &quot;zł&quot;_-;_-* &quot;-&quot;??\ &quot;zł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1"/>
        <charset val="238"/>
        <scheme val="major"/>
      </font>
      <numFmt numFmtId="165" formatCode="#,##0.00\ &quot;zł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charset val="238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charset val="238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1"/>
        <charset val="23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numFmt numFmtId="165" formatCode="#,##0.00\ &quot;zł&quot;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numFmt numFmtId="0" formatCode="General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 CE"/>
        <family val="1"/>
        <charset val="238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1"/>
        <charset val="238"/>
        <scheme val="major"/>
      </font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OCEN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'9'!$A$4:$A$27</c:f>
              <c:strCache>
                <c:ptCount val="24"/>
                <c:pt idx="0">
                  <c:v>I A</c:v>
                </c:pt>
                <c:pt idx="1">
                  <c:v>I B</c:v>
                </c:pt>
                <c:pt idx="2">
                  <c:v>I C</c:v>
                </c:pt>
                <c:pt idx="3">
                  <c:v>I D</c:v>
                </c:pt>
                <c:pt idx="4">
                  <c:v>I E</c:v>
                </c:pt>
                <c:pt idx="5">
                  <c:v>I F</c:v>
                </c:pt>
                <c:pt idx="6">
                  <c:v>I G</c:v>
                </c:pt>
                <c:pt idx="7">
                  <c:v>I H</c:v>
                </c:pt>
                <c:pt idx="8">
                  <c:v>II A</c:v>
                </c:pt>
                <c:pt idx="9">
                  <c:v>II B</c:v>
                </c:pt>
                <c:pt idx="10">
                  <c:v>II C</c:v>
                </c:pt>
                <c:pt idx="11">
                  <c:v>II D</c:v>
                </c:pt>
                <c:pt idx="12">
                  <c:v>II E</c:v>
                </c:pt>
                <c:pt idx="13">
                  <c:v>II F</c:v>
                </c:pt>
                <c:pt idx="14">
                  <c:v>II G</c:v>
                </c:pt>
                <c:pt idx="15">
                  <c:v>II H</c:v>
                </c:pt>
                <c:pt idx="16">
                  <c:v>III A</c:v>
                </c:pt>
                <c:pt idx="17">
                  <c:v>III B</c:v>
                </c:pt>
                <c:pt idx="18">
                  <c:v>III C</c:v>
                </c:pt>
                <c:pt idx="19">
                  <c:v>III D</c:v>
                </c:pt>
                <c:pt idx="20">
                  <c:v>III E</c:v>
                </c:pt>
                <c:pt idx="21">
                  <c:v>III F</c:v>
                </c:pt>
                <c:pt idx="22">
                  <c:v>III G</c:v>
                </c:pt>
                <c:pt idx="23">
                  <c:v>III H</c:v>
                </c:pt>
              </c:strCache>
            </c:strRef>
          </c:cat>
          <c:val>
            <c:numRef>
              <c:f>'9'!$C$4:$C$27</c:f>
              <c:numCache>
                <c:formatCode>General</c:formatCode>
                <c:ptCount val="24"/>
                <c:pt idx="0">
                  <c:v>3.8</c:v>
                </c:pt>
                <c:pt idx="1">
                  <c:v>3.2</c:v>
                </c:pt>
                <c:pt idx="2">
                  <c:v>3</c:v>
                </c:pt>
                <c:pt idx="3">
                  <c:v>3.9</c:v>
                </c:pt>
                <c:pt idx="4">
                  <c:v>4</c:v>
                </c:pt>
                <c:pt idx="5">
                  <c:v>3.6</c:v>
                </c:pt>
                <c:pt idx="6">
                  <c:v>4.2</c:v>
                </c:pt>
                <c:pt idx="7">
                  <c:v>3.8</c:v>
                </c:pt>
                <c:pt idx="8">
                  <c:v>3.9</c:v>
                </c:pt>
                <c:pt idx="9">
                  <c:v>4.3</c:v>
                </c:pt>
                <c:pt idx="10">
                  <c:v>3.1</c:v>
                </c:pt>
                <c:pt idx="11">
                  <c:v>4.0999999999999996</c:v>
                </c:pt>
                <c:pt idx="12">
                  <c:v>4.5999999999999996</c:v>
                </c:pt>
                <c:pt idx="13">
                  <c:v>3.9</c:v>
                </c:pt>
                <c:pt idx="14">
                  <c:v>3.1</c:v>
                </c:pt>
                <c:pt idx="15">
                  <c:v>4.0999999999999996</c:v>
                </c:pt>
                <c:pt idx="16">
                  <c:v>3.5</c:v>
                </c:pt>
                <c:pt idx="17">
                  <c:v>3.7</c:v>
                </c:pt>
                <c:pt idx="18">
                  <c:v>2.8</c:v>
                </c:pt>
                <c:pt idx="19">
                  <c:v>3.1</c:v>
                </c:pt>
                <c:pt idx="20">
                  <c:v>3.4</c:v>
                </c:pt>
                <c:pt idx="21">
                  <c:v>3.7</c:v>
                </c:pt>
                <c:pt idx="22">
                  <c:v>2.7</c:v>
                </c:pt>
                <c:pt idx="2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5-4432-AF34-883C7D06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112768"/>
        <c:axId val="452121920"/>
      </c:barChart>
      <c:catAx>
        <c:axId val="4521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121920"/>
        <c:crosses val="autoZero"/>
        <c:auto val="1"/>
        <c:lblAlgn val="ctr"/>
        <c:lblOffset val="100"/>
        <c:noMultiLvlLbl val="0"/>
      </c:catAx>
      <c:valAx>
        <c:axId val="452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1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% PRACOWNIKÓW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'16'!$C$8:$C$30</c:f>
              <c:strCache>
                <c:ptCount val="23"/>
                <c:pt idx="0">
                  <c:v>Pierwszy</c:v>
                </c:pt>
                <c:pt idx="1">
                  <c:v>Chrobry</c:v>
                </c:pt>
                <c:pt idx="2">
                  <c:v>Drugi</c:v>
                </c:pt>
                <c:pt idx="3">
                  <c:v>Odnowiciel</c:v>
                </c:pt>
                <c:pt idx="4">
                  <c:v>Śmiały</c:v>
                </c:pt>
                <c:pt idx="5">
                  <c:v>Krzywousty</c:v>
                </c:pt>
                <c:pt idx="6">
                  <c:v>Wygnabiec</c:v>
                </c:pt>
                <c:pt idx="7">
                  <c:v>Kędzierzawy</c:v>
                </c:pt>
                <c:pt idx="8">
                  <c:v>Stary</c:v>
                </c:pt>
                <c:pt idx="9">
                  <c:v>Sprawiedliwy</c:v>
                </c:pt>
                <c:pt idx="10">
                  <c:v>Wysoki</c:v>
                </c:pt>
                <c:pt idx="11">
                  <c:v>Brodaty</c:v>
                </c:pt>
                <c:pt idx="12">
                  <c:v>Pobożny</c:v>
                </c:pt>
                <c:pt idx="13">
                  <c:v>Biały</c:v>
                </c:pt>
                <c:pt idx="14">
                  <c:v>Wstydliwy</c:v>
                </c:pt>
                <c:pt idx="15">
                  <c:v>Probus</c:v>
                </c:pt>
                <c:pt idx="16">
                  <c:v>Drugi</c:v>
                </c:pt>
                <c:pt idx="17">
                  <c:v>Drugi</c:v>
                </c:pt>
                <c:pt idx="18">
                  <c:v>Trzeci</c:v>
                </c:pt>
                <c:pt idx="19">
                  <c:v>Probus</c:v>
                </c:pt>
                <c:pt idx="20">
                  <c:v>Łokietek</c:v>
                </c:pt>
                <c:pt idx="21">
                  <c:v>Wielki</c:v>
                </c:pt>
                <c:pt idx="22">
                  <c:v>Węgierski</c:v>
                </c:pt>
              </c:strCache>
            </c:strRef>
          </c:cat>
          <c:val>
            <c:numRef>
              <c:f>'16'!$I$8:$I$30</c:f>
              <c:numCache>
                <c:formatCode>0%</c:formatCode>
                <c:ptCount val="23"/>
                <c:pt idx="0">
                  <c:v>2.7087801330964719E-2</c:v>
                </c:pt>
                <c:pt idx="1">
                  <c:v>2.8073598851283563E-2</c:v>
                </c:pt>
                <c:pt idx="2">
                  <c:v>5.706764356654364E-2</c:v>
                </c:pt>
                <c:pt idx="3">
                  <c:v>2.9639277265907607E-2</c:v>
                </c:pt>
                <c:pt idx="4">
                  <c:v>7.1564665924173668E-2</c:v>
                </c:pt>
                <c:pt idx="5">
                  <c:v>3.2074777021989458E-2</c:v>
                </c:pt>
                <c:pt idx="6">
                  <c:v>3.2422705558572573E-2</c:v>
                </c:pt>
                <c:pt idx="7">
                  <c:v>7.3884189501394484E-2</c:v>
                </c:pt>
                <c:pt idx="8">
                  <c:v>3.3205544765884595E-2</c:v>
                </c:pt>
                <c:pt idx="9">
                  <c:v>3.3205544765884595E-2</c:v>
                </c:pt>
                <c:pt idx="10">
                  <c:v>0.14404977771232386</c:v>
                </c:pt>
                <c:pt idx="11">
                  <c:v>3.3872407794335577E-2</c:v>
                </c:pt>
                <c:pt idx="12">
                  <c:v>3.5061163627661235E-2</c:v>
                </c:pt>
                <c:pt idx="13">
                  <c:v>3.4655247001647599E-2</c:v>
                </c:pt>
                <c:pt idx="14">
                  <c:v>3.5901990924403784E-2</c:v>
                </c:pt>
                <c:pt idx="15">
                  <c:v>3.6481871818708982E-2</c:v>
                </c:pt>
                <c:pt idx="16">
                  <c:v>3.671382417643107E-2</c:v>
                </c:pt>
                <c:pt idx="17">
                  <c:v>3.6771812265861584E-2</c:v>
                </c:pt>
                <c:pt idx="18">
                  <c:v>3.6916782489437881E-2</c:v>
                </c:pt>
                <c:pt idx="19">
                  <c:v>3.6481871818708982E-2</c:v>
                </c:pt>
                <c:pt idx="20">
                  <c:v>3.7728615741465174E-2</c:v>
                </c:pt>
                <c:pt idx="21">
                  <c:v>3.8221514501624587E-2</c:v>
                </c:pt>
                <c:pt idx="22">
                  <c:v>3.8917371574790832E-2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8F5-801D-BFC8762F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24656"/>
        <c:axId val="459176816"/>
      </c:barChart>
      <c:catAx>
        <c:axId val="4592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176816"/>
        <c:crosses val="autoZero"/>
        <c:auto val="1"/>
        <c:lblAlgn val="ctr"/>
        <c:lblOffset val="100"/>
        <c:noMultiLvlLbl val="0"/>
      </c:catAx>
      <c:valAx>
        <c:axId val="459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2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elementów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'17'!$B$6:$B$18</c:f>
              <c:strCache>
                <c:ptCount val="13"/>
                <c:pt idx="0">
                  <c:v>pamięć RAM</c:v>
                </c:pt>
                <c:pt idx="1">
                  <c:v>procesor</c:v>
                </c:pt>
                <c:pt idx="2">
                  <c:v>płyta główna</c:v>
                </c:pt>
                <c:pt idx="3">
                  <c:v>dysk twardy</c:v>
                </c:pt>
                <c:pt idx="4">
                  <c:v>CD ROM</c:v>
                </c:pt>
                <c:pt idx="5">
                  <c:v>DVD</c:v>
                </c:pt>
                <c:pt idx="6">
                  <c:v>obudowa</c:v>
                </c:pt>
                <c:pt idx="7">
                  <c:v>złączka</c:v>
                </c:pt>
                <c:pt idx="8">
                  <c:v>wkręt</c:v>
                </c:pt>
                <c:pt idx="9">
                  <c:v>podkładki</c:v>
                </c:pt>
                <c:pt idx="10">
                  <c:v>kabel /m</c:v>
                </c:pt>
                <c:pt idx="11">
                  <c:v>monitor</c:v>
                </c:pt>
                <c:pt idx="12">
                  <c:v>drukarka</c:v>
                </c:pt>
              </c:strCache>
            </c:strRef>
          </c:cat>
          <c:val>
            <c:numRef>
              <c:f>'17'!$G$6:$G$18</c:f>
              <c:numCache>
                <c:formatCode>0%</c:formatCode>
                <c:ptCount val="13"/>
                <c:pt idx="0">
                  <c:v>0.30548198982582392</c:v>
                </c:pt>
                <c:pt idx="1">
                  <c:v>0.1123095550830235</c:v>
                </c:pt>
                <c:pt idx="2">
                  <c:v>4.5351667957335202E-2</c:v>
                </c:pt>
                <c:pt idx="3">
                  <c:v>0.16472068078843446</c:v>
                </c:pt>
                <c:pt idx="4">
                  <c:v>3.6366903550693323E-2</c:v>
                </c:pt>
                <c:pt idx="5">
                  <c:v>3.486944281625301E-2</c:v>
                </c:pt>
                <c:pt idx="6">
                  <c:v>2.6740370257862738E-2</c:v>
                </c:pt>
                <c:pt idx="7">
                  <c:v>2.567075544754823E-4</c:v>
                </c:pt>
                <c:pt idx="8">
                  <c:v>2.0964450282164387E-4</c:v>
                </c:pt>
                <c:pt idx="9">
                  <c:v>1.3691069572025723E-3</c:v>
                </c:pt>
                <c:pt idx="10">
                  <c:v>8.9847644066418809E-3</c:v>
                </c:pt>
                <c:pt idx="11">
                  <c:v>0.16536244967462316</c:v>
                </c:pt>
                <c:pt idx="12">
                  <c:v>9.7976716624809071E-2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9-4863-A53C-3CD31F1A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'17'!$B$6:$B$18</c:f>
              <c:strCache>
                <c:ptCount val="13"/>
                <c:pt idx="0">
                  <c:v>pamięć RAM</c:v>
                </c:pt>
                <c:pt idx="1">
                  <c:v>procesor</c:v>
                </c:pt>
                <c:pt idx="2">
                  <c:v>płyta główna</c:v>
                </c:pt>
                <c:pt idx="3">
                  <c:v>dysk twardy</c:v>
                </c:pt>
                <c:pt idx="4">
                  <c:v>CD ROM</c:v>
                </c:pt>
                <c:pt idx="5">
                  <c:v>DVD</c:v>
                </c:pt>
                <c:pt idx="6">
                  <c:v>obudowa</c:v>
                </c:pt>
                <c:pt idx="7">
                  <c:v>złączka</c:v>
                </c:pt>
                <c:pt idx="8">
                  <c:v>wkręt</c:v>
                </c:pt>
                <c:pt idx="9">
                  <c:v>podkładki</c:v>
                </c:pt>
                <c:pt idx="10">
                  <c:v>kabel /m</c:v>
                </c:pt>
                <c:pt idx="11">
                  <c:v>monitor</c:v>
                </c:pt>
                <c:pt idx="12">
                  <c:v>drukarka</c:v>
                </c:pt>
              </c:strCache>
            </c:strRef>
          </c:cat>
          <c:val>
            <c:numRef>
              <c:f>'17'!$C$6:$C$18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14</c:v>
                </c:pt>
                <c:pt idx="9">
                  <c:v>32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A-4792-9E89-D6F92A83DC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'17'!$B$6:$B$18</c:f>
              <c:strCache>
                <c:ptCount val="13"/>
                <c:pt idx="0">
                  <c:v>pamięć RAM</c:v>
                </c:pt>
                <c:pt idx="1">
                  <c:v>procesor</c:v>
                </c:pt>
                <c:pt idx="2">
                  <c:v>płyta główna</c:v>
                </c:pt>
                <c:pt idx="3">
                  <c:v>dysk twardy</c:v>
                </c:pt>
                <c:pt idx="4">
                  <c:v>CD ROM</c:v>
                </c:pt>
                <c:pt idx="5">
                  <c:v>DVD</c:v>
                </c:pt>
                <c:pt idx="6">
                  <c:v>obudowa</c:v>
                </c:pt>
                <c:pt idx="7">
                  <c:v>złączka</c:v>
                </c:pt>
                <c:pt idx="8">
                  <c:v>wkręt</c:v>
                </c:pt>
                <c:pt idx="9">
                  <c:v>podkładki</c:v>
                </c:pt>
                <c:pt idx="10">
                  <c:v>kabel /m</c:v>
                </c:pt>
                <c:pt idx="11">
                  <c:v>monitor</c:v>
                </c:pt>
                <c:pt idx="12">
                  <c:v>drukarka</c:v>
                </c:pt>
              </c:strCache>
            </c:strRef>
          </c:cat>
          <c:val>
            <c:numRef>
              <c:f>'17'!$F$6:$F$18</c:f>
              <c:numCache>
                <c:formatCode>#\ ##0.00\ "zł"</c:formatCode>
                <c:ptCount val="13"/>
                <c:pt idx="0">
                  <c:v>1213.8</c:v>
                </c:pt>
                <c:pt idx="1">
                  <c:v>446.25</c:v>
                </c:pt>
                <c:pt idx="2">
                  <c:v>180.2</c:v>
                </c:pt>
                <c:pt idx="3">
                  <c:v>654.5</c:v>
                </c:pt>
                <c:pt idx="4">
                  <c:v>144.5</c:v>
                </c:pt>
                <c:pt idx="5">
                  <c:v>138.55000000000001</c:v>
                </c:pt>
                <c:pt idx="6">
                  <c:v>106.25</c:v>
                </c:pt>
                <c:pt idx="7">
                  <c:v>1.02</c:v>
                </c:pt>
                <c:pt idx="8">
                  <c:v>0.83300000000000007</c:v>
                </c:pt>
                <c:pt idx="9">
                  <c:v>5.44</c:v>
                </c:pt>
                <c:pt idx="10">
                  <c:v>35.700000000000003</c:v>
                </c:pt>
                <c:pt idx="11">
                  <c:v>657.05</c:v>
                </c:pt>
                <c:pt idx="12">
                  <c:v>389.3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A-4792-9E89-D6F92A83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01776"/>
        <c:axId val="459235888"/>
      </c:barChart>
      <c:catAx>
        <c:axId val="4592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235888"/>
        <c:crosses val="autoZero"/>
        <c:auto val="1"/>
        <c:lblAlgn val="ctr"/>
        <c:lblOffset val="100"/>
        <c:noMultiLvlLbl val="0"/>
      </c:catAx>
      <c:valAx>
        <c:axId val="459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2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</a:t>
            </a:r>
            <a:r>
              <a:rPr lang="pl-PL" baseline="0"/>
              <a:t> KSIĄZEK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'18'!$B$6:$B$11</c:f>
              <c:strCache>
                <c:ptCount val="6"/>
                <c:pt idx="0">
                  <c:v>J. POLSKI</c:v>
                </c:pt>
                <c:pt idx="1">
                  <c:v>J. ANGIELSKI</c:v>
                </c:pt>
                <c:pt idx="2">
                  <c:v>MATEMATYKA</c:v>
                </c:pt>
                <c:pt idx="3">
                  <c:v>FIZYKA</c:v>
                </c:pt>
                <c:pt idx="4">
                  <c:v>CHEMIA</c:v>
                </c:pt>
                <c:pt idx="5">
                  <c:v>HISTORIA</c:v>
                </c:pt>
              </c:strCache>
            </c:strRef>
          </c:cat>
          <c:val>
            <c:numRef>
              <c:f>'18'!$D$6:$D$11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8-45F5-A39B-85E76815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83472"/>
        <c:axId val="459190960"/>
      </c:barChart>
      <c:catAx>
        <c:axId val="4591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190960"/>
        <c:crosses val="autoZero"/>
        <c:auto val="1"/>
        <c:lblAlgn val="ctr"/>
        <c:lblOffset val="100"/>
        <c:noMultiLvlLbl val="0"/>
      </c:catAx>
      <c:valAx>
        <c:axId val="45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1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9525</xdr:rowOff>
    </xdr:from>
    <xdr:to>
      <xdr:col>11</xdr:col>
      <xdr:colOff>180975</xdr:colOff>
      <xdr:row>9</xdr:row>
      <xdr:rowOff>142875</xdr:rowOff>
    </xdr:to>
    <xdr:sp macro="" textlink="">
      <xdr:nvSpPr>
        <xdr:cNvPr id="2" name="Tekst 1">
          <a:extLst>
            <a:ext uri="{FF2B5EF4-FFF2-40B4-BE49-F238E27FC236}">
              <a16:creationId xmlns:a16="http://schemas.microsoft.com/office/drawing/2014/main" id="{08F13996-3BE7-4E64-809C-E62FF90C0B61}"/>
            </a:ext>
          </a:extLst>
        </xdr:cNvPr>
        <xdr:cNvSpPr txBox="1">
          <a:spLocks noChangeArrowheads="1"/>
        </xdr:cNvSpPr>
      </xdr:nvSpPr>
      <xdr:spPr bwMode="auto">
        <a:xfrm>
          <a:off x="5572125" y="200025"/>
          <a:ext cx="2962275" cy="17907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Oblicz 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potrącenia 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za czerwiec za dni nieobecno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ś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ci. Kwota potracenia zale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y od liczby dni chorobowych. Jeśli pracownik chorowa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do 3 dni wówczas potracenie wynosi 100% kwoty jak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ą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mog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zarobi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ć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w czasie nieobecno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ś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ci. Jeśli pracownik chorowa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wi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ę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cej ni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3 dni to potr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ą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ca si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ę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mu tylko 20% kwoty  kt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ó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r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ą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m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ó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g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zarobi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ć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podczas absencji.</a:t>
          </a:r>
          <a:endParaRPr lang="pl-PL" sz="12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200" b="0" i="0" strike="noStrike">
              <a:solidFill>
                <a:srgbClr val="000000"/>
              </a:solidFill>
              <a:latin typeface="Arial CE"/>
            </a:rPr>
            <a:t>Zastosuj funkcję JEŻELI().</a:t>
          </a:r>
          <a:endParaRPr lang="en-CA" sz="12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13</xdr:row>
      <xdr:rowOff>133350</xdr:rowOff>
    </xdr:from>
    <xdr:to>
      <xdr:col>4</xdr:col>
      <xdr:colOff>1095375</xdr:colOff>
      <xdr:row>20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27FE39E-E94F-4C48-AEBE-96C424BCE480}"/>
            </a:ext>
          </a:extLst>
        </xdr:cNvPr>
        <xdr:cNvSpPr txBox="1">
          <a:spLocks noChangeArrowheads="1"/>
        </xdr:cNvSpPr>
      </xdr:nvSpPr>
      <xdr:spPr bwMode="auto">
        <a:xfrm>
          <a:off x="685800" y="2628900"/>
          <a:ext cx="5572125" cy="13144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400" b="0" i="0" strike="noStrike">
              <a:solidFill>
                <a:srgbClr val="000000"/>
              </a:solidFill>
              <a:latin typeface="Arial CE"/>
            </a:rPr>
            <a:t>Treść zadania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  - sformatuj tabelę tak, aby była bardziej czytelna,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  - wstaw formułę, która obliczy wartość książek dla całej klasy przy założeniu, że ilość uczniów może się zmieniać,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  - utwórz wykres z cenami książek,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  - oblicz średnią cenę książki.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  <xdr:twoCellAnchor>
    <xdr:from>
      <xdr:col>6</xdr:col>
      <xdr:colOff>9525</xdr:colOff>
      <xdr:row>2</xdr:row>
      <xdr:rowOff>42862</xdr:rowOff>
    </xdr:from>
    <xdr:to>
      <xdr:col>13</xdr:col>
      <xdr:colOff>314325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353BAD5-7915-46B4-90E1-258F86DB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1247774</xdr:colOff>
      <xdr:row>24</xdr:row>
      <xdr:rowOff>47625</xdr:rowOff>
    </xdr:from>
    <xdr:to>
      <xdr:col>7</xdr:col>
      <xdr:colOff>742949</xdr:colOff>
      <xdr:row>31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3B61E9-D640-415B-9577-68304B8B20E5}"/>
            </a:ext>
          </a:extLst>
        </xdr:cNvPr>
        <xdr:cNvSpPr txBox="1">
          <a:spLocks noChangeArrowheads="1"/>
        </xdr:cNvSpPr>
      </xdr:nvSpPr>
      <xdr:spPr bwMode="auto">
        <a:xfrm>
          <a:off x="6829424" y="4943475"/>
          <a:ext cx="3781425" cy="14573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400" b="0" i="0" strike="noStrike">
              <a:solidFill>
                <a:srgbClr val="000000"/>
              </a:solidFill>
              <a:latin typeface="Arial CE"/>
            </a:rPr>
            <a:t>Treść zadania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   - sformatuj fakturę tak, aby była bardziej czytelna,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  <a:ea typeface="+mn-ea"/>
              <a:cs typeface="+mn-cs"/>
            </a:rPr>
            <a:t>   - w tabeli wstaw i skopiuj formuły które wyliczą wszystkie pozycje tabeli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  <a:ea typeface="+mn-ea"/>
              <a:cs typeface="+mn-cs"/>
            </a:rPr>
            <a:t>- zastosuj upust jeżeli</a:t>
          </a:r>
          <a:r>
            <a:rPr lang="pl-PL" sz="1000" b="0" i="0" strike="noStrike" baseline="0">
              <a:solidFill>
                <a:srgbClr val="000000"/>
              </a:solidFill>
              <a:latin typeface="Arial CE"/>
              <a:ea typeface="+mn-ea"/>
              <a:cs typeface="+mn-cs"/>
            </a:rPr>
            <a:t> wartość netto &gt;20 i ilość &gt;2</a:t>
          </a:r>
          <a:endParaRPr lang="pl-PL" sz="1000" b="0" i="0" strike="noStrike">
            <a:solidFill>
              <a:srgbClr val="000000"/>
            </a:solidFill>
            <a:latin typeface="Arial CE"/>
            <a:ea typeface="+mn-ea"/>
            <a:cs typeface="+mn-cs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  <a:ea typeface="+mn-ea"/>
              <a:cs typeface="+mn-cs"/>
            </a:rPr>
            <a:t>   - %VAT może ulec zmianie (zastosuj adres bezwzględny</a:t>
          </a:r>
          <a:r>
            <a:rPr lang="pl-PL" sz="1000" b="0" i="0" strike="noStrike">
              <a:solidFill>
                <a:srgbClr val="000000"/>
              </a:solidFill>
              <a:latin typeface="Arial CE"/>
            </a:rPr>
            <a:t>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0</xdr:rowOff>
    </xdr:from>
    <xdr:to>
      <xdr:col>13</xdr:col>
      <xdr:colOff>304800</xdr:colOff>
      <xdr:row>11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C4DB17A-F755-4948-9A2C-16D3F4E54FC1}"/>
            </a:ext>
          </a:extLst>
        </xdr:cNvPr>
        <xdr:cNvSpPr txBox="1">
          <a:spLocks noChangeArrowheads="1"/>
        </xdr:cNvSpPr>
      </xdr:nvSpPr>
      <xdr:spPr bwMode="auto">
        <a:xfrm>
          <a:off x="4200525" y="1552575"/>
          <a:ext cx="4029075" cy="1666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Zadanie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1. Komórki C8,D8 i E8 wypełnij złotym kolorem.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2. Zakres komórek C9:C22 wypełnij kolorem pastelowobłękitnym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3. Wypełnij kolejnymi numerami kolumnę "LP" - używając wypełnienia seriami danych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4. Wypełnij kolejnymi datami kolumnę "DATA" - używając wypełnienia seriami danych.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5. Oblicz średnią temperaturę używając funkcji ŚREDNIA.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15</xdr:row>
      <xdr:rowOff>95250</xdr:rowOff>
    </xdr:from>
    <xdr:to>
      <xdr:col>6</xdr:col>
      <xdr:colOff>638175</xdr:colOff>
      <xdr:row>18</xdr:row>
      <xdr:rowOff>85725</xdr:rowOff>
    </xdr:to>
    <xdr:sp macro="" textlink="">
      <xdr:nvSpPr>
        <xdr:cNvPr id="2" name="Tekst 4">
          <a:extLst>
            <a:ext uri="{FF2B5EF4-FFF2-40B4-BE49-F238E27FC236}">
              <a16:creationId xmlns:a16="http://schemas.microsoft.com/office/drawing/2014/main" id="{D108ED7B-A02D-43ED-9384-4C38D07DCCCA}"/>
            </a:ext>
          </a:extLst>
        </xdr:cNvPr>
        <xdr:cNvSpPr txBox="1">
          <a:spLocks noChangeArrowheads="1"/>
        </xdr:cNvSpPr>
      </xdr:nvSpPr>
      <xdr:spPr bwMode="auto">
        <a:xfrm>
          <a:off x="1162050" y="2524125"/>
          <a:ext cx="4124325" cy="4762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Przelicz złotowki na waluty. Zastosuj adresowanie mieszane.</a:t>
          </a:r>
        </a:p>
        <a:p>
          <a:pPr algn="l" rtl="0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Zastosuj zapis walutowy odpowiedni do danej waluty.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18</xdr:row>
      <xdr:rowOff>67235</xdr:rowOff>
    </xdr:from>
    <xdr:to>
      <xdr:col>22</xdr:col>
      <xdr:colOff>179293</xdr:colOff>
      <xdr:row>25</xdr:row>
      <xdr:rowOff>123825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0FDE3C-6530-4A43-8ACE-406657F4AC18}"/>
            </a:ext>
          </a:extLst>
        </xdr:cNvPr>
        <xdr:cNvSpPr>
          <a:spLocks noChangeArrowheads="1"/>
        </xdr:cNvSpPr>
      </xdr:nvSpPr>
      <xdr:spPr bwMode="auto">
        <a:xfrm>
          <a:off x="981074" y="3953435"/>
          <a:ext cx="5341844" cy="1228165"/>
        </a:xfrm>
        <a:prstGeom prst="flowChartProcess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1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Oblicz op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ła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ty za pobyt dzieci w przedszkolu w podanym mi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esiącu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.</a:t>
          </a:r>
        </a:p>
        <a:p>
          <a:pPr algn="l" rtl="1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Oplata sklada sie z dw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ó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ch cz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ę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sci: stal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j i op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aty za obiady.</a:t>
          </a:r>
        </a:p>
        <a:p>
          <a:pPr algn="l" rtl="1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Oplata za obiady r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ó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wna si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ę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iloczynowi liczby dni pobytu w przedszkolu i stawki 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ywieniowej. Op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ata stala mo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e by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ć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pe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łn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a lub ze zni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ka.</a:t>
          </a:r>
        </a:p>
        <a:p>
          <a:pPr algn="l" rtl="1">
            <a:defRPr sz="1000"/>
          </a:pPr>
          <a:endParaRPr lang="en-CA" sz="1200" b="0" i="0" strike="noStrike">
            <a:solidFill>
              <a:srgbClr val="000000"/>
            </a:solidFill>
            <a:latin typeface="Arial CE"/>
          </a:endParaRPr>
        </a:p>
        <a:p>
          <a:pPr algn="l" rtl="1">
            <a:defRPr sz="1000"/>
          </a:pPr>
          <a:r>
            <a:rPr lang="en-CA" sz="1200" b="0" i="0" strike="noStrike">
              <a:solidFill>
                <a:srgbClr val="000000"/>
              </a:solidFill>
              <a:latin typeface="Arial CE"/>
            </a:rPr>
            <a:t>Oblicz ponadto najwy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sz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, najni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ż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sz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ą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i 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śr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edni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ą 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op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ła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t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ę</a:t>
          </a:r>
          <a:r>
            <a:rPr lang="en-CA" sz="1200" b="0" i="0" strike="noStrike">
              <a:solidFill>
                <a:srgbClr val="000000"/>
              </a:solidFill>
              <a:latin typeface="Arial CE"/>
            </a:rPr>
            <a:t> (kolumna AC)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 </a:t>
          </a:r>
        </a:p>
        <a:p>
          <a:pPr algn="l" rtl="1">
            <a:defRPr sz="1000"/>
          </a:pPr>
          <a:endParaRPr lang="pl-PL" sz="1200" b="0" i="0" strike="noStrike">
            <a:solidFill>
              <a:srgbClr val="000000"/>
            </a:solidFill>
            <a:latin typeface="Arial CE"/>
          </a:endParaRPr>
        </a:p>
        <a:p>
          <a:pPr algn="l" rtl="1">
            <a:defRPr sz="1000"/>
          </a:pPr>
          <a:r>
            <a:rPr lang="pl-PL" sz="1200" b="0" i="0" strike="noStrike">
              <a:solidFill>
                <a:srgbClr val="000000"/>
              </a:solidFill>
              <a:latin typeface="Arial CE"/>
            </a:rPr>
            <a:t>Sformatuj w taki sposób, aby cała tabela mieściła</a:t>
          </a:r>
          <a:r>
            <a:rPr lang="pl-PL" sz="1200" b="0" i="0" strike="noStrike" baseline="0">
              <a:solidFill>
                <a:srgbClr val="000000"/>
              </a:solidFill>
              <a:latin typeface="Arial CE"/>
            </a:rPr>
            <a:t> się na jednym ekranie i wydruk znajdował się na jednej stronie A4</a:t>
          </a:r>
          <a:endParaRPr lang="en-CA" sz="1200" b="0" i="0" strike="noStrike">
            <a:solidFill>
              <a:srgbClr val="000000"/>
            </a:solidFill>
            <a:latin typeface="Arial CE"/>
          </a:endParaRPr>
        </a:p>
        <a:p>
          <a:pPr algn="l" rtl="1">
            <a:defRPr sz="1000"/>
          </a:pPr>
          <a:endParaRPr lang="en-CA" sz="12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123825</xdr:rowOff>
    </xdr:from>
    <xdr:to>
      <xdr:col>11</xdr:col>
      <xdr:colOff>171450</xdr:colOff>
      <xdr:row>10</xdr:row>
      <xdr:rowOff>85725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59B04EC-FCE6-4320-8551-1941A90F909B}"/>
            </a:ext>
          </a:extLst>
        </xdr:cNvPr>
        <xdr:cNvSpPr txBox="1">
          <a:spLocks noChangeArrowheads="1"/>
        </xdr:cNvSpPr>
      </xdr:nvSpPr>
      <xdr:spPr bwMode="auto">
        <a:xfrm>
          <a:off x="5048250" y="2209800"/>
          <a:ext cx="2962275" cy="109537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Treść zadania</a:t>
          </a: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  - poniżej wstaw formuły z funkcjami, które wyliczą potrzebne wielkości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- wykonaj wykres średnich ocen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- posortuj dane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  <xdr:twoCellAnchor>
    <xdr:from>
      <xdr:col>6</xdr:col>
      <xdr:colOff>133350</xdr:colOff>
      <xdr:row>11</xdr:row>
      <xdr:rowOff>52387</xdr:rowOff>
    </xdr:from>
    <xdr:to>
      <xdr:col>13</xdr:col>
      <xdr:colOff>438150</xdr:colOff>
      <xdr:row>25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EFFEF8A-328D-44E9-B640-19A37E9D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4</xdr:row>
      <xdr:rowOff>571500</xdr:rowOff>
    </xdr:from>
    <xdr:to>
      <xdr:col>15</xdr:col>
      <xdr:colOff>504825</xdr:colOff>
      <xdr:row>6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429930F-98BF-47EA-A418-A0366F90B4DC}"/>
            </a:ext>
          </a:extLst>
        </xdr:cNvPr>
        <xdr:cNvSpPr txBox="1">
          <a:spLocks noChangeArrowheads="1"/>
        </xdr:cNvSpPr>
      </xdr:nvSpPr>
      <xdr:spPr bwMode="auto">
        <a:xfrm>
          <a:off x="10553700" y="1809750"/>
          <a:ext cx="2686050" cy="48577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Wypełnij formułami żółte komórki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16</xdr:row>
      <xdr:rowOff>152400</xdr:rowOff>
    </xdr:from>
    <xdr:to>
      <xdr:col>7</xdr:col>
      <xdr:colOff>47625</xdr:colOff>
      <xdr:row>24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F743D96-72AD-4880-B1BC-2E02A0F0CB1B}"/>
            </a:ext>
          </a:extLst>
        </xdr:cNvPr>
        <xdr:cNvSpPr txBox="1">
          <a:spLocks noChangeArrowheads="1"/>
        </xdr:cNvSpPr>
      </xdr:nvSpPr>
      <xdr:spPr bwMode="auto">
        <a:xfrm>
          <a:off x="1076325" y="3429000"/>
          <a:ext cx="5172075" cy="14954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pl-PL" sz="16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Premia = Wynagrodzenie * %Premii,</a:t>
          </a:r>
        </a:p>
        <a:p>
          <a:pPr algn="l" rtl="0">
            <a:defRPr sz="1000"/>
          </a:pPr>
          <a:r>
            <a:rPr lang="pl-PL" sz="16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Podatek = (Wynagrodzenie + Premia) * %Podatku,</a:t>
          </a:r>
        </a:p>
        <a:p>
          <a:pPr algn="l" rtl="0">
            <a:defRPr sz="1000"/>
          </a:pPr>
          <a:r>
            <a:rPr lang="pl-PL" sz="16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Składka na FS = Wynagrodzenie * %Składki na FS,</a:t>
          </a:r>
        </a:p>
        <a:p>
          <a:pPr algn="l" rtl="0">
            <a:defRPr sz="1000"/>
          </a:pPr>
          <a:r>
            <a:rPr lang="pl-PL" sz="16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Do wypłaty = Wynagrodzenie + Premia - Podatek - Składka na FOZ - Składka na FS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27</xdr:row>
      <xdr:rowOff>57150</xdr:rowOff>
    </xdr:from>
    <xdr:to>
      <xdr:col>6</xdr:col>
      <xdr:colOff>133350</xdr:colOff>
      <xdr:row>34</xdr:row>
      <xdr:rowOff>95250</xdr:rowOff>
    </xdr:to>
    <xdr:sp macro="" textlink="">
      <xdr:nvSpPr>
        <xdr:cNvPr id="2" name="Tekst 1">
          <a:extLst>
            <a:ext uri="{FF2B5EF4-FFF2-40B4-BE49-F238E27FC236}">
              <a16:creationId xmlns:a16="http://schemas.microsoft.com/office/drawing/2014/main" id="{532741A8-CE6A-4E2B-AD9D-80E3F8AE5212}"/>
            </a:ext>
          </a:extLst>
        </xdr:cNvPr>
        <xdr:cNvSpPr txBox="1">
          <a:spLocks noChangeArrowheads="1"/>
        </xdr:cNvSpPr>
      </xdr:nvSpPr>
      <xdr:spPr bwMode="auto">
        <a:xfrm>
          <a:off x="447675" y="5543550"/>
          <a:ext cx="4067175" cy="1438275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pl-PL" sz="18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Treść zadania</a:t>
          </a:r>
          <a:endParaRPr lang="pl-PL" sz="12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Sporządzić w poniższej tabelce listę płac. Lista płac ma pięć elementów:  kwotę brutto, podatek dochodowy, premia (wszyscy są pracowici i otrzymują premię), składka na Pracowniczą Kasę Zapomogowo-Pożyczkową i wynagrodzenie netto.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161924</xdr:rowOff>
    </xdr:from>
    <xdr:to>
      <xdr:col>16</xdr:col>
      <xdr:colOff>561974</xdr:colOff>
      <xdr:row>10</xdr:row>
      <xdr:rowOff>152399</xdr:rowOff>
    </xdr:to>
    <xdr:sp macro="" textlink="">
      <xdr:nvSpPr>
        <xdr:cNvPr id="2" name="Tekst 1">
          <a:extLst>
            <a:ext uri="{FF2B5EF4-FFF2-40B4-BE49-F238E27FC236}">
              <a16:creationId xmlns:a16="http://schemas.microsoft.com/office/drawing/2014/main" id="{F50CC33D-B01A-4248-A2EE-D966AAC0A8C2}"/>
            </a:ext>
          </a:extLst>
        </xdr:cNvPr>
        <xdr:cNvSpPr txBox="1">
          <a:spLocks noChangeArrowheads="1"/>
        </xdr:cNvSpPr>
      </xdr:nvSpPr>
      <xdr:spPr bwMode="auto">
        <a:xfrm>
          <a:off x="6381749" y="161924"/>
          <a:ext cx="4638675" cy="2047875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pl-PL" sz="18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Treść zadania</a:t>
          </a:r>
          <a:endParaRPr lang="pl-PL" sz="12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Sporządzić w poniższej tabelce listę płac.  Podatek policzyć od płacy i od premii.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Podsumować kolumny.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Utworzyć słupkowy wykres "Płacy zasadniczej" dla każdego pracownika.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Obliczyć udział procentowy każdego pracownika w sumie wynagrodzenia Netto.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MS Sans Serif"/>
            </a:rPr>
            <a:t>Utworzyć wykres "Udział %" dla każdego pracownika.</a:t>
          </a:r>
        </a:p>
        <a:p>
          <a:pPr algn="l" rtl="0">
            <a:defRPr sz="1000"/>
          </a:pPr>
          <a:endParaRPr lang="pl-PL" sz="12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>
    <xdr:from>
      <xdr:col>10</xdr:col>
      <xdr:colOff>0</xdr:colOff>
      <xdr:row>12</xdr:row>
      <xdr:rowOff>14287</xdr:rowOff>
    </xdr:from>
    <xdr:to>
      <xdr:col>17</xdr:col>
      <xdr:colOff>304800</xdr:colOff>
      <xdr:row>25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43BA69-85A0-4E2E-B428-9AF3C99BB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152400</xdr:rowOff>
    </xdr:from>
    <xdr:to>
      <xdr:col>14</xdr:col>
      <xdr:colOff>28575</xdr:colOff>
      <xdr:row>16</xdr:row>
      <xdr:rowOff>114300</xdr:rowOff>
    </xdr:to>
    <xdr:sp macro="" textlink="">
      <xdr:nvSpPr>
        <xdr:cNvPr id="2" name="Tekst 3">
          <a:extLst>
            <a:ext uri="{FF2B5EF4-FFF2-40B4-BE49-F238E27FC236}">
              <a16:creationId xmlns:a16="http://schemas.microsoft.com/office/drawing/2014/main" id="{56C769AB-410B-4A14-8C4B-15F07E2C060E}"/>
            </a:ext>
          </a:extLst>
        </xdr:cNvPr>
        <xdr:cNvSpPr txBox="1">
          <a:spLocks noChangeArrowheads="1"/>
        </xdr:cNvSpPr>
      </xdr:nvSpPr>
      <xdr:spPr bwMode="auto">
        <a:xfrm>
          <a:off x="8477250" y="1609725"/>
          <a:ext cx="4200525" cy="2162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pl-PL" sz="1400" b="0" i="0" strike="noStrike">
              <a:solidFill>
                <a:srgbClr val="000000"/>
              </a:solidFill>
              <a:latin typeface="Arial CE"/>
            </a:rPr>
            <a:t>Treść zadania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1.</a:t>
          </a:r>
          <a:r>
            <a:rPr lang="pl-PL" sz="1000" b="0" i="0" strike="noStrike">
              <a:solidFill>
                <a:srgbClr val="000000"/>
              </a:solidFill>
              <a:latin typeface="Arial CE"/>
            </a:rPr>
            <a:t> Utwórz tabelę, sformatuj poszczególne kolumny, popraw wielkości, które nie są liczbami, napisy w nagłówku pozawijaj.</a:t>
          </a:r>
        </a:p>
        <a:p>
          <a:pPr algn="l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2.</a:t>
          </a:r>
          <a:r>
            <a:rPr lang="pl-PL" sz="1000" b="0" i="0" strike="noStrike">
              <a:solidFill>
                <a:srgbClr val="000000"/>
              </a:solidFill>
              <a:latin typeface="Arial CE"/>
            </a:rPr>
            <a:t> Wstaw odpowiednie formuły, tak aby tabela dokonywała automatycznych przeliczeń po zmianie ceny lub ilości zakupu (może być bez obniżki ceny).</a:t>
          </a:r>
        </a:p>
        <a:p>
          <a:pPr algn="l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3.</a:t>
          </a:r>
          <a:r>
            <a:rPr lang="pl-PL" sz="1200" b="0" i="0" strike="noStrike">
              <a:solidFill>
                <a:srgbClr val="000000"/>
              </a:solidFill>
              <a:latin typeface="Arial CE"/>
            </a:rPr>
            <a:t> </a:t>
          </a:r>
          <a:r>
            <a:rPr lang="pl-PL" sz="1000" b="0" i="0" strike="noStrike">
              <a:solidFill>
                <a:srgbClr val="000000"/>
              </a:solidFill>
              <a:latin typeface="Arial CE"/>
            </a:rPr>
            <a:t>Sporządź wykres ilości i ceny zakupionych elementów.</a:t>
          </a:r>
        </a:p>
        <a:p>
          <a:pPr algn="l" rtl="0">
            <a:defRPr sz="1000"/>
          </a:pPr>
          <a:r>
            <a:rPr lang="pl-PL" sz="1200" b="1" i="0" strike="noStrike">
              <a:solidFill>
                <a:srgbClr val="000000"/>
              </a:solidFill>
              <a:latin typeface="Arial CE"/>
            </a:rPr>
            <a:t>4.</a:t>
          </a:r>
          <a:r>
            <a:rPr lang="pl-PL" sz="1000" b="0" i="0" strike="noStrike">
              <a:solidFill>
                <a:srgbClr val="000000"/>
              </a:solidFill>
              <a:latin typeface="Arial CE"/>
            </a:rPr>
            <a:t> Sporządź wykres najlepiej ilustrujący udział wartości poszczególnych elementów w całym wydatku.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  <xdr:twoCellAnchor>
    <xdr:from>
      <xdr:col>4</xdr:col>
      <xdr:colOff>9525</xdr:colOff>
      <xdr:row>20</xdr:row>
      <xdr:rowOff>14287</xdr:rowOff>
    </xdr:from>
    <xdr:to>
      <xdr:col>10</xdr:col>
      <xdr:colOff>66675</xdr:colOff>
      <xdr:row>34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C4187F0-A825-4E90-87E8-9F4B931B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14287</xdr:rowOff>
    </xdr:from>
    <xdr:to>
      <xdr:col>3</xdr:col>
      <xdr:colOff>1533525</xdr:colOff>
      <xdr:row>34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6DCBC7-571A-42DB-A526-151F78CA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9851E-F14B-48E5-B685-386F5BBC3084}" name="Tabela33" displayName="Tabela33" ref="A3:C27" totalsRowShown="0" tableBorderDxfId="31">
  <autoFilter ref="A3:C27" xr:uid="{55A9851E-F14B-48E5-B685-386F5BBC3084}"/>
  <sortState xmlns:xlrd2="http://schemas.microsoft.com/office/spreadsheetml/2017/richdata2" ref="A4:C27">
    <sortCondition ref="A3:A27"/>
  </sortState>
  <tableColumns count="3">
    <tableColumn id="1" xr3:uid="{A73005AE-5FF0-4794-B7CC-79148AEFF109}" name="KLASA"/>
    <tableColumn id="2" xr3:uid="{0B0F1BCC-451F-44F6-8699-587DC21AD1F4}" name="ILOŚĆ UCZNIÓW"/>
    <tableColumn id="3" xr3:uid="{71865FCA-2304-473E-9CD0-B3CD3FCDA416}" name="ŚREDNIA KLAS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2F3A0-C337-4298-A8DA-7E85ED8C3AA4}" name="Tabela7" displayName="Tabela7" ref="B5:G19" totalsRowShown="0" headerRowDxfId="28" dataDxfId="27">
  <autoFilter ref="B5:G19" xr:uid="{A9E2F3A0-C337-4298-A8DA-7E85ED8C3AA4}"/>
  <tableColumns count="6">
    <tableColumn id="1" xr3:uid="{D4F2C637-121D-4D7A-BA78-C840154BA8F7}" name="Nazwa elementu" dataDxfId="26"/>
    <tableColumn id="2" xr3:uid="{51DB9AE3-9B07-4DD8-BC59-E2102E873EAB}" name="Ilość zakupionych sztuk" dataDxfId="25"/>
    <tableColumn id="3" xr3:uid="{54F80C67-1976-483D-9102-5996B532633A}" name="Cena bez obniżki" dataDxfId="24"/>
    <tableColumn id="4" xr3:uid="{A9BA737A-3ABC-4A54-99F4-E5E4921D64FF}" name="Cena elementu po obniżce" dataDxfId="23">
      <calculatedColumnFormula>Tabela7[[#This Row],[Cena bez obniżki]]*$F$3</calculatedColumnFormula>
    </tableColumn>
    <tableColumn id="5" xr3:uid="{0F27F078-C889-472E-9F1B-208429F54FBF}" name="Wartość zakupu" dataDxfId="22">
      <calculatedColumnFormula>Tabela7[[#This Row],[Cena elementu po obniżce]]*Tabela7[[#This Row],[Ilość zakupionych sztuk]]</calculatedColumnFormula>
    </tableColumn>
    <tableColumn id="6" xr3:uid="{A340D0E7-A99F-4BF4-9676-3AB443BD3AA3}" name="Udział pozycji w wydatku" dataDxfId="21" dataCellStyle="Procentowy">
      <calculatedColumnFormula>Tabela7[[#This Row],[Wartość zakupu]]/$F$19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054B70-DC99-4808-9E4C-D8739ECC6446}" name="Tabela9" displayName="Tabela9" ref="A5:E13" totalsRowCount="1" headerRowDxfId="30" dataDxfId="29">
  <autoFilter ref="A5:E12" xr:uid="{F6054B70-DC99-4808-9E4C-D8739ECC6446}"/>
  <tableColumns count="5">
    <tableColumn id="1" xr3:uid="{0117B16A-5B61-486E-9571-84E1ADF94672}" name="LP" dataDxfId="20" totalsRowDxfId="15"/>
    <tableColumn id="2" xr3:uid="{65842ADC-70FD-4BE2-9F36-413831F88B3D}" name="TYTUŁ" dataDxfId="19" totalsRowDxfId="14"/>
    <tableColumn id="3" xr3:uid="{A55B2542-D833-4A41-AFB1-C8EF125167CF}" name="Kolumna1" totalsRowLabel="ŚREDNIA CENA" dataDxfId="18" totalsRowDxfId="13"/>
    <tableColumn id="4" xr3:uid="{C9AAE192-2F09-4D44-BEFE-6440DF44D4F2}" name="CENA KSIĄŻKI" totalsRowFunction="custom" dataDxfId="17" totalsRowDxfId="12" totalsRowCellStyle="Walutowy 2 4">
      <totalsRowFormula>AVERAGE(D6:D11)</totalsRowFormula>
    </tableColumn>
    <tableColumn id="5" xr3:uid="{45F61605-A3D8-46DA-B31A-136BDB36F52C}" name="WARTOŚĆ DLA CAŁEJ KLASY" totalsRowFunction="custom" dataDxfId="16" totalsRowDxfId="11">
      <calculatedColumnFormula>Tabela9[[#This Row],[CENA KSIĄŻKI]]*$E$3</calculatedColumnFormula>
      <totalsRowFormula>AVERAGE(E6:E11)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DE7D3-DE49-4308-8F35-1FC01A96ABDE}" name="Tabela4" displayName="Tabela4" ref="A8:H19" totalsRowShown="0" headerRowDxfId="1" tableBorderDxfId="10">
  <autoFilter ref="A8:H19" xr:uid="{BA5DE7D3-DE49-4308-8F35-1FC01A96ABDE}">
    <filterColumn colId="1">
      <filters blank="1">
        <filter val="długopis"/>
        <filter val="ekierka"/>
        <filter val="farby"/>
        <filter val="gumka"/>
        <filter val="kredki"/>
        <filter val="linijka"/>
        <filter val="pióro"/>
        <filter val="zeszyt A4"/>
        <filter val="zeszyt B5"/>
      </filters>
    </filterColumn>
  </autoFilter>
  <tableColumns count="8">
    <tableColumn id="1" xr3:uid="{5832E405-2EAB-459C-AA8C-3FC883BCBC60}" name="Lp." dataDxfId="9"/>
    <tableColumn id="2" xr3:uid="{6C4B8401-0865-4B06-A298-376B9B5C18D3}" name="Nazwa towaru" dataDxfId="8"/>
    <tableColumn id="3" xr3:uid="{8721B90B-BE95-4917-AB7B-EDE11FAB26D5}" name="cena netto" dataDxfId="7"/>
    <tableColumn id="4" xr3:uid="{16CEDD8C-0AF4-4862-912A-6F0A2B7AD588}" name="ilość sztuk" dataDxfId="6"/>
    <tableColumn id="5" xr3:uid="{77EF6F2E-E52F-45EF-879E-405CB1CFF2FD}" name="Wartość netto" dataDxfId="5" dataCellStyle="Walutowy 2 4"/>
    <tableColumn id="6" xr3:uid="{3E1F0FDF-E6B2-44B9-8EDD-7D4AA3C6FFFE}" name="Wartość z upustem" dataDxfId="4" dataCellStyle="Walutowy 2 4"/>
    <tableColumn id="7" xr3:uid="{23C7BCE1-A8D7-48D8-B3FF-D34552CCE376}" name="kwota VAT" dataDxfId="3" dataCellStyle="Walutowy 2 4"/>
    <tableColumn id="8" xr3:uid="{D75F5C68-C53D-48FB-B661-7EA383A3AAC0}" name="Wartość brut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31A8-CEF7-447C-AFA9-BCE50CA0E59D}">
  <dimension ref="A1:M17"/>
  <sheetViews>
    <sheetView tabSelected="1" workbookViewId="0">
      <selection activeCell="L9" sqref="L9"/>
    </sheetView>
  </sheetViews>
  <sheetFormatPr defaultRowHeight="15" x14ac:dyDescent="0.25"/>
  <cols>
    <col min="1" max="8" width="11.140625" customWidth="1"/>
    <col min="9" max="9" width="13.140625" customWidth="1"/>
    <col min="10" max="10" width="11.140625" customWidth="1"/>
    <col min="13" max="13" width="10.140625" bestFit="1" customWidth="1"/>
  </cols>
  <sheetData>
    <row r="1" spans="1:13" x14ac:dyDescent="0.25">
      <c r="A1" s="4" t="s">
        <v>8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9" t="s">
        <v>9</v>
      </c>
      <c r="B2" s="9"/>
      <c r="C2" s="9"/>
      <c r="D2" s="9"/>
      <c r="E2" s="9"/>
      <c r="F2" s="9"/>
      <c r="G2" s="9"/>
      <c r="H2" s="9"/>
      <c r="I2" s="9"/>
      <c r="J2" s="9"/>
    </row>
    <row r="3" spans="1:13" x14ac:dyDescent="0.25">
      <c r="A3" s="9" t="s">
        <v>10</v>
      </c>
      <c r="B3" s="9"/>
      <c r="C3" s="9"/>
      <c r="D3" s="9"/>
      <c r="E3" s="9"/>
      <c r="F3" s="9"/>
      <c r="G3" s="9"/>
      <c r="H3" s="9"/>
      <c r="I3" s="9"/>
      <c r="J3" s="9"/>
    </row>
    <row r="4" spans="1:13" x14ac:dyDescent="0.25">
      <c r="A4" s="9" t="s">
        <v>11</v>
      </c>
      <c r="B4" s="9"/>
      <c r="C4" s="9"/>
      <c r="D4" s="9"/>
      <c r="E4" s="9"/>
      <c r="F4" s="9"/>
      <c r="G4" s="9"/>
      <c r="H4" s="9"/>
      <c r="I4" s="9"/>
      <c r="J4" s="9"/>
      <c r="M4" s="214">
        <v>45391</v>
      </c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  <c r="J5" s="9"/>
      <c r="L5" s="213"/>
      <c r="M5" s="213">
        <v>2E-3</v>
      </c>
    </row>
    <row r="6" spans="1:13" ht="42.75" x14ac:dyDescent="0.25">
      <c r="A6" s="10" t="s">
        <v>12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10" t="s">
        <v>20</v>
      </c>
      <c r="J6" s="10" t="s">
        <v>21</v>
      </c>
    </row>
    <row r="7" spans="1:13" x14ac:dyDescent="0.25">
      <c r="A7" s="11" t="s">
        <v>22</v>
      </c>
      <c r="B7" s="12" t="s">
        <v>445</v>
      </c>
      <c r="C7" s="13">
        <v>44946</v>
      </c>
      <c r="D7" s="13">
        <v>44958</v>
      </c>
      <c r="E7" s="14">
        <f>$M$4-D7</f>
        <v>433</v>
      </c>
      <c r="F7" s="15">
        <v>100456</v>
      </c>
      <c r="G7" s="15">
        <f>IF(AND(E7&lt;=30,E7&gt;0),F7,0)</f>
        <v>0</v>
      </c>
      <c r="H7" s="15">
        <f t="shared" ref="H7:H16" si="0">IF(AND(E7&lt;=60,E7&gt;30),F7,0)</f>
        <v>0</v>
      </c>
      <c r="I7" s="15">
        <f>IF(AND(E7&gt;60,E7&gt;30),F7,0)</f>
        <v>100456</v>
      </c>
      <c r="J7" s="15">
        <f>IF(E7&lt;=0,0,0.002*E7*F7)</f>
        <v>86994.895999999993</v>
      </c>
    </row>
    <row r="8" spans="1:13" x14ac:dyDescent="0.25">
      <c r="A8" s="11" t="s">
        <v>23</v>
      </c>
      <c r="B8" s="12" t="s">
        <v>446</v>
      </c>
      <c r="C8" s="13">
        <v>44978</v>
      </c>
      <c r="D8" s="13">
        <v>44995</v>
      </c>
      <c r="E8" s="14">
        <f t="shared" ref="E8:E16" si="1">$M$4-D8</f>
        <v>396</v>
      </c>
      <c r="F8" s="15">
        <v>234123</v>
      </c>
      <c r="G8" s="15">
        <f t="shared" ref="G8:G16" si="2">IF(E8&lt;=30,F8,0)</f>
        <v>0</v>
      </c>
      <c r="H8" s="15">
        <f t="shared" si="0"/>
        <v>0</v>
      </c>
      <c r="I8" s="15">
        <f t="shared" ref="I8:I16" si="3">IF(AND(E8&gt;60,E8&gt;30),F8,0)</f>
        <v>234123</v>
      </c>
      <c r="J8" s="15">
        <f t="shared" ref="J8:J16" si="4">IF(E8&lt;=0,0,0.002*E8*F8)</f>
        <v>185425.416</v>
      </c>
    </row>
    <row r="9" spans="1:13" x14ac:dyDescent="0.25">
      <c r="A9" s="11" t="s">
        <v>24</v>
      </c>
      <c r="B9" s="16" t="s">
        <v>447</v>
      </c>
      <c r="C9" s="13">
        <v>44982</v>
      </c>
      <c r="D9" s="13">
        <v>44990</v>
      </c>
      <c r="E9" s="14">
        <f t="shared" si="1"/>
        <v>401</v>
      </c>
      <c r="F9" s="15">
        <v>34000</v>
      </c>
      <c r="G9" s="15">
        <f t="shared" si="2"/>
        <v>0</v>
      </c>
      <c r="H9" s="15">
        <f t="shared" si="0"/>
        <v>0</v>
      </c>
      <c r="I9" s="15">
        <f t="shared" si="3"/>
        <v>34000</v>
      </c>
      <c r="J9" s="15">
        <f t="shared" si="4"/>
        <v>27268</v>
      </c>
    </row>
    <row r="10" spans="1:13" x14ac:dyDescent="0.25">
      <c r="A10" s="11" t="s">
        <v>25</v>
      </c>
      <c r="B10" s="16" t="s">
        <v>448</v>
      </c>
      <c r="C10" s="13">
        <v>44982</v>
      </c>
      <c r="D10" s="13">
        <v>44986</v>
      </c>
      <c r="E10" s="14">
        <f t="shared" si="1"/>
        <v>405</v>
      </c>
      <c r="F10" s="15">
        <v>176890</v>
      </c>
      <c r="G10" s="15">
        <f t="shared" si="2"/>
        <v>0</v>
      </c>
      <c r="H10" s="15">
        <f t="shared" si="0"/>
        <v>0</v>
      </c>
      <c r="I10" s="15">
        <f t="shared" si="3"/>
        <v>176890</v>
      </c>
      <c r="J10" s="15">
        <f t="shared" si="4"/>
        <v>143280.90000000002</v>
      </c>
    </row>
    <row r="11" spans="1:13" x14ac:dyDescent="0.25">
      <c r="A11" s="11" t="s">
        <v>26</v>
      </c>
      <c r="B11" s="16" t="s">
        <v>449</v>
      </c>
      <c r="C11" s="13">
        <v>44987</v>
      </c>
      <c r="D11" s="13">
        <v>44995</v>
      </c>
      <c r="E11" s="14">
        <f t="shared" si="1"/>
        <v>396</v>
      </c>
      <c r="F11" s="15">
        <v>123987</v>
      </c>
      <c r="G11" s="15">
        <f t="shared" si="2"/>
        <v>0</v>
      </c>
      <c r="H11" s="15">
        <f t="shared" si="0"/>
        <v>0</v>
      </c>
      <c r="I11" s="15">
        <f t="shared" si="3"/>
        <v>123987</v>
      </c>
      <c r="J11" s="15">
        <f t="shared" si="4"/>
        <v>98197.703999999998</v>
      </c>
    </row>
    <row r="12" spans="1:13" x14ac:dyDescent="0.25">
      <c r="A12" s="11" t="s">
        <v>27</v>
      </c>
      <c r="B12" s="16" t="s">
        <v>450</v>
      </c>
      <c r="C12" s="13">
        <v>44990</v>
      </c>
      <c r="D12" s="13">
        <v>45010</v>
      </c>
      <c r="E12" s="14">
        <f t="shared" si="1"/>
        <v>381</v>
      </c>
      <c r="F12" s="15">
        <v>76588</v>
      </c>
      <c r="G12" s="15">
        <f t="shared" si="2"/>
        <v>0</v>
      </c>
      <c r="H12" s="15">
        <f t="shared" si="0"/>
        <v>0</v>
      </c>
      <c r="I12" s="15">
        <f t="shared" si="3"/>
        <v>76588</v>
      </c>
      <c r="J12" s="15">
        <f t="shared" si="4"/>
        <v>58360.056000000004</v>
      </c>
    </row>
    <row r="13" spans="1:13" x14ac:dyDescent="0.25">
      <c r="A13" s="11" t="s">
        <v>22</v>
      </c>
      <c r="B13" s="16" t="s">
        <v>451</v>
      </c>
      <c r="C13" s="13">
        <v>45272</v>
      </c>
      <c r="D13" s="13">
        <v>45293</v>
      </c>
      <c r="E13" s="14">
        <f t="shared" si="1"/>
        <v>98</v>
      </c>
      <c r="F13" s="15">
        <v>99888</v>
      </c>
      <c r="G13" s="15">
        <f t="shared" si="2"/>
        <v>0</v>
      </c>
      <c r="H13" s="15">
        <f t="shared" si="0"/>
        <v>0</v>
      </c>
      <c r="I13" s="15">
        <f t="shared" si="3"/>
        <v>99888</v>
      </c>
      <c r="J13" s="15">
        <f t="shared" si="4"/>
        <v>19578.048000000003</v>
      </c>
    </row>
    <row r="14" spans="1:13" x14ac:dyDescent="0.25">
      <c r="A14" s="11" t="s">
        <v>28</v>
      </c>
      <c r="B14" s="16" t="s">
        <v>452</v>
      </c>
      <c r="C14" s="13">
        <v>45276</v>
      </c>
      <c r="D14" s="13">
        <v>45294</v>
      </c>
      <c r="E14" s="14">
        <f t="shared" si="1"/>
        <v>97</v>
      </c>
      <c r="F14" s="15">
        <v>45000</v>
      </c>
      <c r="G14" s="15">
        <f t="shared" si="2"/>
        <v>0</v>
      </c>
      <c r="H14" s="15">
        <f t="shared" si="0"/>
        <v>0</v>
      </c>
      <c r="I14" s="15">
        <f t="shared" si="3"/>
        <v>45000</v>
      </c>
      <c r="J14" s="15">
        <f t="shared" si="4"/>
        <v>8730</v>
      </c>
    </row>
    <row r="15" spans="1:13" x14ac:dyDescent="0.25">
      <c r="A15" s="11" t="s">
        <v>29</v>
      </c>
      <c r="B15" s="16" t="s">
        <v>453</v>
      </c>
      <c r="C15" s="13">
        <v>44918</v>
      </c>
      <c r="D15" s="13">
        <v>44989</v>
      </c>
      <c r="E15" s="14">
        <f t="shared" si="1"/>
        <v>402</v>
      </c>
      <c r="F15" s="15">
        <v>76500</v>
      </c>
      <c r="G15" s="15">
        <f t="shared" si="2"/>
        <v>0</v>
      </c>
      <c r="H15" s="15">
        <f t="shared" si="0"/>
        <v>0</v>
      </c>
      <c r="I15" s="15">
        <f t="shared" si="3"/>
        <v>76500</v>
      </c>
      <c r="J15" s="15">
        <f t="shared" si="4"/>
        <v>61506.000000000007</v>
      </c>
    </row>
    <row r="16" spans="1:13" x14ac:dyDescent="0.25">
      <c r="A16" s="11" t="s">
        <v>23</v>
      </c>
      <c r="B16" s="16" t="s">
        <v>454</v>
      </c>
      <c r="C16" s="13">
        <v>44919</v>
      </c>
      <c r="D16" s="13">
        <v>44962</v>
      </c>
      <c r="E16" s="14">
        <f t="shared" si="1"/>
        <v>429</v>
      </c>
      <c r="F16" s="15">
        <v>150275</v>
      </c>
      <c r="G16" s="15">
        <f t="shared" si="2"/>
        <v>0</v>
      </c>
      <c r="H16" s="15">
        <f t="shared" si="0"/>
        <v>0</v>
      </c>
      <c r="I16" s="15">
        <f t="shared" si="3"/>
        <v>150275</v>
      </c>
      <c r="J16" s="15">
        <f t="shared" si="4"/>
        <v>128935.95</v>
      </c>
    </row>
    <row r="17" spans="1:10" x14ac:dyDescent="0.25">
      <c r="A17" s="9"/>
      <c r="B17" s="9"/>
      <c r="C17" s="9"/>
      <c r="D17" s="17"/>
      <c r="E17" s="17"/>
      <c r="F17" s="18" t="s">
        <v>30</v>
      </c>
      <c r="G17" s="19">
        <f>SUM(G7:G16)</f>
        <v>0</v>
      </c>
      <c r="H17" s="19">
        <f>SUM(H7:H16)</f>
        <v>0</v>
      </c>
      <c r="I17" s="19">
        <f>SUM(I7:I16)</f>
        <v>1117707</v>
      </c>
      <c r="J17" s="19">
        <f>SUM(J7:J16)</f>
        <v>818276.96999999986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B87F-65AD-41E0-894D-9D856B1EA7F1}">
  <dimension ref="B5"/>
  <sheetViews>
    <sheetView workbookViewId="0">
      <selection activeCell="B6" sqref="B6"/>
    </sheetView>
  </sheetViews>
  <sheetFormatPr defaultRowHeight="15" x14ac:dyDescent="0.25"/>
  <sheetData>
    <row r="5" spans="2:2" x14ac:dyDescent="0.25">
      <c r="B5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0D11-6FF7-499D-9747-0B6F4339910E}">
  <dimension ref="A1:I25"/>
  <sheetViews>
    <sheetView workbookViewId="0">
      <selection activeCell="A19" sqref="A19:C20"/>
    </sheetView>
  </sheetViews>
  <sheetFormatPr defaultRowHeight="15" x14ac:dyDescent="0.25"/>
  <cols>
    <col min="1" max="1" width="49.85546875" customWidth="1"/>
    <col min="4" max="4" width="12.42578125" customWidth="1"/>
    <col min="5" max="5" width="12.7109375" customWidth="1"/>
    <col min="6" max="6" width="12" customWidth="1"/>
    <col min="8" max="8" width="11" customWidth="1"/>
    <col min="9" max="9" width="16.140625" customWidth="1"/>
  </cols>
  <sheetData>
    <row r="1" spans="1:9" ht="18.75" thickBot="1" x14ac:dyDescent="0.3">
      <c r="A1" s="87"/>
      <c r="B1" s="88" t="s">
        <v>262</v>
      </c>
      <c r="C1" s="89"/>
      <c r="D1" s="89"/>
      <c r="E1" s="90"/>
      <c r="F1" s="266" t="s">
        <v>263</v>
      </c>
      <c r="G1" s="266"/>
      <c r="H1" s="267">
        <f ca="1">TODAY()</f>
        <v>45391</v>
      </c>
      <c r="I1" s="267"/>
    </row>
    <row r="2" spans="1:9" ht="48" thickBot="1" x14ac:dyDescent="0.3">
      <c r="A2" s="289" t="s">
        <v>264</v>
      </c>
      <c r="B2" s="290"/>
      <c r="C2" s="91" t="s">
        <v>265</v>
      </c>
      <c r="D2" s="193" t="s">
        <v>266</v>
      </c>
      <c r="E2" s="194"/>
      <c r="F2" s="264"/>
      <c r="G2" s="264"/>
      <c r="H2" s="264"/>
      <c r="I2" s="265"/>
    </row>
    <row r="3" spans="1:9" x14ac:dyDescent="0.25">
      <c r="A3" s="291"/>
      <c r="B3" s="292"/>
      <c r="C3" s="92" t="s">
        <v>267</v>
      </c>
      <c r="D3" s="93"/>
      <c r="E3" s="295" t="s">
        <v>268</v>
      </c>
      <c r="F3" s="296"/>
      <c r="G3" s="296"/>
      <c r="H3" s="296"/>
      <c r="I3" s="297"/>
    </row>
    <row r="4" spans="1:9" ht="15.75" thickBot="1" x14ac:dyDescent="0.3">
      <c r="A4" s="293"/>
      <c r="B4" s="294"/>
      <c r="C4" s="95" t="s">
        <v>269</v>
      </c>
      <c r="D4" s="96"/>
      <c r="E4" s="298" t="s">
        <v>270</v>
      </c>
      <c r="F4" s="299"/>
      <c r="G4" s="299"/>
      <c r="H4" s="299"/>
      <c r="I4" s="300"/>
    </row>
    <row r="5" spans="1:9" ht="45" x14ac:dyDescent="0.25">
      <c r="A5" s="97" t="s">
        <v>271</v>
      </c>
      <c r="B5" s="97" t="s">
        <v>272</v>
      </c>
      <c r="C5" s="97" t="s">
        <v>273</v>
      </c>
      <c r="D5" s="97" t="s">
        <v>274</v>
      </c>
      <c r="E5" s="97" t="s">
        <v>275</v>
      </c>
      <c r="F5" s="97" t="s">
        <v>276</v>
      </c>
      <c r="G5" s="97" t="s">
        <v>277</v>
      </c>
      <c r="H5" s="97" t="s">
        <v>278</v>
      </c>
      <c r="I5" s="98" t="s">
        <v>279</v>
      </c>
    </row>
    <row r="6" spans="1:9" x14ac:dyDescent="0.25">
      <c r="A6" s="99" t="s">
        <v>280</v>
      </c>
      <c r="B6" s="99"/>
      <c r="C6" s="99" t="s">
        <v>281</v>
      </c>
      <c r="D6" s="100">
        <v>4</v>
      </c>
      <c r="E6" s="101">
        <v>41</v>
      </c>
      <c r="F6" s="102">
        <f>D6*E6</f>
        <v>164</v>
      </c>
      <c r="G6" s="103">
        <v>0.23</v>
      </c>
      <c r="H6" s="102">
        <f>G6*F6</f>
        <v>37.72</v>
      </c>
      <c r="I6" s="104">
        <f>SUM(F6,H6)</f>
        <v>201.72</v>
      </c>
    </row>
    <row r="7" spans="1:9" x14ac:dyDescent="0.25">
      <c r="A7" s="105" t="s">
        <v>282</v>
      </c>
      <c r="B7" s="99"/>
      <c r="C7" s="99" t="s">
        <v>283</v>
      </c>
      <c r="D7" s="106">
        <v>10</v>
      </c>
      <c r="E7" s="101">
        <v>50</v>
      </c>
      <c r="F7" s="102">
        <f t="shared" ref="F7:F9" si="0">D7*E7</f>
        <v>500</v>
      </c>
      <c r="G7" s="103">
        <v>0.23</v>
      </c>
      <c r="H7" s="102">
        <f t="shared" ref="H7:H9" si="1">G7*F7</f>
        <v>115</v>
      </c>
      <c r="I7" s="104">
        <f t="shared" ref="I7:I9" si="2">SUM(F7,H7)</f>
        <v>615</v>
      </c>
    </row>
    <row r="8" spans="1:9" x14ac:dyDescent="0.25">
      <c r="A8" s="99" t="s">
        <v>284</v>
      </c>
      <c r="B8" s="99"/>
      <c r="C8" s="99" t="s">
        <v>285</v>
      </c>
      <c r="D8" s="100">
        <v>2</v>
      </c>
      <c r="E8" s="101">
        <v>70</v>
      </c>
      <c r="F8" s="102">
        <f t="shared" si="0"/>
        <v>140</v>
      </c>
      <c r="G8" s="107" t="s">
        <v>286</v>
      </c>
      <c r="H8" s="268" t="s">
        <v>455</v>
      </c>
      <c r="I8" s="104">
        <f t="shared" si="2"/>
        <v>140</v>
      </c>
    </row>
    <row r="9" spans="1:9" x14ac:dyDescent="0.25">
      <c r="A9" s="99" t="s">
        <v>287</v>
      </c>
      <c r="B9" s="99"/>
      <c r="C9" s="99" t="s">
        <v>288</v>
      </c>
      <c r="D9" s="106">
        <v>5</v>
      </c>
      <c r="E9" s="101">
        <v>5</v>
      </c>
      <c r="F9" s="102">
        <f t="shared" si="0"/>
        <v>25</v>
      </c>
      <c r="G9" s="108">
        <v>7.0000000000000007E-2</v>
      </c>
      <c r="H9" s="102">
        <f t="shared" si="1"/>
        <v>1.7500000000000002</v>
      </c>
      <c r="I9" s="104">
        <f t="shared" si="2"/>
        <v>26.75</v>
      </c>
    </row>
    <row r="10" spans="1:9" x14ac:dyDescent="0.25">
      <c r="A10" s="99"/>
      <c r="B10" s="99"/>
      <c r="C10" s="99"/>
      <c r="D10" s="106"/>
      <c r="E10" s="101"/>
      <c r="F10" s="102"/>
      <c r="G10" s="108"/>
      <c r="H10" s="102"/>
      <c r="I10" s="104"/>
    </row>
    <row r="11" spans="1:9" x14ac:dyDescent="0.25">
      <c r="A11" s="99"/>
      <c r="B11" s="99"/>
      <c r="C11" s="99"/>
      <c r="D11" s="106"/>
      <c r="E11" s="101"/>
      <c r="F11" s="102"/>
      <c r="G11" s="108"/>
      <c r="H11" s="102"/>
      <c r="I11" s="104"/>
    </row>
    <row r="12" spans="1:9" x14ac:dyDescent="0.25">
      <c r="A12" s="99"/>
      <c r="B12" s="99"/>
      <c r="C12" s="99"/>
      <c r="D12" s="106"/>
      <c r="E12" s="101"/>
      <c r="F12" s="102"/>
      <c r="G12" s="108"/>
      <c r="H12" s="102"/>
      <c r="I12" s="104"/>
    </row>
    <row r="13" spans="1:9" x14ac:dyDescent="0.25">
      <c r="A13" s="99"/>
      <c r="B13" s="99"/>
      <c r="C13" s="99"/>
      <c r="D13" s="106"/>
      <c r="E13" s="101"/>
      <c r="F13" s="102"/>
      <c r="G13" s="108"/>
      <c r="H13" s="102"/>
      <c r="I13" s="104"/>
    </row>
    <row r="14" spans="1:9" x14ac:dyDescent="0.25">
      <c r="A14" s="99"/>
      <c r="B14" s="99"/>
      <c r="C14" s="99"/>
      <c r="D14" s="106"/>
      <c r="E14" s="101"/>
      <c r="F14" s="102"/>
      <c r="G14" s="108"/>
      <c r="H14" s="102"/>
      <c r="I14" s="104"/>
    </row>
    <row r="15" spans="1:9" ht="15.75" thickBot="1" x14ac:dyDescent="0.3">
      <c r="A15" s="109"/>
      <c r="B15" s="109"/>
      <c r="C15" s="110"/>
      <c r="D15" s="111"/>
      <c r="E15" s="112"/>
      <c r="F15" s="102"/>
      <c r="G15" s="113"/>
      <c r="H15" s="102"/>
      <c r="I15" s="114"/>
    </row>
    <row r="16" spans="1:9" ht="15.75" thickBot="1" x14ac:dyDescent="0.3">
      <c r="A16" s="115" t="s">
        <v>289</v>
      </c>
      <c r="C16" s="195" t="s">
        <v>290</v>
      </c>
      <c r="D16" s="196"/>
      <c r="E16" s="196"/>
      <c r="F16" s="116">
        <f>SUM(F6:F9)</f>
        <v>829</v>
      </c>
      <c r="G16" s="117"/>
      <c r="H16" s="116">
        <f>SUM(H6:H9)</f>
        <v>154.47</v>
      </c>
      <c r="I16" s="118">
        <f>SUM(I6:I15)</f>
        <v>983.47</v>
      </c>
    </row>
    <row r="17" spans="1:9" ht="18.75" thickBot="1" x14ac:dyDescent="0.3">
      <c r="A17" s="119">
        <f>I16</f>
        <v>983.47</v>
      </c>
      <c r="I17" s="94"/>
    </row>
    <row r="18" spans="1:9" ht="15.75" thickBot="1" x14ac:dyDescent="0.3">
      <c r="A18" s="197"/>
      <c r="B18" s="198"/>
      <c r="C18" s="199"/>
      <c r="E18" t="s">
        <v>291</v>
      </c>
      <c r="I18" s="94"/>
    </row>
    <row r="19" spans="1:9" ht="15.75" thickBot="1" x14ac:dyDescent="0.3">
      <c r="A19" s="269">
        <f>(A17)</f>
        <v>983.47</v>
      </c>
      <c r="B19" s="270"/>
      <c r="C19" s="271"/>
      <c r="E19" s="120" t="s">
        <v>286</v>
      </c>
      <c r="F19" s="121">
        <f>SUMIF($G$6:$G$15,E19,$F$6:$F$15)</f>
        <v>140</v>
      </c>
      <c r="G19" s="122"/>
      <c r="H19" s="121">
        <f>SUMIF($G$6:$G$15,E19,$H$6:$H$15)</f>
        <v>0</v>
      </c>
      <c r="I19" s="123">
        <f>SUMIF($G$6:$G$15,E19,$I$6:$I$15)</f>
        <v>140</v>
      </c>
    </row>
    <row r="20" spans="1:9" ht="15.75" thickBot="1" x14ac:dyDescent="0.3">
      <c r="A20" s="275"/>
      <c r="B20" s="276"/>
      <c r="C20" s="271"/>
      <c r="D20" t="s">
        <v>292</v>
      </c>
      <c r="E20" s="124">
        <v>0.23</v>
      </c>
      <c r="F20" s="121">
        <f t="shared" ref="F20:F23" si="3">SUMIF($G$6:$G$15,E20,$F$6:$F$15)</f>
        <v>664</v>
      </c>
      <c r="G20" s="3"/>
      <c r="H20" s="121">
        <f t="shared" ref="H20:H23" si="4">SUMIF($G$6:$G$15,E20,$H$6:$H$15)</f>
        <v>152.72</v>
      </c>
      <c r="I20" s="123">
        <f t="shared" ref="I20:I23" si="5">SUMIF($G$6:$G$15,E20,$I$6:$I$15)</f>
        <v>816.72</v>
      </c>
    </row>
    <row r="21" spans="1:9" ht="15.75" thickBot="1" x14ac:dyDescent="0.3">
      <c r="A21" s="279" t="s">
        <v>293</v>
      </c>
      <c r="B21" s="280"/>
      <c r="C21" s="280"/>
      <c r="D21" s="281"/>
      <c r="E21" s="272">
        <v>7.0000000000000007E-2</v>
      </c>
      <c r="F21" s="121">
        <f t="shared" si="3"/>
        <v>25</v>
      </c>
      <c r="G21" s="3"/>
      <c r="H21" s="121">
        <f t="shared" si="4"/>
        <v>1.7500000000000002</v>
      </c>
      <c r="I21" s="123">
        <f t="shared" si="5"/>
        <v>26.75</v>
      </c>
    </row>
    <row r="22" spans="1:9" ht="15.75" thickBot="1" x14ac:dyDescent="0.3">
      <c r="A22" s="282"/>
      <c r="B22" s="277"/>
      <c r="C22" s="277"/>
      <c r="D22" s="283"/>
      <c r="E22" s="273">
        <v>0.03</v>
      </c>
      <c r="F22" s="121">
        <f t="shared" si="3"/>
        <v>0</v>
      </c>
      <c r="G22" s="3"/>
      <c r="H22" s="121">
        <f t="shared" si="4"/>
        <v>0</v>
      </c>
      <c r="I22" s="123">
        <f t="shared" si="5"/>
        <v>0</v>
      </c>
    </row>
    <row r="23" spans="1:9" ht="15.75" thickBot="1" x14ac:dyDescent="0.3">
      <c r="A23" s="282"/>
      <c r="B23" s="277"/>
      <c r="C23" s="277"/>
      <c r="D23" s="283"/>
      <c r="E23" s="274">
        <v>0</v>
      </c>
      <c r="F23" s="121">
        <f t="shared" si="3"/>
        <v>0</v>
      </c>
      <c r="G23" s="126"/>
      <c r="H23" s="121">
        <f t="shared" si="4"/>
        <v>0</v>
      </c>
      <c r="I23" s="123">
        <f t="shared" si="5"/>
        <v>0</v>
      </c>
    </row>
    <row r="24" spans="1:9" ht="22.5" customHeight="1" x14ac:dyDescent="0.25">
      <c r="A24" s="284" t="s">
        <v>294</v>
      </c>
      <c r="B24" s="278" t="s">
        <v>295</v>
      </c>
      <c r="C24" s="278"/>
      <c r="D24" s="285"/>
      <c r="I24" s="94"/>
    </row>
    <row r="25" spans="1:9" ht="15.75" thickBot="1" x14ac:dyDescent="0.3">
      <c r="A25" s="286"/>
      <c r="B25" s="287"/>
      <c r="C25" s="287"/>
      <c r="D25" s="288"/>
      <c r="E25" s="86"/>
      <c r="F25" s="86"/>
      <c r="G25" s="86"/>
      <c r="H25" s="86"/>
      <c r="I25" s="125"/>
    </row>
  </sheetData>
  <mergeCells count="13">
    <mergeCell ref="A21:A23"/>
    <mergeCell ref="B21:D23"/>
    <mergeCell ref="F1:G1"/>
    <mergeCell ref="H1:I1"/>
    <mergeCell ref="D2:I2"/>
    <mergeCell ref="C16:E16"/>
    <mergeCell ref="A18:C18"/>
    <mergeCell ref="A19:C20"/>
    <mergeCell ref="A24:A25"/>
    <mergeCell ref="B24:D25"/>
    <mergeCell ref="A2:B4"/>
    <mergeCell ref="E3:I3"/>
    <mergeCell ref="E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C4C8-07FE-4969-BC59-5D57879BA3E9}">
  <dimension ref="A1:I26"/>
  <sheetViews>
    <sheetView workbookViewId="0">
      <selection activeCell="M14" sqref="M14"/>
    </sheetView>
  </sheetViews>
  <sheetFormatPr defaultRowHeight="15" x14ac:dyDescent="0.25"/>
  <cols>
    <col min="1" max="1" width="10.85546875" bestFit="1" customWidth="1"/>
    <col min="2" max="2" width="22.5703125" bestFit="1" customWidth="1"/>
    <col min="3" max="3" width="14.5703125" bestFit="1" customWidth="1"/>
    <col min="4" max="4" width="12.28515625" customWidth="1"/>
    <col min="5" max="5" width="13.85546875" customWidth="1"/>
    <col min="6" max="6" width="15.7109375" bestFit="1" customWidth="1"/>
    <col min="7" max="7" width="14" bestFit="1" customWidth="1"/>
    <col min="8" max="8" width="14" customWidth="1"/>
  </cols>
  <sheetData>
    <row r="1" spans="1:9" ht="16.5" thickBot="1" x14ac:dyDescent="0.3">
      <c r="A1" s="127"/>
      <c r="B1" s="127"/>
      <c r="C1" s="127"/>
      <c r="D1" s="127"/>
      <c r="E1" s="127"/>
      <c r="F1" s="127"/>
      <c r="G1" s="127"/>
      <c r="H1" s="127"/>
      <c r="I1" s="127"/>
    </row>
    <row r="2" spans="1:9" ht="15.75" x14ac:dyDescent="0.25">
      <c r="A2" s="128"/>
      <c r="B2" s="129" t="s">
        <v>296</v>
      </c>
      <c r="C2" s="130">
        <v>0.19</v>
      </c>
      <c r="D2" s="131"/>
      <c r="E2" s="200" t="s">
        <v>297</v>
      </c>
      <c r="F2" s="200"/>
      <c r="G2" s="127"/>
      <c r="H2" s="127"/>
      <c r="I2" s="127"/>
    </row>
    <row r="3" spans="1:9" ht="15.75" x14ac:dyDescent="0.25">
      <c r="A3" s="132"/>
      <c r="B3" s="133" t="s">
        <v>298</v>
      </c>
      <c r="C3" s="134">
        <v>20</v>
      </c>
      <c r="D3" s="131"/>
      <c r="E3" s="200"/>
      <c r="F3" s="200"/>
      <c r="G3" s="127"/>
      <c r="H3" s="127"/>
      <c r="I3" s="127"/>
    </row>
    <row r="4" spans="1:9" ht="15.75" x14ac:dyDescent="0.25">
      <c r="A4" s="132"/>
      <c r="B4" s="133" t="s">
        <v>299</v>
      </c>
      <c r="C4" s="135">
        <v>0.03</v>
      </c>
      <c r="D4" s="131"/>
      <c r="E4" s="131"/>
      <c r="F4" s="131"/>
      <c r="G4" s="127"/>
      <c r="H4" s="127"/>
      <c r="I4" s="127"/>
    </row>
    <row r="5" spans="1:9" ht="16.5" thickBot="1" x14ac:dyDescent="0.3">
      <c r="A5" s="136"/>
      <c r="B5" s="137" t="s">
        <v>300</v>
      </c>
      <c r="C5" s="138">
        <v>0.3</v>
      </c>
      <c r="D5" s="127"/>
      <c r="E5" s="127"/>
      <c r="F5" s="131"/>
      <c r="G5" s="127"/>
      <c r="H5" s="127"/>
      <c r="I5" s="127"/>
    </row>
    <row r="6" spans="1:9" ht="16.5" thickBot="1" x14ac:dyDescent="0.3">
      <c r="A6" s="127"/>
      <c r="B6" s="127"/>
      <c r="C6" s="127"/>
      <c r="D6" s="127"/>
      <c r="E6" s="127"/>
      <c r="F6" s="127"/>
      <c r="G6" s="127"/>
      <c r="H6" s="127"/>
      <c r="I6" s="127"/>
    </row>
    <row r="7" spans="1:9" ht="16.5" thickBot="1" x14ac:dyDescent="0.3">
      <c r="A7" s="302" t="s">
        <v>2</v>
      </c>
      <c r="B7" s="303" t="s">
        <v>1</v>
      </c>
      <c r="C7" s="304" t="s">
        <v>301</v>
      </c>
      <c r="D7" s="304" t="s">
        <v>49</v>
      </c>
      <c r="E7" s="304" t="s">
        <v>47</v>
      </c>
      <c r="F7" s="304" t="s">
        <v>302</v>
      </c>
      <c r="G7" s="304" t="s">
        <v>303</v>
      </c>
      <c r="H7" s="305" t="s">
        <v>304</v>
      </c>
      <c r="I7" s="139"/>
    </row>
    <row r="8" spans="1:9" ht="17.25" thickTop="1" thickBot="1" x14ac:dyDescent="0.3">
      <c r="A8" s="306" t="s">
        <v>305</v>
      </c>
      <c r="B8" s="140" t="s">
        <v>306</v>
      </c>
      <c r="C8" s="141">
        <v>800.5</v>
      </c>
      <c r="D8" s="141">
        <f>C8*$C$5</f>
        <v>240.14999999999998</v>
      </c>
      <c r="E8" s="141">
        <f>(C8+D8)*$C$2</f>
        <v>197.72350000000003</v>
      </c>
      <c r="F8" s="301">
        <f>$C$3</f>
        <v>20</v>
      </c>
      <c r="G8" s="307">
        <f>C8*$C$4</f>
        <v>24.015000000000001</v>
      </c>
      <c r="H8" s="308">
        <f>C8+D8-E8-F8-G8</f>
        <v>798.91150000000005</v>
      </c>
      <c r="I8" s="127"/>
    </row>
    <row r="9" spans="1:9" ht="17.25" thickTop="1" thickBot="1" x14ac:dyDescent="0.3">
      <c r="A9" s="306" t="s">
        <v>307</v>
      </c>
      <c r="B9" s="140" t="s">
        <v>308</v>
      </c>
      <c r="C9" s="141">
        <v>1200</v>
      </c>
      <c r="D9" s="141">
        <f t="shared" ref="D9:D15" si="0">C9*$C$5</f>
        <v>360</v>
      </c>
      <c r="E9" s="141">
        <f t="shared" ref="E9:E15" si="1">(C9+D9)*$C$2</f>
        <v>296.39999999999998</v>
      </c>
      <c r="F9" s="301">
        <f t="shared" ref="F9:F15" si="2">$C$3</f>
        <v>20</v>
      </c>
      <c r="G9" s="307">
        <f t="shared" ref="G9:G15" si="3">C9*$C$4</f>
        <v>36</v>
      </c>
      <c r="H9" s="308">
        <f t="shared" ref="H9:H15" si="4">C9+D9-E9-F9-G9</f>
        <v>1207.5999999999999</v>
      </c>
      <c r="I9" s="127"/>
    </row>
    <row r="10" spans="1:9" ht="17.25" thickTop="1" thickBot="1" x14ac:dyDescent="0.3">
      <c r="A10" s="306" t="s">
        <v>309</v>
      </c>
      <c r="B10" s="140" t="s">
        <v>310</v>
      </c>
      <c r="C10" s="141">
        <v>4500</v>
      </c>
      <c r="D10" s="141">
        <f t="shared" si="0"/>
        <v>1350</v>
      </c>
      <c r="E10" s="141">
        <f t="shared" si="1"/>
        <v>1111.5</v>
      </c>
      <c r="F10" s="301">
        <f t="shared" si="2"/>
        <v>20</v>
      </c>
      <c r="G10" s="307">
        <f t="shared" si="3"/>
        <v>135</v>
      </c>
      <c r="H10" s="308">
        <f t="shared" si="4"/>
        <v>4583.5</v>
      </c>
      <c r="I10" s="127"/>
    </row>
    <row r="11" spans="1:9" ht="17.25" thickTop="1" thickBot="1" x14ac:dyDescent="0.3">
      <c r="A11" s="306" t="s">
        <v>311</v>
      </c>
      <c r="B11" s="140" t="s">
        <v>312</v>
      </c>
      <c r="C11" s="141">
        <v>4500</v>
      </c>
      <c r="D11" s="141">
        <f t="shared" si="0"/>
        <v>1350</v>
      </c>
      <c r="E11" s="141">
        <f t="shared" si="1"/>
        <v>1111.5</v>
      </c>
      <c r="F11" s="301">
        <f t="shared" si="2"/>
        <v>20</v>
      </c>
      <c r="G11" s="307">
        <f t="shared" si="3"/>
        <v>135</v>
      </c>
      <c r="H11" s="308">
        <f t="shared" si="4"/>
        <v>4583.5</v>
      </c>
      <c r="I11" s="127"/>
    </row>
    <row r="12" spans="1:9" ht="17.25" thickTop="1" thickBot="1" x14ac:dyDescent="0.3">
      <c r="A12" s="306" t="s">
        <v>313</v>
      </c>
      <c r="B12" s="140" t="s">
        <v>314</v>
      </c>
      <c r="C12" s="141">
        <v>400</v>
      </c>
      <c r="D12" s="141">
        <f t="shared" si="0"/>
        <v>120</v>
      </c>
      <c r="E12" s="141">
        <f t="shared" si="1"/>
        <v>98.8</v>
      </c>
      <c r="F12" s="301">
        <f t="shared" si="2"/>
        <v>20</v>
      </c>
      <c r="G12" s="307">
        <f t="shared" si="3"/>
        <v>12</v>
      </c>
      <c r="H12" s="308">
        <f t="shared" si="4"/>
        <v>389.2</v>
      </c>
      <c r="I12" s="127"/>
    </row>
    <row r="13" spans="1:9" ht="17.25" thickTop="1" thickBot="1" x14ac:dyDescent="0.3">
      <c r="A13" s="306" t="s">
        <v>5</v>
      </c>
      <c r="B13" s="140" t="s">
        <v>315</v>
      </c>
      <c r="C13" s="141">
        <v>5000</v>
      </c>
      <c r="D13" s="141">
        <f t="shared" si="0"/>
        <v>1500</v>
      </c>
      <c r="E13" s="141">
        <f t="shared" si="1"/>
        <v>1235</v>
      </c>
      <c r="F13" s="301">
        <f t="shared" si="2"/>
        <v>20</v>
      </c>
      <c r="G13" s="307">
        <f t="shared" si="3"/>
        <v>150</v>
      </c>
      <c r="H13" s="308">
        <f t="shared" si="4"/>
        <v>5095</v>
      </c>
      <c r="I13" s="127"/>
    </row>
    <row r="14" spans="1:9" ht="17.25" thickTop="1" thickBot="1" x14ac:dyDescent="0.3">
      <c r="A14" s="306" t="s">
        <v>316</v>
      </c>
      <c r="B14" s="140" t="s">
        <v>317</v>
      </c>
      <c r="C14" s="141">
        <v>4500</v>
      </c>
      <c r="D14" s="141">
        <f t="shared" si="0"/>
        <v>1350</v>
      </c>
      <c r="E14" s="141">
        <f t="shared" si="1"/>
        <v>1111.5</v>
      </c>
      <c r="F14" s="301">
        <f t="shared" si="2"/>
        <v>20</v>
      </c>
      <c r="G14" s="307">
        <f t="shared" si="3"/>
        <v>135</v>
      </c>
      <c r="H14" s="308">
        <f t="shared" si="4"/>
        <v>4583.5</v>
      </c>
      <c r="I14" s="127"/>
    </row>
    <row r="15" spans="1:9" ht="17.25" thickTop="1" thickBot="1" x14ac:dyDescent="0.3">
      <c r="A15" s="309" t="s">
        <v>318</v>
      </c>
      <c r="B15" s="159" t="s">
        <v>319</v>
      </c>
      <c r="C15" s="310">
        <v>1000</v>
      </c>
      <c r="D15" s="310">
        <f t="shared" si="0"/>
        <v>300</v>
      </c>
      <c r="E15" s="310">
        <f t="shared" si="1"/>
        <v>247</v>
      </c>
      <c r="F15" s="311">
        <f t="shared" si="2"/>
        <v>20</v>
      </c>
      <c r="G15" s="312">
        <f t="shared" si="3"/>
        <v>30</v>
      </c>
      <c r="H15" s="313">
        <f t="shared" si="4"/>
        <v>1003</v>
      </c>
      <c r="I15" s="127"/>
    </row>
    <row r="16" spans="1:9" ht="15.75" x14ac:dyDescent="0.25">
      <c r="A16" s="127"/>
      <c r="B16" s="127"/>
      <c r="C16" s="127"/>
      <c r="D16" s="127"/>
      <c r="E16" s="127"/>
      <c r="F16" s="127"/>
      <c r="G16" s="127"/>
      <c r="H16" s="127"/>
      <c r="I16" s="127"/>
    </row>
    <row r="17" spans="1:9" ht="15.75" x14ac:dyDescent="0.25">
      <c r="A17" s="127"/>
      <c r="B17" s="127"/>
      <c r="C17" s="127"/>
      <c r="D17" s="127"/>
      <c r="E17" s="127"/>
      <c r="F17" s="127"/>
      <c r="G17" s="127"/>
      <c r="H17" s="127"/>
      <c r="I17" s="127"/>
    </row>
    <row r="18" spans="1:9" ht="15.75" x14ac:dyDescent="0.25">
      <c r="A18" s="127"/>
      <c r="B18" s="127"/>
      <c r="C18" s="127"/>
      <c r="D18" s="127"/>
      <c r="E18" s="127"/>
      <c r="F18" s="127"/>
      <c r="G18" s="127"/>
      <c r="H18" s="127"/>
      <c r="I18" s="127"/>
    </row>
    <row r="19" spans="1:9" ht="15.75" x14ac:dyDescent="0.25">
      <c r="A19" s="127"/>
      <c r="B19" s="127"/>
      <c r="C19" s="127"/>
      <c r="D19" s="127"/>
      <c r="E19" s="127"/>
      <c r="F19" s="127"/>
      <c r="G19" s="127"/>
      <c r="H19" s="127"/>
      <c r="I19" s="127"/>
    </row>
    <row r="20" spans="1:9" ht="15.75" x14ac:dyDescent="0.25">
      <c r="A20" s="127"/>
      <c r="B20" s="127"/>
      <c r="C20" s="127"/>
      <c r="D20" s="127"/>
      <c r="E20" s="127"/>
      <c r="F20" s="127"/>
      <c r="G20" s="127"/>
      <c r="H20" s="127"/>
      <c r="I20" s="127"/>
    </row>
    <row r="21" spans="1:9" ht="15.75" x14ac:dyDescent="0.25">
      <c r="A21" s="127"/>
      <c r="B21" s="127"/>
      <c r="C21" s="127"/>
      <c r="D21" s="127"/>
      <c r="E21" s="127"/>
      <c r="F21" s="127"/>
      <c r="G21" s="127"/>
      <c r="H21" s="127"/>
      <c r="I21" s="127"/>
    </row>
    <row r="22" spans="1:9" ht="15.75" x14ac:dyDescent="0.25">
      <c r="A22" s="127"/>
      <c r="B22" s="127"/>
      <c r="C22" s="127"/>
      <c r="D22" s="127"/>
      <c r="E22" s="127"/>
      <c r="F22" s="127"/>
      <c r="G22" s="127"/>
      <c r="H22" s="127"/>
      <c r="I22" s="127"/>
    </row>
    <row r="23" spans="1:9" ht="15.75" x14ac:dyDescent="0.25">
      <c r="A23" s="127"/>
      <c r="B23" s="127"/>
      <c r="C23" s="127"/>
      <c r="D23" s="127"/>
      <c r="E23" s="127"/>
      <c r="F23" s="127"/>
      <c r="G23" s="127"/>
      <c r="H23" s="127"/>
      <c r="I23" s="127"/>
    </row>
    <row r="24" spans="1:9" ht="15.75" x14ac:dyDescent="0.25">
      <c r="A24" s="127"/>
      <c r="B24" s="127"/>
      <c r="C24" s="127"/>
      <c r="D24" s="127"/>
      <c r="E24" s="127"/>
      <c r="F24" s="127"/>
      <c r="G24" s="127"/>
      <c r="H24" s="127"/>
      <c r="I24" s="127"/>
    </row>
    <row r="25" spans="1:9" ht="15.75" x14ac:dyDescent="0.25">
      <c r="A25" s="127"/>
      <c r="B25" s="127"/>
      <c r="C25" s="127"/>
      <c r="D25" s="127"/>
      <c r="E25" s="127"/>
      <c r="F25" s="127"/>
      <c r="G25" s="127"/>
      <c r="H25" s="127"/>
      <c r="I25" s="127"/>
    </row>
    <row r="26" spans="1:9" ht="15.75" x14ac:dyDescent="0.25">
      <c r="A26" s="127"/>
      <c r="B26" s="127"/>
      <c r="C26" s="127"/>
      <c r="D26" s="127"/>
      <c r="E26" s="127"/>
      <c r="F26" s="127"/>
      <c r="G26" s="127"/>
      <c r="H26" s="127"/>
      <c r="I26" s="127"/>
    </row>
  </sheetData>
  <mergeCells count="1">
    <mergeCell ref="E2: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855-E557-419B-B1EE-816199D7E7FE}">
  <dimension ref="A1:K36"/>
  <sheetViews>
    <sheetView topLeftCell="A4" workbookViewId="0">
      <selection activeCell="M25" sqref="M25"/>
    </sheetView>
  </sheetViews>
  <sheetFormatPr defaultRowHeight="15" x14ac:dyDescent="0.25"/>
  <cols>
    <col min="1" max="1" width="4.140625" customWidth="1"/>
    <col min="2" max="2" width="11.28515625" bestFit="1" customWidth="1"/>
    <col min="3" max="3" width="15" customWidth="1"/>
    <col min="4" max="4" width="17.7109375" customWidth="1"/>
    <col min="5" max="5" width="23.42578125" customWidth="1"/>
    <col min="6" max="6" width="14.42578125" customWidth="1"/>
    <col min="7" max="7" width="17.140625" bestFit="1" customWidth="1"/>
    <col min="8" max="8" width="10.5703125" customWidth="1"/>
    <col min="9" max="9" width="16.42578125" customWidth="1"/>
    <col min="10" max="10" width="19.85546875" customWidth="1"/>
    <col min="11" max="11" width="21" customWidth="1"/>
  </cols>
  <sheetData>
    <row r="1" spans="1:11" ht="20.25" x14ac:dyDescent="0.3">
      <c r="A1" s="314" t="s">
        <v>320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0.25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20.25" x14ac:dyDescent="0.3">
      <c r="A3" s="148"/>
      <c r="B3" s="314" t="s">
        <v>47</v>
      </c>
      <c r="C3" s="315">
        <v>0.19</v>
      </c>
      <c r="D3" s="148"/>
      <c r="E3" s="314" t="s">
        <v>321</v>
      </c>
      <c r="F3" s="314"/>
      <c r="G3" s="316">
        <v>150</v>
      </c>
      <c r="H3" s="317"/>
      <c r="I3" s="317"/>
      <c r="J3" s="317"/>
      <c r="K3" s="148"/>
    </row>
    <row r="4" spans="1:11" ht="20.25" x14ac:dyDescent="0.3">
      <c r="A4" s="148"/>
      <c r="B4" s="314" t="s">
        <v>49</v>
      </c>
      <c r="C4" s="315">
        <v>0.4</v>
      </c>
      <c r="D4" s="148"/>
      <c r="E4" s="314" t="s">
        <v>322</v>
      </c>
      <c r="F4" s="314"/>
      <c r="G4" s="315">
        <v>0.05</v>
      </c>
      <c r="H4" s="318"/>
      <c r="I4" s="318"/>
      <c r="J4" s="318"/>
      <c r="K4" s="148"/>
    </row>
    <row r="5" spans="1:11" ht="20.25" x14ac:dyDescent="0.3">
      <c r="A5" s="148"/>
      <c r="B5" s="314" t="s">
        <v>323</v>
      </c>
      <c r="C5" s="319">
        <v>55</v>
      </c>
      <c r="D5" s="148"/>
      <c r="E5" s="314" t="s">
        <v>324</v>
      </c>
      <c r="F5" s="314"/>
      <c r="G5" s="320">
        <v>30</v>
      </c>
      <c r="H5" s="321" t="s">
        <v>325</v>
      </c>
      <c r="I5" s="315">
        <v>0.02</v>
      </c>
      <c r="J5" s="148"/>
      <c r="K5" s="148"/>
    </row>
    <row r="6" spans="1:11" ht="21" thickBot="1" x14ac:dyDescent="0.35">
      <c r="A6" s="148"/>
      <c r="B6" s="148"/>
      <c r="C6" s="148"/>
      <c r="D6" s="148"/>
      <c r="E6" s="148"/>
      <c r="F6" s="148"/>
      <c r="G6" s="322"/>
      <c r="H6" s="148"/>
      <c r="I6" s="148"/>
      <c r="J6" s="148"/>
      <c r="K6" s="148"/>
    </row>
    <row r="7" spans="1:11" ht="21" thickBot="1" x14ac:dyDescent="0.3">
      <c r="A7" s="323" t="s">
        <v>326</v>
      </c>
      <c r="B7" s="324" t="s">
        <v>2</v>
      </c>
      <c r="C7" s="325" t="s">
        <v>1</v>
      </c>
      <c r="D7" s="326" t="s">
        <v>327</v>
      </c>
      <c r="E7" s="326" t="s">
        <v>49</v>
      </c>
      <c r="F7" s="326" t="s">
        <v>321</v>
      </c>
      <c r="G7" s="326" t="s">
        <v>47</v>
      </c>
      <c r="H7" s="326" t="s">
        <v>323</v>
      </c>
      <c r="I7" s="326" t="s">
        <v>328</v>
      </c>
      <c r="J7" s="326" t="s">
        <v>329</v>
      </c>
      <c r="K7" s="327" t="s">
        <v>304</v>
      </c>
    </row>
    <row r="8" spans="1:11" ht="21" thickBot="1" x14ac:dyDescent="0.35">
      <c r="A8" s="328">
        <v>1</v>
      </c>
      <c r="B8" s="148" t="s">
        <v>330</v>
      </c>
      <c r="C8" s="148" t="s">
        <v>331</v>
      </c>
      <c r="D8" s="329">
        <v>996</v>
      </c>
      <c r="E8" s="330">
        <f>D8*$C$4</f>
        <v>398.40000000000003</v>
      </c>
      <c r="F8" s="331">
        <f>$G$3</f>
        <v>150</v>
      </c>
      <c r="G8" s="343">
        <f>(D8+E8+F8)*$C$3</f>
        <v>293.43600000000004</v>
      </c>
      <c r="H8" s="332">
        <f>$C$5</f>
        <v>55</v>
      </c>
      <c r="I8" s="330">
        <f>D8*$G$4</f>
        <v>49.800000000000004</v>
      </c>
      <c r="J8" s="337">
        <f>$G$5+D8*$I$5</f>
        <v>49.92</v>
      </c>
      <c r="K8" s="342">
        <f>D8+E8+F8-G8-H8-I8-J8</f>
        <v>1096.2439999999999</v>
      </c>
    </row>
    <row r="9" spans="1:11" ht="21" thickBot="1" x14ac:dyDescent="0.35">
      <c r="A9" s="328">
        <v>2</v>
      </c>
      <c r="B9" s="148" t="s">
        <v>332</v>
      </c>
      <c r="C9" s="148" t="s">
        <v>333</v>
      </c>
      <c r="D9" s="333">
        <v>1025</v>
      </c>
      <c r="E9" s="330">
        <f t="shared" ref="E9:E23" si="0">D9*$C$4</f>
        <v>410</v>
      </c>
      <c r="F9" s="331">
        <f t="shared" ref="F9:F22" si="1">$G$3</f>
        <v>150</v>
      </c>
      <c r="G9" s="343">
        <f t="shared" ref="G9:G23" si="2">(D9+E9+F9)*$C$3</f>
        <v>301.14999999999998</v>
      </c>
      <c r="H9" s="332">
        <f t="shared" ref="H9:H23" si="3">$C$5</f>
        <v>55</v>
      </c>
      <c r="I9" s="330">
        <f t="shared" ref="I9:I23" si="4">D9*$G$4</f>
        <v>51.25</v>
      </c>
      <c r="J9" s="337">
        <f t="shared" ref="J9:J23" si="5">$G$5+D9*$I$5</f>
        <v>50.5</v>
      </c>
      <c r="K9" s="342">
        <f t="shared" ref="K9:K23" si="6">D9+E9+F9-G9-H9-I9-J9</f>
        <v>1127.0999999999999</v>
      </c>
    </row>
    <row r="10" spans="1:11" ht="21" thickBot="1" x14ac:dyDescent="0.35">
      <c r="A10" s="328">
        <v>3</v>
      </c>
      <c r="B10" s="148" t="s">
        <v>330</v>
      </c>
      <c r="C10" s="148" t="s">
        <v>334</v>
      </c>
      <c r="D10" s="333">
        <v>600</v>
      </c>
      <c r="E10" s="330">
        <f t="shared" si="0"/>
        <v>240</v>
      </c>
      <c r="F10" s="331">
        <f t="shared" si="1"/>
        <v>150</v>
      </c>
      <c r="G10" s="343">
        <f t="shared" si="2"/>
        <v>188.1</v>
      </c>
      <c r="H10" s="332">
        <f t="shared" si="3"/>
        <v>55</v>
      </c>
      <c r="I10" s="330">
        <f t="shared" si="4"/>
        <v>30</v>
      </c>
      <c r="J10" s="337">
        <f t="shared" si="5"/>
        <v>42</v>
      </c>
      <c r="K10" s="342">
        <f t="shared" si="6"/>
        <v>674.9</v>
      </c>
    </row>
    <row r="11" spans="1:11" ht="21" thickBot="1" x14ac:dyDescent="0.35">
      <c r="A11" s="328">
        <v>4</v>
      </c>
      <c r="B11" s="148" t="s">
        <v>175</v>
      </c>
      <c r="C11" s="148" t="s">
        <v>335</v>
      </c>
      <c r="D11" s="333">
        <v>1051</v>
      </c>
      <c r="E11" s="330">
        <f t="shared" si="0"/>
        <v>420.40000000000003</v>
      </c>
      <c r="F11" s="331">
        <f t="shared" si="1"/>
        <v>150</v>
      </c>
      <c r="G11" s="343">
        <f t="shared" si="2"/>
        <v>308.06600000000003</v>
      </c>
      <c r="H11" s="332">
        <f t="shared" si="3"/>
        <v>55</v>
      </c>
      <c r="I11" s="330">
        <f t="shared" si="4"/>
        <v>52.550000000000004</v>
      </c>
      <c r="J11" s="337">
        <f t="shared" si="5"/>
        <v>51.019999999999996</v>
      </c>
      <c r="K11" s="342">
        <f t="shared" si="6"/>
        <v>1154.7640000000001</v>
      </c>
    </row>
    <row r="12" spans="1:11" ht="21" thickBot="1" x14ac:dyDescent="0.35">
      <c r="A12" s="328">
        <v>5</v>
      </c>
      <c r="B12" s="148" t="s">
        <v>332</v>
      </c>
      <c r="C12" s="148" t="s">
        <v>336</v>
      </c>
      <c r="D12" s="333">
        <v>2000</v>
      </c>
      <c r="E12" s="330">
        <f t="shared" si="0"/>
        <v>800</v>
      </c>
      <c r="F12" s="331">
        <f t="shared" si="1"/>
        <v>150</v>
      </c>
      <c r="G12" s="343">
        <f t="shared" si="2"/>
        <v>560.5</v>
      </c>
      <c r="H12" s="332">
        <f t="shared" si="3"/>
        <v>55</v>
      </c>
      <c r="I12" s="330">
        <f t="shared" si="4"/>
        <v>100</v>
      </c>
      <c r="J12" s="337">
        <f t="shared" si="5"/>
        <v>70</v>
      </c>
      <c r="K12" s="342">
        <f t="shared" si="6"/>
        <v>2164.5</v>
      </c>
    </row>
    <row r="13" spans="1:11" ht="21" thickBot="1" x14ac:dyDescent="0.35">
      <c r="A13" s="328">
        <v>6</v>
      </c>
      <c r="B13" s="148" t="s">
        <v>337</v>
      </c>
      <c r="C13" s="148" t="s">
        <v>338</v>
      </c>
      <c r="D13" s="333">
        <v>700</v>
      </c>
      <c r="E13" s="330">
        <f t="shared" si="0"/>
        <v>280</v>
      </c>
      <c r="F13" s="331">
        <f t="shared" si="1"/>
        <v>150</v>
      </c>
      <c r="G13" s="343">
        <f t="shared" si="2"/>
        <v>214.7</v>
      </c>
      <c r="H13" s="332">
        <f t="shared" si="3"/>
        <v>55</v>
      </c>
      <c r="I13" s="330">
        <f t="shared" si="4"/>
        <v>35</v>
      </c>
      <c r="J13" s="337">
        <f t="shared" si="5"/>
        <v>44</v>
      </c>
      <c r="K13" s="342">
        <f t="shared" si="6"/>
        <v>781.3</v>
      </c>
    </row>
    <row r="14" spans="1:11" ht="21" thickBot="1" x14ac:dyDescent="0.35">
      <c r="A14" s="328">
        <v>7</v>
      </c>
      <c r="B14" s="148" t="s">
        <v>332</v>
      </c>
      <c r="C14" s="148" t="s">
        <v>339</v>
      </c>
      <c r="D14" s="333">
        <v>1234</v>
      </c>
      <c r="E14" s="330">
        <f t="shared" si="0"/>
        <v>493.6</v>
      </c>
      <c r="F14" s="331">
        <f t="shared" si="1"/>
        <v>150</v>
      </c>
      <c r="G14" s="343">
        <f t="shared" si="2"/>
        <v>356.74399999999997</v>
      </c>
      <c r="H14" s="332">
        <f t="shared" si="3"/>
        <v>55</v>
      </c>
      <c r="I14" s="330">
        <f t="shared" si="4"/>
        <v>61.7</v>
      </c>
      <c r="J14" s="337">
        <f t="shared" si="5"/>
        <v>54.68</v>
      </c>
      <c r="K14" s="342">
        <f t="shared" si="6"/>
        <v>1349.4759999999999</v>
      </c>
    </row>
    <row r="15" spans="1:11" ht="21" thickBot="1" x14ac:dyDescent="0.35">
      <c r="A15" s="328">
        <v>8</v>
      </c>
      <c r="B15" s="148" t="s">
        <v>337</v>
      </c>
      <c r="C15" s="148" t="s">
        <v>340</v>
      </c>
      <c r="D15" s="333">
        <v>1234</v>
      </c>
      <c r="E15" s="330">
        <f t="shared" si="0"/>
        <v>493.6</v>
      </c>
      <c r="F15" s="331">
        <f t="shared" si="1"/>
        <v>150</v>
      </c>
      <c r="G15" s="343">
        <f t="shared" si="2"/>
        <v>356.74399999999997</v>
      </c>
      <c r="H15" s="332">
        <f t="shared" si="3"/>
        <v>55</v>
      </c>
      <c r="I15" s="330">
        <f t="shared" si="4"/>
        <v>61.7</v>
      </c>
      <c r="J15" s="337">
        <f t="shared" si="5"/>
        <v>54.68</v>
      </c>
      <c r="K15" s="342">
        <f t="shared" si="6"/>
        <v>1349.4759999999999</v>
      </c>
    </row>
    <row r="16" spans="1:11" ht="21" thickBot="1" x14ac:dyDescent="0.35">
      <c r="A16" s="328">
        <v>9</v>
      </c>
      <c r="B16" s="148" t="s">
        <v>330</v>
      </c>
      <c r="C16" s="148" t="s">
        <v>341</v>
      </c>
      <c r="D16" s="333">
        <v>500</v>
      </c>
      <c r="E16" s="330">
        <f t="shared" si="0"/>
        <v>200</v>
      </c>
      <c r="F16" s="331">
        <f t="shared" si="1"/>
        <v>150</v>
      </c>
      <c r="G16" s="343">
        <f t="shared" si="2"/>
        <v>161.5</v>
      </c>
      <c r="H16" s="332">
        <f t="shared" si="3"/>
        <v>55</v>
      </c>
      <c r="I16" s="330">
        <f t="shared" si="4"/>
        <v>25</v>
      </c>
      <c r="J16" s="337">
        <f t="shared" si="5"/>
        <v>40</v>
      </c>
      <c r="K16" s="342">
        <f t="shared" si="6"/>
        <v>568.5</v>
      </c>
    </row>
    <row r="17" spans="1:11" ht="21" thickBot="1" x14ac:dyDescent="0.35">
      <c r="A17" s="328">
        <v>10</v>
      </c>
      <c r="B17" s="148" t="s">
        <v>175</v>
      </c>
      <c r="C17" s="148" t="s">
        <v>342</v>
      </c>
      <c r="D17" s="333">
        <v>1157</v>
      </c>
      <c r="E17" s="330">
        <f t="shared" si="0"/>
        <v>462.8</v>
      </c>
      <c r="F17" s="331">
        <f t="shared" si="1"/>
        <v>150</v>
      </c>
      <c r="G17" s="343">
        <f t="shared" si="2"/>
        <v>336.262</v>
      </c>
      <c r="H17" s="332">
        <f t="shared" si="3"/>
        <v>55</v>
      </c>
      <c r="I17" s="330">
        <f t="shared" si="4"/>
        <v>57.85</v>
      </c>
      <c r="J17" s="337">
        <f t="shared" si="5"/>
        <v>53.14</v>
      </c>
      <c r="K17" s="342">
        <f t="shared" si="6"/>
        <v>1267.548</v>
      </c>
    </row>
    <row r="18" spans="1:11" ht="21" thickBot="1" x14ac:dyDescent="0.35">
      <c r="A18" s="328">
        <v>11</v>
      </c>
      <c r="B18" s="148" t="s">
        <v>343</v>
      </c>
      <c r="C18" s="148" t="s">
        <v>344</v>
      </c>
      <c r="D18" s="333">
        <v>1000</v>
      </c>
      <c r="E18" s="330">
        <f t="shared" si="0"/>
        <v>400</v>
      </c>
      <c r="F18" s="331">
        <f t="shared" si="1"/>
        <v>150</v>
      </c>
      <c r="G18" s="343">
        <f t="shared" si="2"/>
        <v>294.5</v>
      </c>
      <c r="H18" s="332">
        <f t="shared" si="3"/>
        <v>55</v>
      </c>
      <c r="I18" s="330">
        <f t="shared" si="4"/>
        <v>50</v>
      </c>
      <c r="J18" s="337">
        <f t="shared" si="5"/>
        <v>50</v>
      </c>
      <c r="K18" s="342">
        <f t="shared" si="6"/>
        <v>1100.5</v>
      </c>
    </row>
    <row r="19" spans="1:11" ht="21" thickBot="1" x14ac:dyDescent="0.35">
      <c r="A19" s="328">
        <v>12</v>
      </c>
      <c r="B19" s="148" t="s">
        <v>345</v>
      </c>
      <c r="C19" s="148" t="s">
        <v>346</v>
      </c>
      <c r="D19" s="333">
        <v>555</v>
      </c>
      <c r="E19" s="330">
        <f t="shared" si="0"/>
        <v>222</v>
      </c>
      <c r="F19" s="331">
        <f t="shared" si="1"/>
        <v>150</v>
      </c>
      <c r="G19" s="343">
        <f t="shared" si="2"/>
        <v>176.13</v>
      </c>
      <c r="H19" s="332">
        <f t="shared" si="3"/>
        <v>55</v>
      </c>
      <c r="I19" s="330">
        <f t="shared" si="4"/>
        <v>27.75</v>
      </c>
      <c r="J19" s="337">
        <f t="shared" si="5"/>
        <v>41.1</v>
      </c>
      <c r="K19" s="342">
        <f t="shared" si="6"/>
        <v>627.02</v>
      </c>
    </row>
    <row r="20" spans="1:11" ht="21" thickBot="1" x14ac:dyDescent="0.35">
      <c r="A20" s="328">
        <v>13</v>
      </c>
      <c r="B20" s="148" t="s">
        <v>345</v>
      </c>
      <c r="C20" s="148" t="s">
        <v>347</v>
      </c>
      <c r="D20" s="333">
        <v>1241</v>
      </c>
      <c r="E20" s="330">
        <f t="shared" si="0"/>
        <v>496.40000000000003</v>
      </c>
      <c r="F20" s="331">
        <f t="shared" si="1"/>
        <v>150</v>
      </c>
      <c r="G20" s="343">
        <f t="shared" si="2"/>
        <v>358.60599999999999</v>
      </c>
      <c r="H20" s="332">
        <f t="shared" si="3"/>
        <v>55</v>
      </c>
      <c r="I20" s="330">
        <f t="shared" si="4"/>
        <v>62.050000000000004</v>
      </c>
      <c r="J20" s="337">
        <f t="shared" si="5"/>
        <v>54.82</v>
      </c>
      <c r="K20" s="342">
        <f t="shared" si="6"/>
        <v>1356.9240000000002</v>
      </c>
    </row>
    <row r="21" spans="1:11" ht="21" thickBot="1" x14ac:dyDescent="0.35">
      <c r="A21" s="328">
        <v>14</v>
      </c>
      <c r="B21" s="148" t="s">
        <v>348</v>
      </c>
      <c r="C21" s="148" t="s">
        <v>334</v>
      </c>
      <c r="D21" s="333">
        <v>1258</v>
      </c>
      <c r="E21" s="330">
        <f t="shared" si="0"/>
        <v>503.20000000000005</v>
      </c>
      <c r="F21" s="331">
        <f t="shared" si="1"/>
        <v>150</v>
      </c>
      <c r="G21" s="343">
        <f t="shared" si="2"/>
        <v>363.12799999999999</v>
      </c>
      <c r="H21" s="332">
        <f t="shared" si="3"/>
        <v>55</v>
      </c>
      <c r="I21" s="330">
        <f t="shared" si="4"/>
        <v>62.900000000000006</v>
      </c>
      <c r="J21" s="337">
        <f t="shared" si="5"/>
        <v>55.16</v>
      </c>
      <c r="K21" s="342">
        <f t="shared" si="6"/>
        <v>1375.0119999999999</v>
      </c>
    </row>
    <row r="22" spans="1:11" ht="21" thickBot="1" x14ac:dyDescent="0.35">
      <c r="A22" s="328">
        <v>15</v>
      </c>
      <c r="B22" s="148" t="s">
        <v>337</v>
      </c>
      <c r="C22" s="148" t="s">
        <v>349</v>
      </c>
      <c r="D22" s="333">
        <v>489</v>
      </c>
      <c r="E22" s="330">
        <f t="shared" si="0"/>
        <v>195.60000000000002</v>
      </c>
      <c r="F22" s="331">
        <f t="shared" si="1"/>
        <v>150</v>
      </c>
      <c r="G22" s="343">
        <f t="shared" si="2"/>
        <v>158.57400000000001</v>
      </c>
      <c r="H22" s="332">
        <f t="shared" si="3"/>
        <v>55</v>
      </c>
      <c r="I22" s="330">
        <f t="shared" si="4"/>
        <v>24.450000000000003</v>
      </c>
      <c r="J22" s="337">
        <f t="shared" si="5"/>
        <v>39.78</v>
      </c>
      <c r="K22" s="342">
        <f t="shared" si="6"/>
        <v>556.79600000000005</v>
      </c>
    </row>
    <row r="23" spans="1:11" ht="21" thickBot="1" x14ac:dyDescent="0.35">
      <c r="A23" s="334">
        <v>16</v>
      </c>
      <c r="B23" s="322" t="s">
        <v>175</v>
      </c>
      <c r="C23" s="335" t="s">
        <v>350</v>
      </c>
      <c r="D23" s="336">
        <v>696</v>
      </c>
      <c r="E23" s="330">
        <f t="shared" si="0"/>
        <v>278.40000000000003</v>
      </c>
      <c r="F23" s="331">
        <f>$G$3</f>
        <v>150</v>
      </c>
      <c r="G23" s="343">
        <f t="shared" si="2"/>
        <v>213.63600000000002</v>
      </c>
      <c r="H23" s="332">
        <f t="shared" si="3"/>
        <v>55</v>
      </c>
      <c r="I23" s="330">
        <f t="shared" si="4"/>
        <v>34.800000000000004</v>
      </c>
      <c r="J23" s="337">
        <f t="shared" si="5"/>
        <v>43.92</v>
      </c>
      <c r="K23" s="342">
        <f t="shared" si="6"/>
        <v>777.04400000000021</v>
      </c>
    </row>
    <row r="24" spans="1:11" ht="17.25" x14ac:dyDescent="0.25">
      <c r="A24" s="139"/>
      <c r="B24" s="139"/>
      <c r="C24" s="145" t="s">
        <v>89</v>
      </c>
      <c r="D24" s="338">
        <f>SUM(D8:D23)</f>
        <v>15736</v>
      </c>
      <c r="E24" s="139">
        <f>SUM(E8:E23)</f>
        <v>6294.4</v>
      </c>
      <c r="F24" s="339">
        <f>SUM(F8:F23)</f>
        <v>2400</v>
      </c>
      <c r="G24" s="139">
        <f>SUM(G8:G23)</f>
        <v>4641.7759999999998</v>
      </c>
      <c r="H24" s="340">
        <f>SUM(H8:H23)</f>
        <v>880</v>
      </c>
      <c r="I24" s="139">
        <f>SUM(I8:I23)</f>
        <v>786.8</v>
      </c>
      <c r="J24" s="341">
        <f>SUM(J8:J23)</f>
        <v>794.72</v>
      </c>
      <c r="K24" s="341">
        <f>SUM(K8:K23)</f>
        <v>17327.104000000003</v>
      </c>
    </row>
    <row r="25" spans="1:11" ht="15.75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</row>
    <row r="26" spans="1:11" ht="15.75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</row>
    <row r="27" spans="1:11" ht="15.75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</row>
    <row r="28" spans="1:11" ht="15.75" x14ac:dyDescent="0.2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</row>
    <row r="29" spans="1:11" ht="15.75" x14ac:dyDescent="0.2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</row>
    <row r="30" spans="1:11" ht="15.75" x14ac:dyDescent="0.2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</row>
    <row r="31" spans="1:11" ht="15.75" x14ac:dyDescent="0.2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</row>
    <row r="32" spans="1:11" ht="15.75" x14ac:dyDescent="0.2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</row>
    <row r="33" spans="1:11" ht="15.75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</row>
    <row r="34" spans="1:11" ht="15.75" x14ac:dyDescent="0.2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</row>
    <row r="35" spans="1:11" ht="15.75" x14ac:dyDescent="0.2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</row>
    <row r="36" spans="1:11" ht="15.75" x14ac:dyDescent="0.2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77E5-92B9-43EC-990F-CD7A50A6BE91}">
  <dimension ref="A1:P16"/>
  <sheetViews>
    <sheetView workbookViewId="0">
      <selection activeCell="I14" sqref="I14"/>
    </sheetView>
  </sheetViews>
  <sheetFormatPr defaultColWidth="9.140625" defaultRowHeight="15.75" x14ac:dyDescent="0.25"/>
  <cols>
    <col min="1" max="1" width="7.85546875" style="139" customWidth="1"/>
    <col min="2" max="2" width="5.7109375" style="139" customWidth="1"/>
    <col min="3" max="3" width="7.5703125" style="139" customWidth="1"/>
    <col min="4" max="4" width="4.42578125" style="139" customWidth="1"/>
    <col min="5" max="5" width="9.140625" style="139"/>
    <col min="6" max="6" width="4.28515625" style="139" customWidth="1"/>
    <col min="7" max="16" width="5.42578125" style="139" customWidth="1"/>
    <col min="17" max="16384" width="9.140625" style="139"/>
  </cols>
  <sheetData>
    <row r="1" spans="1:16" ht="20.25" x14ac:dyDescent="0.3">
      <c r="A1" s="146" t="s">
        <v>351</v>
      </c>
      <c r="B1" s="147"/>
      <c r="C1" s="147"/>
      <c r="D1" s="147"/>
      <c r="H1" s="148" t="s">
        <v>352</v>
      </c>
    </row>
    <row r="2" spans="1:16" ht="16.5" thickBot="1" x14ac:dyDescent="0.3"/>
    <row r="3" spans="1:16" ht="16.5" thickBot="1" x14ac:dyDescent="0.3">
      <c r="A3" s="149"/>
      <c r="B3" s="150">
        <v>7</v>
      </c>
      <c r="G3" s="348"/>
      <c r="H3" s="347">
        <v>2</v>
      </c>
      <c r="I3" s="345">
        <v>3</v>
      </c>
      <c r="J3" s="345">
        <v>4</v>
      </c>
      <c r="K3" s="345">
        <v>5</v>
      </c>
      <c r="L3" s="345">
        <v>6</v>
      </c>
      <c r="M3" s="345">
        <v>7</v>
      </c>
      <c r="N3" s="345">
        <v>8</v>
      </c>
      <c r="O3" s="345">
        <v>9</v>
      </c>
      <c r="P3" s="346">
        <v>10</v>
      </c>
    </row>
    <row r="4" spans="1:16" x14ac:dyDescent="0.25">
      <c r="A4" s="151">
        <v>1</v>
      </c>
      <c r="B4" s="152" t="s">
        <v>353</v>
      </c>
      <c r="C4" s="153">
        <v>7</v>
      </c>
      <c r="D4" s="152" t="s">
        <v>354</v>
      </c>
      <c r="E4" s="154">
        <f>A4*C4</f>
        <v>7</v>
      </c>
      <c r="G4" s="349">
        <v>2</v>
      </c>
      <c r="H4" s="344">
        <f>H$3*$G4</f>
        <v>4</v>
      </c>
      <c r="I4" s="344">
        <f t="shared" ref="I4:P4" si="0">I$3*$G4</f>
        <v>6</v>
      </c>
      <c r="J4" s="344">
        <f t="shared" si="0"/>
        <v>8</v>
      </c>
      <c r="K4" s="344">
        <f t="shared" si="0"/>
        <v>10</v>
      </c>
      <c r="L4" s="344">
        <f t="shared" si="0"/>
        <v>12</v>
      </c>
      <c r="M4" s="344">
        <f t="shared" si="0"/>
        <v>14</v>
      </c>
      <c r="N4" s="344">
        <f t="shared" si="0"/>
        <v>16</v>
      </c>
      <c r="O4" s="344">
        <f t="shared" si="0"/>
        <v>18</v>
      </c>
      <c r="P4" s="344">
        <f t="shared" si="0"/>
        <v>20</v>
      </c>
    </row>
    <row r="5" spans="1:16" x14ac:dyDescent="0.25">
      <c r="A5" s="151">
        <v>2</v>
      </c>
      <c r="B5" s="152" t="s">
        <v>353</v>
      </c>
      <c r="C5" s="153">
        <v>7</v>
      </c>
      <c r="D5" s="152" t="s">
        <v>354</v>
      </c>
      <c r="E5" s="154">
        <f t="shared" ref="E5:E13" si="1">A5*C5</f>
        <v>14</v>
      </c>
      <c r="G5" s="350">
        <v>3</v>
      </c>
      <c r="H5" s="344">
        <f t="shared" ref="H5:P12" si="2">H$3*$G5</f>
        <v>6</v>
      </c>
      <c r="I5" s="344">
        <f t="shared" si="2"/>
        <v>9</v>
      </c>
      <c r="J5" s="344">
        <f t="shared" si="2"/>
        <v>12</v>
      </c>
      <c r="K5" s="344">
        <f t="shared" si="2"/>
        <v>15</v>
      </c>
      <c r="L5" s="344">
        <f t="shared" si="2"/>
        <v>18</v>
      </c>
      <c r="M5" s="344">
        <f t="shared" si="2"/>
        <v>21</v>
      </c>
      <c r="N5" s="344">
        <f t="shared" si="2"/>
        <v>24</v>
      </c>
      <c r="O5" s="344">
        <f t="shared" si="2"/>
        <v>27</v>
      </c>
      <c r="P5" s="344">
        <f t="shared" si="2"/>
        <v>30</v>
      </c>
    </row>
    <row r="6" spans="1:16" x14ac:dyDescent="0.25">
      <c r="A6" s="151">
        <v>3</v>
      </c>
      <c r="B6" s="152" t="s">
        <v>353</v>
      </c>
      <c r="C6" s="153">
        <v>7</v>
      </c>
      <c r="D6" s="152" t="s">
        <v>354</v>
      </c>
      <c r="E6" s="154">
        <f t="shared" si="1"/>
        <v>21</v>
      </c>
      <c r="G6" s="350">
        <v>4</v>
      </c>
      <c r="H6" s="344">
        <f t="shared" si="2"/>
        <v>8</v>
      </c>
      <c r="I6" s="344">
        <f t="shared" si="2"/>
        <v>12</v>
      </c>
      <c r="J6" s="344">
        <f t="shared" si="2"/>
        <v>16</v>
      </c>
      <c r="K6" s="344">
        <f t="shared" si="2"/>
        <v>20</v>
      </c>
      <c r="L6" s="344">
        <f t="shared" si="2"/>
        <v>24</v>
      </c>
      <c r="M6" s="344">
        <f t="shared" si="2"/>
        <v>28</v>
      </c>
      <c r="N6" s="344">
        <f t="shared" si="2"/>
        <v>32</v>
      </c>
      <c r="O6" s="344">
        <f t="shared" si="2"/>
        <v>36</v>
      </c>
      <c r="P6" s="344">
        <f t="shared" si="2"/>
        <v>40</v>
      </c>
    </row>
    <row r="7" spans="1:16" x14ac:dyDescent="0.25">
      <c r="A7" s="151">
        <v>4</v>
      </c>
      <c r="B7" s="152" t="s">
        <v>353</v>
      </c>
      <c r="C7" s="153">
        <v>7</v>
      </c>
      <c r="D7" s="152" t="s">
        <v>354</v>
      </c>
      <c r="E7" s="154">
        <f t="shared" si="1"/>
        <v>28</v>
      </c>
      <c r="G7" s="350">
        <v>5</v>
      </c>
      <c r="H7" s="344">
        <f t="shared" si="2"/>
        <v>10</v>
      </c>
      <c r="I7" s="344">
        <f t="shared" si="2"/>
        <v>15</v>
      </c>
      <c r="J7" s="344">
        <f t="shared" si="2"/>
        <v>20</v>
      </c>
      <c r="K7" s="344">
        <f t="shared" si="2"/>
        <v>25</v>
      </c>
      <c r="L7" s="344">
        <f t="shared" si="2"/>
        <v>30</v>
      </c>
      <c r="M7" s="344">
        <f t="shared" si="2"/>
        <v>35</v>
      </c>
      <c r="N7" s="344">
        <f t="shared" si="2"/>
        <v>40</v>
      </c>
      <c r="O7" s="344">
        <f t="shared" si="2"/>
        <v>45</v>
      </c>
      <c r="P7" s="344">
        <f t="shared" si="2"/>
        <v>50</v>
      </c>
    </row>
    <row r="8" spans="1:16" x14ac:dyDescent="0.25">
      <c r="A8" s="151">
        <v>5</v>
      </c>
      <c r="B8" s="152" t="s">
        <v>353</v>
      </c>
      <c r="C8" s="153">
        <v>7</v>
      </c>
      <c r="D8" s="152" t="s">
        <v>354</v>
      </c>
      <c r="E8" s="154">
        <f t="shared" si="1"/>
        <v>35</v>
      </c>
      <c r="G8" s="350">
        <v>6</v>
      </c>
      <c r="H8" s="344">
        <f t="shared" si="2"/>
        <v>12</v>
      </c>
      <c r="I8" s="344">
        <f t="shared" si="2"/>
        <v>18</v>
      </c>
      <c r="J8" s="344">
        <f t="shared" si="2"/>
        <v>24</v>
      </c>
      <c r="K8" s="344">
        <f t="shared" si="2"/>
        <v>30</v>
      </c>
      <c r="L8" s="344">
        <f t="shared" si="2"/>
        <v>36</v>
      </c>
      <c r="M8" s="344">
        <f t="shared" si="2"/>
        <v>42</v>
      </c>
      <c r="N8" s="344">
        <f t="shared" si="2"/>
        <v>48</v>
      </c>
      <c r="O8" s="344">
        <f t="shared" si="2"/>
        <v>54</v>
      </c>
      <c r="P8" s="344">
        <f t="shared" si="2"/>
        <v>60</v>
      </c>
    </row>
    <row r="9" spans="1:16" x14ac:dyDescent="0.25">
      <c r="A9" s="151">
        <v>6</v>
      </c>
      <c r="B9" s="152" t="s">
        <v>353</v>
      </c>
      <c r="C9" s="153">
        <v>7</v>
      </c>
      <c r="D9" s="152" t="s">
        <v>354</v>
      </c>
      <c r="E9" s="154">
        <f t="shared" si="1"/>
        <v>42</v>
      </c>
      <c r="G9" s="350">
        <v>7</v>
      </c>
      <c r="H9" s="344">
        <f t="shared" si="2"/>
        <v>14</v>
      </c>
      <c r="I9" s="344">
        <f t="shared" si="2"/>
        <v>21</v>
      </c>
      <c r="J9" s="344">
        <f t="shared" si="2"/>
        <v>28</v>
      </c>
      <c r="K9" s="344">
        <f t="shared" si="2"/>
        <v>35</v>
      </c>
      <c r="L9" s="344">
        <f t="shared" si="2"/>
        <v>42</v>
      </c>
      <c r="M9" s="344">
        <f t="shared" si="2"/>
        <v>49</v>
      </c>
      <c r="N9" s="344">
        <f t="shared" si="2"/>
        <v>56</v>
      </c>
      <c r="O9" s="344">
        <f t="shared" si="2"/>
        <v>63</v>
      </c>
      <c r="P9" s="344">
        <f t="shared" si="2"/>
        <v>70</v>
      </c>
    </row>
    <row r="10" spans="1:16" x14ac:dyDescent="0.25">
      <c r="A10" s="151">
        <v>7</v>
      </c>
      <c r="B10" s="152" t="s">
        <v>353</v>
      </c>
      <c r="C10" s="153">
        <v>7</v>
      </c>
      <c r="D10" s="152" t="s">
        <v>354</v>
      </c>
      <c r="E10" s="154">
        <f t="shared" si="1"/>
        <v>49</v>
      </c>
      <c r="G10" s="350">
        <v>8</v>
      </c>
      <c r="H10" s="344">
        <f t="shared" si="2"/>
        <v>16</v>
      </c>
      <c r="I10" s="344">
        <f t="shared" si="2"/>
        <v>24</v>
      </c>
      <c r="J10" s="344">
        <f t="shared" si="2"/>
        <v>32</v>
      </c>
      <c r="K10" s="344">
        <f t="shared" si="2"/>
        <v>40</v>
      </c>
      <c r="L10" s="344">
        <f t="shared" si="2"/>
        <v>48</v>
      </c>
      <c r="M10" s="344">
        <f t="shared" si="2"/>
        <v>56</v>
      </c>
      <c r="N10" s="344">
        <f t="shared" si="2"/>
        <v>64</v>
      </c>
      <c r="O10" s="344">
        <f t="shared" si="2"/>
        <v>72</v>
      </c>
      <c r="P10" s="344">
        <f t="shared" si="2"/>
        <v>80</v>
      </c>
    </row>
    <row r="11" spans="1:16" x14ac:dyDescent="0.25">
      <c r="A11" s="151">
        <v>8</v>
      </c>
      <c r="B11" s="152" t="s">
        <v>353</v>
      </c>
      <c r="C11" s="153">
        <v>7</v>
      </c>
      <c r="D11" s="152" t="s">
        <v>354</v>
      </c>
      <c r="E11" s="154">
        <f t="shared" si="1"/>
        <v>56</v>
      </c>
      <c r="G11" s="350">
        <v>9</v>
      </c>
      <c r="H11" s="344">
        <f t="shared" si="2"/>
        <v>18</v>
      </c>
      <c r="I11" s="344">
        <f t="shared" si="2"/>
        <v>27</v>
      </c>
      <c r="J11" s="344">
        <f t="shared" si="2"/>
        <v>36</v>
      </c>
      <c r="K11" s="344">
        <f t="shared" si="2"/>
        <v>45</v>
      </c>
      <c r="L11" s="344">
        <f t="shared" si="2"/>
        <v>54</v>
      </c>
      <c r="M11" s="344">
        <f t="shared" si="2"/>
        <v>63</v>
      </c>
      <c r="N11" s="344">
        <f t="shared" si="2"/>
        <v>72</v>
      </c>
      <c r="O11" s="344">
        <f t="shared" si="2"/>
        <v>81</v>
      </c>
      <c r="P11" s="344">
        <f t="shared" si="2"/>
        <v>90</v>
      </c>
    </row>
    <row r="12" spans="1:16" ht="16.5" thickBot="1" x14ac:dyDescent="0.3">
      <c r="A12" s="151">
        <v>9</v>
      </c>
      <c r="B12" s="152" t="s">
        <v>353</v>
      </c>
      <c r="C12" s="153">
        <v>7</v>
      </c>
      <c r="D12" s="152" t="s">
        <v>354</v>
      </c>
      <c r="E12" s="154">
        <f t="shared" si="1"/>
        <v>63</v>
      </c>
      <c r="G12" s="351">
        <v>10</v>
      </c>
      <c r="H12" s="344">
        <f t="shared" si="2"/>
        <v>20</v>
      </c>
      <c r="I12" s="344">
        <f t="shared" si="2"/>
        <v>30</v>
      </c>
      <c r="J12" s="344">
        <f t="shared" si="2"/>
        <v>40</v>
      </c>
      <c r="K12" s="344">
        <f t="shared" si="2"/>
        <v>50</v>
      </c>
      <c r="L12" s="344">
        <f t="shared" si="2"/>
        <v>60</v>
      </c>
      <c r="M12" s="344">
        <f t="shared" si="2"/>
        <v>70</v>
      </c>
      <c r="N12" s="344">
        <f t="shared" si="2"/>
        <v>80</v>
      </c>
      <c r="O12" s="344">
        <f t="shared" si="2"/>
        <v>90</v>
      </c>
      <c r="P12" s="344">
        <f t="shared" si="2"/>
        <v>100</v>
      </c>
    </row>
    <row r="13" spans="1:16" x14ac:dyDescent="0.25">
      <c r="A13" s="151">
        <v>10</v>
      </c>
      <c r="B13" s="152" t="s">
        <v>353</v>
      </c>
      <c r="C13" s="153">
        <v>7</v>
      </c>
      <c r="D13" s="152" t="s">
        <v>354</v>
      </c>
      <c r="E13" s="154">
        <f t="shared" si="1"/>
        <v>70</v>
      </c>
    </row>
    <row r="16" spans="1:16" x14ac:dyDescent="0.25">
      <c r="A16" s="139" t="s">
        <v>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4F24-C7D0-4AEC-9F7D-4A3C70BBAD71}">
  <dimension ref="A1:I11"/>
  <sheetViews>
    <sheetView workbookViewId="0">
      <selection activeCell="C7" sqref="C7"/>
    </sheetView>
  </sheetViews>
  <sheetFormatPr defaultRowHeight="15" x14ac:dyDescent="0.25"/>
  <cols>
    <col min="3" max="3" width="17.42578125" customWidth="1"/>
    <col min="4" max="4" width="14.85546875" customWidth="1"/>
    <col min="5" max="5" width="15.7109375" customWidth="1"/>
    <col min="6" max="6" width="17" customWidth="1"/>
    <col min="7" max="7" width="15.42578125" customWidth="1"/>
  </cols>
  <sheetData>
    <row r="1" spans="1:9" ht="15.75" x14ac:dyDescent="0.25">
      <c r="A1" s="127"/>
      <c r="B1" s="127"/>
      <c r="C1" s="127"/>
      <c r="D1" s="127"/>
      <c r="E1" s="127"/>
      <c r="F1" s="127"/>
      <c r="G1" s="127"/>
    </row>
    <row r="2" spans="1:9" ht="15.75" x14ac:dyDescent="0.25">
      <c r="A2" s="201" t="s">
        <v>356</v>
      </c>
      <c r="B2" s="204" t="s">
        <v>357</v>
      </c>
      <c r="C2" s="208" t="s">
        <v>358</v>
      </c>
      <c r="D2" s="209"/>
      <c r="E2" s="209"/>
      <c r="F2" s="209"/>
      <c r="G2" s="209"/>
    </row>
    <row r="3" spans="1:9" x14ac:dyDescent="0.25">
      <c r="A3" s="202"/>
      <c r="B3" s="205"/>
      <c r="C3" s="155" t="s">
        <v>359</v>
      </c>
      <c r="D3" s="155" t="s">
        <v>360</v>
      </c>
      <c r="E3" s="155" t="s">
        <v>361</v>
      </c>
      <c r="F3" s="155" t="s">
        <v>362</v>
      </c>
      <c r="G3" s="155" t="s">
        <v>363</v>
      </c>
    </row>
    <row r="4" spans="1:9" ht="15.75" x14ac:dyDescent="0.25">
      <c r="A4" s="202"/>
      <c r="B4" s="205"/>
      <c r="C4" s="208" t="s">
        <v>364</v>
      </c>
      <c r="D4" s="209"/>
      <c r="E4" s="209"/>
      <c r="F4" s="209"/>
      <c r="G4" s="209"/>
    </row>
    <row r="5" spans="1:9" ht="15.75" x14ac:dyDescent="0.25">
      <c r="A5" s="202"/>
      <c r="B5" s="206"/>
      <c r="C5" s="156">
        <v>1.3</v>
      </c>
      <c r="D5" s="156">
        <v>1.2</v>
      </c>
      <c r="E5" s="156">
        <v>1.17</v>
      </c>
      <c r="F5" s="156">
        <v>1.25</v>
      </c>
      <c r="G5" s="156">
        <v>1.02</v>
      </c>
      <c r="I5" s="352">
        <v>4.26</v>
      </c>
    </row>
    <row r="6" spans="1:9" ht="15.75" x14ac:dyDescent="0.25">
      <c r="A6" s="203"/>
      <c r="B6" s="207"/>
      <c r="C6" s="208" t="s">
        <v>365</v>
      </c>
      <c r="D6" s="209"/>
      <c r="E6" s="209"/>
      <c r="F6" s="209"/>
      <c r="G6" s="209"/>
    </row>
    <row r="7" spans="1:9" ht="15.75" x14ac:dyDescent="0.25">
      <c r="A7" s="157">
        <v>1</v>
      </c>
      <c r="B7" s="140">
        <v>2340</v>
      </c>
      <c r="C7" s="353">
        <f>B7*$C$5*$I$5</f>
        <v>12958.92</v>
      </c>
      <c r="D7" s="353">
        <f>B7*$D$5*$I$5</f>
        <v>11962.08</v>
      </c>
      <c r="E7" s="353">
        <f>B7*$E$5*$I$5</f>
        <v>11663.027999999998</v>
      </c>
      <c r="F7" s="353">
        <f>B7*$F$5*$I$5</f>
        <v>12460.5</v>
      </c>
      <c r="G7" s="353">
        <f>B7*$G$5*$I$5</f>
        <v>10167.768</v>
      </c>
    </row>
    <row r="8" spans="1:9" ht="15.75" x14ac:dyDescent="0.25">
      <c r="A8" s="157">
        <v>2</v>
      </c>
      <c r="B8" s="140">
        <v>1870</v>
      </c>
      <c r="C8" s="353">
        <f t="shared" ref="C8:C10" si="0">B8*$C$5*$I$5</f>
        <v>10356.06</v>
      </c>
      <c r="D8" s="353">
        <f t="shared" ref="D8:D10" si="1">B8*$D$5*$I$5</f>
        <v>9559.4399999999987</v>
      </c>
      <c r="E8" s="353">
        <f t="shared" ref="E8:E10" si="2">B8*$E$5*$I$5</f>
        <v>9320.4539999999997</v>
      </c>
      <c r="F8" s="353">
        <f t="shared" ref="F8:F10" si="3">B8*$F$5*$I$5</f>
        <v>9957.75</v>
      </c>
      <c r="G8" s="353">
        <f t="shared" ref="G8:G10" si="4">B8*$G$5*$I$5</f>
        <v>8125.5240000000003</v>
      </c>
    </row>
    <row r="9" spans="1:9" ht="15.75" x14ac:dyDescent="0.25">
      <c r="A9" s="157">
        <v>3</v>
      </c>
      <c r="B9" s="140">
        <v>3150</v>
      </c>
      <c r="C9" s="353">
        <f t="shared" si="0"/>
        <v>17444.7</v>
      </c>
      <c r="D9" s="353">
        <f t="shared" si="1"/>
        <v>16102.8</v>
      </c>
      <c r="E9" s="353">
        <f t="shared" si="2"/>
        <v>15700.23</v>
      </c>
      <c r="F9" s="353">
        <f t="shared" si="3"/>
        <v>16773.75</v>
      </c>
      <c r="G9" s="353">
        <f t="shared" si="4"/>
        <v>13687.38</v>
      </c>
    </row>
    <row r="10" spans="1:9" ht="16.5" thickBot="1" x14ac:dyDescent="0.3">
      <c r="A10" s="158">
        <v>4</v>
      </c>
      <c r="B10" s="159">
        <v>1920</v>
      </c>
      <c r="C10" s="353">
        <f t="shared" si="0"/>
        <v>10632.96</v>
      </c>
      <c r="D10" s="353">
        <f t="shared" si="1"/>
        <v>9815.0399999999991</v>
      </c>
      <c r="E10" s="353">
        <f t="shared" si="2"/>
        <v>9569.6639999999989</v>
      </c>
      <c r="F10" s="353">
        <f t="shared" si="3"/>
        <v>10224</v>
      </c>
      <c r="G10" s="353">
        <f t="shared" si="4"/>
        <v>8342.7839999999997</v>
      </c>
    </row>
    <row r="11" spans="1:9" ht="15.75" x14ac:dyDescent="0.25">
      <c r="A11" s="160"/>
      <c r="B11" s="160" t="s">
        <v>89</v>
      </c>
      <c r="C11" s="354">
        <f>SUM(C7:C10)</f>
        <v>51392.639999999999</v>
      </c>
      <c r="D11" s="354">
        <f>SUM(D7:D10)</f>
        <v>47439.359999999993</v>
      </c>
      <c r="E11" s="354">
        <f>SUM(E7:E10)</f>
        <v>46253.375999999997</v>
      </c>
      <c r="F11" s="354">
        <f>SUM(F7:F10)</f>
        <v>49416</v>
      </c>
      <c r="G11" s="354">
        <f>SUM(G7:G10)</f>
        <v>40323.455999999998</v>
      </c>
    </row>
  </sheetData>
  <mergeCells count="5">
    <mergeCell ref="A2:A6"/>
    <mergeCell ref="B2:B6"/>
    <mergeCell ref="C2:G2"/>
    <mergeCell ref="C4:G4"/>
    <mergeCell ref="C6:G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E8A2-DADF-40FB-828B-80CBE7B2A88D}">
  <dimension ref="A1:I31"/>
  <sheetViews>
    <sheetView workbookViewId="0">
      <selection activeCell="K29" sqref="K29"/>
    </sheetView>
  </sheetViews>
  <sheetFormatPr defaultColWidth="9.140625" defaultRowHeight="15.75" x14ac:dyDescent="0.25"/>
  <cols>
    <col min="1" max="1" width="9.140625" style="139"/>
    <col min="2" max="2" width="11.28515625" style="139" bestFit="1" customWidth="1"/>
    <col min="3" max="3" width="12.7109375" style="139" bestFit="1" customWidth="1"/>
    <col min="4" max="4" width="14" style="139" customWidth="1"/>
    <col min="5" max="8" width="9.140625" style="139"/>
    <col min="9" max="9" width="11.42578125" style="139" customWidth="1"/>
    <col min="10" max="16384" width="9.140625" style="139"/>
  </cols>
  <sheetData>
    <row r="1" spans="1:9" ht="19.5" x14ac:dyDescent="0.3">
      <c r="A1" s="142" t="s">
        <v>366</v>
      </c>
    </row>
    <row r="3" spans="1:9" x14ac:dyDescent="0.25">
      <c r="B3" s="143" t="s">
        <v>47</v>
      </c>
      <c r="C3" s="161">
        <v>0.1</v>
      </c>
    </row>
    <row r="4" spans="1:9" x14ac:dyDescent="0.25">
      <c r="B4" s="143" t="s">
        <v>49</v>
      </c>
      <c r="C4" s="161">
        <v>0.05</v>
      </c>
    </row>
    <row r="5" spans="1:9" x14ac:dyDescent="0.25">
      <c r="B5" s="143" t="s">
        <v>323</v>
      </c>
      <c r="C5" s="162">
        <v>30</v>
      </c>
    </row>
    <row r="6" spans="1:9" ht="16.5" thickBot="1" x14ac:dyDescent="0.3"/>
    <row r="7" spans="1:9" ht="16.5" thickBot="1" x14ac:dyDescent="0.3">
      <c r="A7" s="355" t="s">
        <v>326</v>
      </c>
      <c r="B7" s="356" t="s">
        <v>2</v>
      </c>
      <c r="C7" s="357" t="s">
        <v>1</v>
      </c>
      <c r="D7" s="356" t="s">
        <v>367</v>
      </c>
      <c r="E7" s="356" t="s">
        <v>368</v>
      </c>
      <c r="F7" s="356" t="s">
        <v>369</v>
      </c>
      <c r="G7" s="356" t="s">
        <v>370</v>
      </c>
      <c r="H7" s="358" t="s">
        <v>53</v>
      </c>
      <c r="I7" s="359" t="s">
        <v>371</v>
      </c>
    </row>
    <row r="8" spans="1:9" x14ac:dyDescent="0.25">
      <c r="A8" s="360">
        <v>1</v>
      </c>
      <c r="B8" s="361" t="s">
        <v>330</v>
      </c>
      <c r="C8" s="144" t="s">
        <v>331</v>
      </c>
      <c r="D8" s="362">
        <v>966</v>
      </c>
      <c r="E8" s="361">
        <f>(D8+F8)*$C$3</f>
        <v>101.43</v>
      </c>
      <c r="F8" s="361">
        <f>D8*$C$4</f>
        <v>48.300000000000004</v>
      </c>
      <c r="G8" s="364">
        <f>$C$5</f>
        <v>30</v>
      </c>
      <c r="H8" s="365">
        <f>D8+F8-G8-E8</f>
        <v>882.86999999999989</v>
      </c>
      <c r="I8" s="366">
        <f>($I$31*H8)/$H$31</f>
        <v>2.7087801330964719E-2</v>
      </c>
    </row>
    <row r="9" spans="1:9" x14ac:dyDescent="0.25">
      <c r="A9" s="360">
        <v>2</v>
      </c>
      <c r="B9" s="361" t="s">
        <v>332</v>
      </c>
      <c r="C9" s="144" t="s">
        <v>333</v>
      </c>
      <c r="D9" s="362">
        <v>1000</v>
      </c>
      <c r="E9" s="361">
        <f t="shared" ref="E9:E30" si="0">(D9+F9)*$C$3</f>
        <v>105</v>
      </c>
      <c r="F9" s="361">
        <f t="shared" ref="F9:F30" si="1">D9*$C$4</f>
        <v>50</v>
      </c>
      <c r="G9" s="364">
        <f t="shared" ref="G9:G30" si="2">$C$5</f>
        <v>30</v>
      </c>
      <c r="H9" s="365">
        <f t="shared" ref="H9:H30" si="3">D9+F9-G9-E9</f>
        <v>915</v>
      </c>
      <c r="I9" s="366">
        <f t="shared" ref="I9:I30" si="4">($I$31*H9)/$H$31</f>
        <v>2.8073598851283563E-2</v>
      </c>
    </row>
    <row r="10" spans="1:9" x14ac:dyDescent="0.25">
      <c r="A10" s="360">
        <v>3</v>
      </c>
      <c r="B10" s="361" t="s">
        <v>330</v>
      </c>
      <c r="C10" s="144" t="s">
        <v>334</v>
      </c>
      <c r="D10" s="362">
        <v>2000</v>
      </c>
      <c r="E10" s="361">
        <f t="shared" si="0"/>
        <v>210</v>
      </c>
      <c r="F10" s="361">
        <f t="shared" si="1"/>
        <v>100</v>
      </c>
      <c r="G10" s="364">
        <f t="shared" si="2"/>
        <v>30</v>
      </c>
      <c r="H10" s="365">
        <f t="shared" si="3"/>
        <v>1860</v>
      </c>
      <c r="I10" s="366">
        <f t="shared" si="4"/>
        <v>5.706764356654364E-2</v>
      </c>
    </row>
    <row r="11" spans="1:9" x14ac:dyDescent="0.25">
      <c r="A11" s="360">
        <v>4</v>
      </c>
      <c r="B11" s="361" t="s">
        <v>372</v>
      </c>
      <c r="C11" s="144" t="s">
        <v>335</v>
      </c>
      <c r="D11" s="362">
        <v>1054</v>
      </c>
      <c r="E11" s="361">
        <f t="shared" si="0"/>
        <v>110.67000000000002</v>
      </c>
      <c r="F11" s="361">
        <f t="shared" si="1"/>
        <v>52.7</v>
      </c>
      <c r="G11" s="364">
        <f t="shared" si="2"/>
        <v>30</v>
      </c>
      <c r="H11" s="365">
        <f t="shared" si="3"/>
        <v>966.03</v>
      </c>
      <c r="I11" s="366">
        <f t="shared" si="4"/>
        <v>2.9639277265907607E-2</v>
      </c>
    </row>
    <row r="12" spans="1:9" x14ac:dyDescent="0.25">
      <c r="A12" s="360">
        <v>5</v>
      </c>
      <c r="B12" s="361" t="s">
        <v>332</v>
      </c>
      <c r="C12" s="144" t="s">
        <v>336</v>
      </c>
      <c r="D12" s="362">
        <v>2500</v>
      </c>
      <c r="E12" s="361">
        <f t="shared" si="0"/>
        <v>262.5</v>
      </c>
      <c r="F12" s="361">
        <f t="shared" si="1"/>
        <v>125</v>
      </c>
      <c r="G12" s="364">
        <f t="shared" si="2"/>
        <v>30</v>
      </c>
      <c r="H12" s="365">
        <f t="shared" si="3"/>
        <v>2332.5</v>
      </c>
      <c r="I12" s="366">
        <f t="shared" si="4"/>
        <v>7.1564665924173668E-2</v>
      </c>
    </row>
    <row r="13" spans="1:9" x14ac:dyDescent="0.25">
      <c r="A13" s="360">
        <v>6</v>
      </c>
      <c r="B13" s="361" t="s">
        <v>332</v>
      </c>
      <c r="C13" s="144" t="s">
        <v>339</v>
      </c>
      <c r="D13" s="362">
        <v>1138</v>
      </c>
      <c r="E13" s="361">
        <f t="shared" si="0"/>
        <v>119.49000000000001</v>
      </c>
      <c r="F13" s="361">
        <f t="shared" si="1"/>
        <v>56.900000000000006</v>
      </c>
      <c r="G13" s="364">
        <f t="shared" si="2"/>
        <v>30</v>
      </c>
      <c r="H13" s="365">
        <f t="shared" si="3"/>
        <v>1045.4100000000001</v>
      </c>
      <c r="I13" s="366">
        <f t="shared" si="4"/>
        <v>3.2074777021989458E-2</v>
      </c>
    </row>
    <row r="14" spans="1:9" x14ac:dyDescent="0.25">
      <c r="A14" s="360">
        <v>7</v>
      </c>
      <c r="B14" s="361" t="s">
        <v>337</v>
      </c>
      <c r="C14" s="144" t="s">
        <v>373</v>
      </c>
      <c r="D14" s="362">
        <v>1150</v>
      </c>
      <c r="E14" s="361">
        <f t="shared" si="0"/>
        <v>120.75</v>
      </c>
      <c r="F14" s="361">
        <f t="shared" si="1"/>
        <v>57.5</v>
      </c>
      <c r="G14" s="364">
        <f t="shared" si="2"/>
        <v>30</v>
      </c>
      <c r="H14" s="365">
        <f t="shared" si="3"/>
        <v>1056.75</v>
      </c>
      <c r="I14" s="366">
        <f t="shared" si="4"/>
        <v>3.2422705558572573E-2</v>
      </c>
    </row>
    <row r="15" spans="1:9" x14ac:dyDescent="0.25">
      <c r="A15" s="360">
        <v>8</v>
      </c>
      <c r="B15" s="361" t="s">
        <v>332</v>
      </c>
      <c r="C15" s="144" t="s">
        <v>374</v>
      </c>
      <c r="D15" s="362">
        <v>2580</v>
      </c>
      <c r="E15" s="361">
        <f t="shared" si="0"/>
        <v>270.90000000000003</v>
      </c>
      <c r="F15" s="361">
        <f t="shared" si="1"/>
        <v>129</v>
      </c>
      <c r="G15" s="364">
        <f t="shared" si="2"/>
        <v>30</v>
      </c>
      <c r="H15" s="365">
        <f t="shared" si="3"/>
        <v>2408.1</v>
      </c>
      <c r="I15" s="366">
        <f t="shared" si="4"/>
        <v>7.3884189501394484E-2</v>
      </c>
    </row>
    <row r="16" spans="1:9" x14ac:dyDescent="0.25">
      <c r="A16" s="360">
        <v>9</v>
      </c>
      <c r="B16" s="361" t="s">
        <v>330</v>
      </c>
      <c r="C16" s="144" t="s">
        <v>341</v>
      </c>
      <c r="D16" s="362">
        <v>1177</v>
      </c>
      <c r="E16" s="361">
        <f t="shared" si="0"/>
        <v>123.58499999999999</v>
      </c>
      <c r="F16" s="361">
        <f t="shared" si="1"/>
        <v>58.85</v>
      </c>
      <c r="G16" s="364">
        <f t="shared" si="2"/>
        <v>30</v>
      </c>
      <c r="H16" s="365">
        <f t="shared" si="3"/>
        <v>1082.2649999999999</v>
      </c>
      <c r="I16" s="366">
        <f t="shared" si="4"/>
        <v>3.3205544765884595E-2</v>
      </c>
    </row>
    <row r="17" spans="1:9" x14ac:dyDescent="0.25">
      <c r="A17" s="360">
        <v>10</v>
      </c>
      <c r="B17" s="361" t="s">
        <v>372</v>
      </c>
      <c r="C17" s="144" t="s">
        <v>342</v>
      </c>
      <c r="D17" s="362">
        <v>1177</v>
      </c>
      <c r="E17" s="361">
        <f t="shared" si="0"/>
        <v>123.58499999999999</v>
      </c>
      <c r="F17" s="361">
        <f t="shared" si="1"/>
        <v>58.85</v>
      </c>
      <c r="G17" s="364">
        <f t="shared" si="2"/>
        <v>30</v>
      </c>
      <c r="H17" s="365">
        <f t="shared" si="3"/>
        <v>1082.2649999999999</v>
      </c>
      <c r="I17" s="366">
        <f t="shared" si="4"/>
        <v>3.3205544765884595E-2</v>
      </c>
    </row>
    <row r="18" spans="1:9" x14ac:dyDescent="0.25">
      <c r="A18" s="360">
        <v>11</v>
      </c>
      <c r="B18" s="361" t="s">
        <v>332</v>
      </c>
      <c r="C18" s="144" t="s">
        <v>375</v>
      </c>
      <c r="D18" s="362">
        <v>5000</v>
      </c>
      <c r="E18" s="361">
        <f t="shared" si="0"/>
        <v>525</v>
      </c>
      <c r="F18" s="361">
        <f t="shared" si="1"/>
        <v>250</v>
      </c>
      <c r="G18" s="364">
        <f t="shared" si="2"/>
        <v>30</v>
      </c>
      <c r="H18" s="365">
        <f t="shared" si="3"/>
        <v>4695</v>
      </c>
      <c r="I18" s="366">
        <f t="shared" si="4"/>
        <v>0.14404977771232386</v>
      </c>
    </row>
    <row r="19" spans="1:9" x14ac:dyDescent="0.25">
      <c r="A19" s="360">
        <v>12</v>
      </c>
      <c r="B19" s="361" t="s">
        <v>345</v>
      </c>
      <c r="C19" s="144" t="s">
        <v>346</v>
      </c>
      <c r="D19" s="362">
        <v>1200</v>
      </c>
      <c r="E19" s="361">
        <f t="shared" si="0"/>
        <v>126</v>
      </c>
      <c r="F19" s="361">
        <f t="shared" si="1"/>
        <v>60</v>
      </c>
      <c r="G19" s="364">
        <f t="shared" si="2"/>
        <v>30</v>
      </c>
      <c r="H19" s="365">
        <f t="shared" si="3"/>
        <v>1104</v>
      </c>
      <c r="I19" s="366">
        <f t="shared" si="4"/>
        <v>3.3872407794335577E-2</v>
      </c>
    </row>
    <row r="20" spans="1:9" x14ac:dyDescent="0.25">
      <c r="A20" s="360">
        <v>13</v>
      </c>
      <c r="B20" s="361" t="s">
        <v>345</v>
      </c>
      <c r="C20" s="144" t="s">
        <v>347</v>
      </c>
      <c r="D20" s="362">
        <v>1241</v>
      </c>
      <c r="E20" s="361">
        <f t="shared" si="0"/>
        <v>130.30500000000001</v>
      </c>
      <c r="F20" s="361">
        <f t="shared" si="1"/>
        <v>62.050000000000004</v>
      </c>
      <c r="G20" s="364">
        <f t="shared" si="2"/>
        <v>30</v>
      </c>
      <c r="H20" s="365">
        <f t="shared" si="3"/>
        <v>1142.7449999999999</v>
      </c>
      <c r="I20" s="366">
        <f t="shared" si="4"/>
        <v>3.5061163627661235E-2</v>
      </c>
    </row>
    <row r="21" spans="1:9" x14ac:dyDescent="0.25">
      <c r="A21" s="360">
        <v>14</v>
      </c>
      <c r="B21" s="361" t="s">
        <v>343</v>
      </c>
      <c r="C21" s="144" t="s">
        <v>344</v>
      </c>
      <c r="D21" s="362">
        <v>1227</v>
      </c>
      <c r="E21" s="361">
        <f t="shared" si="0"/>
        <v>128.83500000000001</v>
      </c>
      <c r="F21" s="361">
        <f t="shared" si="1"/>
        <v>61.35</v>
      </c>
      <c r="G21" s="364">
        <f t="shared" si="2"/>
        <v>30</v>
      </c>
      <c r="H21" s="365">
        <f t="shared" si="3"/>
        <v>1129.5149999999999</v>
      </c>
      <c r="I21" s="366">
        <f t="shared" si="4"/>
        <v>3.4655247001647599E-2</v>
      </c>
    </row>
    <row r="22" spans="1:9" x14ac:dyDescent="0.25">
      <c r="A22" s="360">
        <v>15</v>
      </c>
      <c r="B22" s="361" t="s">
        <v>332</v>
      </c>
      <c r="C22" s="144" t="s">
        <v>376</v>
      </c>
      <c r="D22" s="362">
        <v>1270</v>
      </c>
      <c r="E22" s="361">
        <f t="shared" si="0"/>
        <v>133.35</v>
      </c>
      <c r="F22" s="361">
        <f t="shared" si="1"/>
        <v>63.5</v>
      </c>
      <c r="G22" s="364">
        <f t="shared" si="2"/>
        <v>30</v>
      </c>
      <c r="H22" s="365">
        <f t="shared" si="3"/>
        <v>1170.1500000000001</v>
      </c>
      <c r="I22" s="366">
        <f t="shared" si="4"/>
        <v>3.5901990924403784E-2</v>
      </c>
    </row>
    <row r="23" spans="1:9" x14ac:dyDescent="0.25">
      <c r="A23" s="360">
        <v>16</v>
      </c>
      <c r="B23" s="361" t="s">
        <v>345</v>
      </c>
      <c r="C23" s="144" t="s">
        <v>377</v>
      </c>
      <c r="D23" s="362">
        <v>1290</v>
      </c>
      <c r="E23" s="361">
        <f t="shared" si="0"/>
        <v>135.45000000000002</v>
      </c>
      <c r="F23" s="361">
        <f t="shared" si="1"/>
        <v>64.5</v>
      </c>
      <c r="G23" s="364">
        <f t="shared" si="2"/>
        <v>30</v>
      </c>
      <c r="H23" s="365">
        <f t="shared" si="3"/>
        <v>1189.05</v>
      </c>
      <c r="I23" s="366">
        <f t="shared" si="4"/>
        <v>3.6481871818708982E-2</v>
      </c>
    </row>
    <row r="24" spans="1:9" x14ac:dyDescent="0.25">
      <c r="A24" s="360">
        <v>17</v>
      </c>
      <c r="B24" s="361" t="s">
        <v>348</v>
      </c>
      <c r="C24" s="144" t="s">
        <v>334</v>
      </c>
      <c r="D24" s="362">
        <v>1298</v>
      </c>
      <c r="E24" s="361">
        <f t="shared" si="0"/>
        <v>136.29000000000002</v>
      </c>
      <c r="F24" s="361">
        <f t="shared" si="1"/>
        <v>64.900000000000006</v>
      </c>
      <c r="G24" s="364">
        <f t="shared" si="2"/>
        <v>30</v>
      </c>
      <c r="H24" s="365">
        <f t="shared" si="3"/>
        <v>1196.6100000000001</v>
      </c>
      <c r="I24" s="366">
        <f t="shared" si="4"/>
        <v>3.671382417643107E-2</v>
      </c>
    </row>
    <row r="25" spans="1:9" x14ac:dyDescent="0.25">
      <c r="A25" s="360">
        <v>18</v>
      </c>
      <c r="B25" s="361" t="s">
        <v>173</v>
      </c>
      <c r="C25" s="144" t="s">
        <v>334</v>
      </c>
      <c r="D25" s="362">
        <v>1300</v>
      </c>
      <c r="E25" s="361">
        <f t="shared" si="0"/>
        <v>136.5</v>
      </c>
      <c r="F25" s="361">
        <f t="shared" si="1"/>
        <v>65</v>
      </c>
      <c r="G25" s="364">
        <f t="shared" si="2"/>
        <v>30</v>
      </c>
      <c r="H25" s="365">
        <f t="shared" si="3"/>
        <v>1198.5</v>
      </c>
      <c r="I25" s="366">
        <f t="shared" si="4"/>
        <v>3.6771812265861584E-2</v>
      </c>
    </row>
    <row r="26" spans="1:9" x14ac:dyDescent="0.25">
      <c r="A26" s="360">
        <v>19</v>
      </c>
      <c r="B26" s="361" t="s">
        <v>173</v>
      </c>
      <c r="C26" s="144" t="s">
        <v>378</v>
      </c>
      <c r="D26" s="362">
        <v>1305</v>
      </c>
      <c r="E26" s="361">
        <f t="shared" si="0"/>
        <v>137.02500000000001</v>
      </c>
      <c r="F26" s="361">
        <f t="shared" si="1"/>
        <v>65.25</v>
      </c>
      <c r="G26" s="364">
        <f t="shared" si="2"/>
        <v>30</v>
      </c>
      <c r="H26" s="365">
        <f t="shared" si="3"/>
        <v>1203.2249999999999</v>
      </c>
      <c r="I26" s="366">
        <f t="shared" si="4"/>
        <v>3.6916782489437881E-2</v>
      </c>
    </row>
    <row r="27" spans="1:9" x14ac:dyDescent="0.25">
      <c r="A27" s="360">
        <v>20</v>
      </c>
      <c r="B27" s="361" t="s">
        <v>345</v>
      </c>
      <c r="C27" s="144" t="s">
        <v>377</v>
      </c>
      <c r="D27" s="362">
        <v>1290</v>
      </c>
      <c r="E27" s="361">
        <f t="shared" si="0"/>
        <v>135.45000000000002</v>
      </c>
      <c r="F27" s="361">
        <f t="shared" si="1"/>
        <v>64.5</v>
      </c>
      <c r="G27" s="364">
        <f t="shared" si="2"/>
        <v>30</v>
      </c>
      <c r="H27" s="365">
        <f t="shared" si="3"/>
        <v>1189.05</v>
      </c>
      <c r="I27" s="366">
        <f t="shared" si="4"/>
        <v>3.6481871818708982E-2</v>
      </c>
    </row>
    <row r="28" spans="1:9" x14ac:dyDescent="0.25">
      <c r="A28" s="360">
        <v>21</v>
      </c>
      <c r="B28" s="361" t="s">
        <v>337</v>
      </c>
      <c r="C28" s="144" t="s">
        <v>349</v>
      </c>
      <c r="D28" s="362">
        <v>1333</v>
      </c>
      <c r="E28" s="361">
        <f t="shared" si="0"/>
        <v>139.965</v>
      </c>
      <c r="F28" s="361">
        <f t="shared" si="1"/>
        <v>66.650000000000006</v>
      </c>
      <c r="G28" s="364">
        <f t="shared" si="2"/>
        <v>30</v>
      </c>
      <c r="H28" s="365">
        <f t="shared" si="3"/>
        <v>1229.6850000000002</v>
      </c>
      <c r="I28" s="366">
        <f t="shared" si="4"/>
        <v>3.7728615741465174E-2</v>
      </c>
    </row>
    <row r="29" spans="1:9" x14ac:dyDescent="0.25">
      <c r="A29" s="360">
        <v>22</v>
      </c>
      <c r="B29" s="361" t="s">
        <v>372</v>
      </c>
      <c r="C29" s="144" t="s">
        <v>350</v>
      </c>
      <c r="D29" s="362">
        <v>1350</v>
      </c>
      <c r="E29" s="361">
        <f t="shared" si="0"/>
        <v>141.75</v>
      </c>
      <c r="F29" s="361">
        <f t="shared" si="1"/>
        <v>67.5</v>
      </c>
      <c r="G29" s="364">
        <f t="shared" si="2"/>
        <v>30</v>
      </c>
      <c r="H29" s="365">
        <f t="shared" si="3"/>
        <v>1245.75</v>
      </c>
      <c r="I29" s="366">
        <f t="shared" si="4"/>
        <v>3.8221514501624587E-2</v>
      </c>
    </row>
    <row r="30" spans="1:9" ht="16.5" thickBot="1" x14ac:dyDescent="0.3">
      <c r="A30" s="360">
        <v>23</v>
      </c>
      <c r="B30" s="361" t="s">
        <v>379</v>
      </c>
      <c r="C30" s="144" t="s">
        <v>380</v>
      </c>
      <c r="D30" s="368">
        <v>1374</v>
      </c>
      <c r="E30" s="361">
        <f t="shared" si="0"/>
        <v>144.27000000000001</v>
      </c>
      <c r="F30" s="361">
        <f t="shared" si="1"/>
        <v>68.7</v>
      </c>
      <c r="G30" s="364">
        <f t="shared" si="2"/>
        <v>30</v>
      </c>
      <c r="H30" s="365">
        <f t="shared" si="3"/>
        <v>1268.43</v>
      </c>
      <c r="I30" s="366">
        <f t="shared" si="4"/>
        <v>3.8917371574790832E-2</v>
      </c>
    </row>
    <row r="31" spans="1:9" ht="18" thickBot="1" x14ac:dyDescent="0.3">
      <c r="A31" s="363"/>
      <c r="B31" s="363"/>
      <c r="C31" s="367" t="s">
        <v>89</v>
      </c>
      <c r="D31" s="369">
        <f>SUM(D8:D30)</f>
        <v>35220</v>
      </c>
      <c r="E31" s="370">
        <f>SUM(E8:E30)</f>
        <v>3698.1</v>
      </c>
      <c r="F31" s="370">
        <f>SUM(F8:F30)</f>
        <v>1761</v>
      </c>
      <c r="G31" s="371">
        <f>SUM(G8:G30)</f>
        <v>690</v>
      </c>
      <c r="H31" s="372">
        <f>SUM(H8:H30)</f>
        <v>32592.899999999998</v>
      </c>
      <c r="I31" s="373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781F-9DC2-4095-AB9F-B1319C2FC859}">
  <dimension ref="B1:N21"/>
  <sheetViews>
    <sheetView workbookViewId="0">
      <selection activeCell="E23" sqref="E22:F23"/>
    </sheetView>
  </sheetViews>
  <sheetFormatPr defaultRowHeight="15" x14ac:dyDescent="0.25"/>
  <cols>
    <col min="2" max="2" width="32.7109375" bestFit="1" customWidth="1"/>
    <col min="3" max="3" width="12.85546875" bestFit="1" customWidth="1"/>
    <col min="4" max="4" width="30.7109375" bestFit="1" customWidth="1"/>
    <col min="5" max="5" width="13.140625" bestFit="1" customWidth="1"/>
    <col min="6" max="7" width="13.5703125" bestFit="1" customWidth="1"/>
  </cols>
  <sheetData>
    <row r="1" spans="2:14" ht="20.25" x14ac:dyDescent="0.3">
      <c r="B1" s="163"/>
      <c r="C1" s="163"/>
      <c r="D1" s="164" t="s">
        <v>381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2:14" ht="15.75" x14ac:dyDescent="0.25"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2:14" ht="15.75" x14ac:dyDescent="0.25">
      <c r="B3" s="163" t="s">
        <v>382</v>
      </c>
      <c r="C3" s="163"/>
      <c r="D3" s="163"/>
      <c r="E3" s="163"/>
      <c r="F3" s="165">
        <v>0.15</v>
      </c>
      <c r="G3" s="163"/>
      <c r="H3" s="163"/>
      <c r="I3" s="163"/>
      <c r="J3" s="163"/>
      <c r="K3" s="163"/>
      <c r="L3" s="163"/>
      <c r="M3" s="163"/>
      <c r="N3" s="163"/>
    </row>
    <row r="4" spans="2:14" ht="15.75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2:14" ht="47.25" x14ac:dyDescent="0.25">
      <c r="B5" s="166" t="s">
        <v>383</v>
      </c>
      <c r="C5" s="166" t="s">
        <v>384</v>
      </c>
      <c r="D5" s="166" t="s">
        <v>385</v>
      </c>
      <c r="E5" s="166" t="s">
        <v>386</v>
      </c>
      <c r="F5" s="166" t="s">
        <v>387</v>
      </c>
      <c r="G5" s="166" t="s">
        <v>388</v>
      </c>
      <c r="H5" s="163"/>
      <c r="I5" s="163"/>
      <c r="J5" s="163"/>
      <c r="K5" s="163"/>
      <c r="L5" s="163"/>
      <c r="M5" s="163"/>
      <c r="N5" s="163"/>
    </row>
    <row r="6" spans="2:14" ht="15.75" x14ac:dyDescent="0.25">
      <c r="B6" s="381" t="s">
        <v>389</v>
      </c>
      <c r="C6" s="167">
        <v>4</v>
      </c>
      <c r="D6" s="375">
        <v>357</v>
      </c>
      <c r="E6" s="377">
        <f>Tabela7[[#This Row],[Cena bez obniżki]]-Tabela7[[#This Row],[Cena bez obniżki]]*$F$3</f>
        <v>303.45</v>
      </c>
      <c r="F6" s="377">
        <f>Tabela7[[#This Row],[Cena elementu po obniżce]]*Tabela7[[#This Row],[Ilość zakupionych sztuk]]</f>
        <v>1213.8</v>
      </c>
      <c r="G6" s="379">
        <f>Tabela7[[#This Row],[Wartość zakupu]]/$F$19</f>
        <v>0.30548198982582392</v>
      </c>
      <c r="H6" s="163"/>
      <c r="I6" s="163"/>
      <c r="J6" s="163"/>
      <c r="K6" s="163"/>
      <c r="L6" s="163"/>
      <c r="M6" s="163"/>
      <c r="N6" s="163"/>
    </row>
    <row r="7" spans="2:14" ht="15.75" x14ac:dyDescent="0.25">
      <c r="B7" s="381" t="s">
        <v>390</v>
      </c>
      <c r="C7" s="167">
        <v>1</v>
      </c>
      <c r="D7" s="375">
        <v>525</v>
      </c>
      <c r="E7" s="377">
        <f>Tabela7[[#This Row],[Cena bez obniżki]]-Tabela7[[#This Row],[Cena bez obniżki]]*$F$3</f>
        <v>446.25</v>
      </c>
      <c r="F7" s="377">
        <f>Tabela7[[#This Row],[Cena elementu po obniżce]]*Tabela7[[#This Row],[Ilość zakupionych sztuk]]</f>
        <v>446.25</v>
      </c>
      <c r="G7" s="379">
        <f>Tabela7[[#This Row],[Wartość zakupu]]/$F$19</f>
        <v>0.1123095550830235</v>
      </c>
      <c r="H7" s="163"/>
      <c r="I7" s="163"/>
      <c r="J7" s="163"/>
      <c r="K7" s="163"/>
      <c r="L7" s="163"/>
      <c r="M7" s="163"/>
      <c r="N7" s="163"/>
    </row>
    <row r="8" spans="2:14" ht="15.75" x14ac:dyDescent="0.25">
      <c r="B8" s="381" t="s">
        <v>391</v>
      </c>
      <c r="C8" s="167">
        <v>1</v>
      </c>
      <c r="D8" s="375">
        <v>212</v>
      </c>
      <c r="E8" s="377">
        <f>Tabela7[[#This Row],[Cena bez obniżki]]-Tabela7[[#This Row],[Cena bez obniżki]]*$F$3</f>
        <v>180.2</v>
      </c>
      <c r="F8" s="377">
        <f>Tabela7[[#This Row],[Cena elementu po obniżce]]*Tabela7[[#This Row],[Ilość zakupionych sztuk]]</f>
        <v>180.2</v>
      </c>
      <c r="G8" s="379">
        <f>Tabela7[[#This Row],[Wartość zakupu]]/$F$19</f>
        <v>4.5351667957335202E-2</v>
      </c>
      <c r="H8" s="163"/>
      <c r="I8" s="163"/>
      <c r="J8" s="163"/>
      <c r="K8" s="163"/>
      <c r="L8" s="163"/>
      <c r="M8" s="163"/>
      <c r="N8" s="163"/>
    </row>
    <row r="9" spans="2:14" ht="15.75" x14ac:dyDescent="0.25">
      <c r="B9" s="381" t="s">
        <v>392</v>
      </c>
      <c r="C9" s="167">
        <v>2</v>
      </c>
      <c r="D9" s="375">
        <v>385</v>
      </c>
      <c r="E9" s="377">
        <f>Tabela7[[#This Row],[Cena bez obniżki]]-Tabela7[[#This Row],[Cena bez obniżki]]*$F$3</f>
        <v>327.25</v>
      </c>
      <c r="F9" s="377">
        <f>Tabela7[[#This Row],[Cena elementu po obniżce]]*Tabela7[[#This Row],[Ilość zakupionych sztuk]]</f>
        <v>654.5</v>
      </c>
      <c r="G9" s="379">
        <f>Tabela7[[#This Row],[Wartość zakupu]]/$F$19</f>
        <v>0.16472068078843446</v>
      </c>
      <c r="H9" s="163"/>
      <c r="I9" s="163"/>
      <c r="J9" s="163"/>
      <c r="K9" s="163"/>
      <c r="L9" s="163"/>
      <c r="M9" s="163"/>
      <c r="N9" s="163"/>
    </row>
    <row r="10" spans="2:14" ht="15.75" x14ac:dyDescent="0.25">
      <c r="B10" s="381" t="s">
        <v>393</v>
      </c>
      <c r="C10" s="167">
        <v>2</v>
      </c>
      <c r="D10" s="375">
        <v>85</v>
      </c>
      <c r="E10" s="377">
        <f>Tabela7[[#This Row],[Cena bez obniżki]]-Tabela7[[#This Row],[Cena bez obniżki]]*$F$3</f>
        <v>72.25</v>
      </c>
      <c r="F10" s="377">
        <f>Tabela7[[#This Row],[Cena elementu po obniżce]]*Tabela7[[#This Row],[Ilość zakupionych sztuk]]</f>
        <v>144.5</v>
      </c>
      <c r="G10" s="379">
        <f>Tabela7[[#This Row],[Wartość zakupu]]/$F$19</f>
        <v>3.6366903550693323E-2</v>
      </c>
      <c r="H10" s="163"/>
      <c r="I10" s="163"/>
      <c r="J10" s="163"/>
      <c r="K10" s="163"/>
      <c r="L10" s="163"/>
      <c r="M10" s="163"/>
      <c r="N10" s="163"/>
    </row>
    <row r="11" spans="2:14" ht="15.75" x14ac:dyDescent="0.25">
      <c r="B11" s="381" t="s">
        <v>394</v>
      </c>
      <c r="C11" s="167">
        <v>1</v>
      </c>
      <c r="D11" s="375">
        <v>163</v>
      </c>
      <c r="E11" s="377">
        <f>Tabela7[[#This Row],[Cena bez obniżki]]-Tabela7[[#This Row],[Cena bez obniżki]]*$F$3</f>
        <v>138.55000000000001</v>
      </c>
      <c r="F11" s="377">
        <f>Tabela7[[#This Row],[Cena elementu po obniżce]]*Tabela7[[#This Row],[Ilość zakupionych sztuk]]</f>
        <v>138.55000000000001</v>
      </c>
      <c r="G11" s="379">
        <f>Tabela7[[#This Row],[Wartość zakupu]]/$F$19</f>
        <v>3.486944281625301E-2</v>
      </c>
      <c r="H11" s="163"/>
      <c r="I11" s="163"/>
      <c r="J11" s="163"/>
      <c r="K11" s="163"/>
      <c r="L11" s="163"/>
      <c r="M11" s="163"/>
      <c r="N11" s="163"/>
    </row>
    <row r="12" spans="2:14" ht="15.75" x14ac:dyDescent="0.25">
      <c r="B12" s="381" t="s">
        <v>395</v>
      </c>
      <c r="C12" s="167">
        <v>1</v>
      </c>
      <c r="D12" s="375">
        <v>125</v>
      </c>
      <c r="E12" s="377">
        <f>Tabela7[[#This Row],[Cena bez obniżki]]-Tabela7[[#This Row],[Cena bez obniżki]]*$F$3</f>
        <v>106.25</v>
      </c>
      <c r="F12" s="377">
        <f>Tabela7[[#This Row],[Cena elementu po obniżce]]*Tabela7[[#This Row],[Ilość zakupionych sztuk]]</f>
        <v>106.25</v>
      </c>
      <c r="G12" s="379">
        <f>Tabela7[[#This Row],[Wartość zakupu]]/$F$19</f>
        <v>2.6740370257862738E-2</v>
      </c>
      <c r="H12" s="163"/>
      <c r="I12" s="163"/>
      <c r="J12" s="163"/>
      <c r="K12" s="163"/>
      <c r="L12" s="163"/>
      <c r="M12" s="163"/>
      <c r="N12" s="163"/>
    </row>
    <row r="13" spans="2:14" ht="15.75" x14ac:dyDescent="0.25">
      <c r="B13" s="381" t="s">
        <v>396</v>
      </c>
      <c r="C13" s="167">
        <v>8</v>
      </c>
      <c r="D13" s="375">
        <v>0.15</v>
      </c>
      <c r="E13" s="377">
        <f>Tabela7[[#This Row],[Cena bez obniżki]]-Tabela7[[#This Row],[Cena bez obniżki]]*$F$3</f>
        <v>0.1275</v>
      </c>
      <c r="F13" s="377">
        <f>Tabela7[[#This Row],[Cena elementu po obniżce]]*Tabela7[[#This Row],[Ilość zakupionych sztuk]]</f>
        <v>1.02</v>
      </c>
      <c r="G13" s="379">
        <f>Tabela7[[#This Row],[Wartość zakupu]]/$F$19</f>
        <v>2.567075544754823E-4</v>
      </c>
      <c r="H13" s="163"/>
      <c r="I13" s="163"/>
      <c r="J13" s="163"/>
      <c r="K13" s="163"/>
      <c r="L13" s="163"/>
      <c r="M13" s="163"/>
      <c r="N13" s="163"/>
    </row>
    <row r="14" spans="2:14" ht="15.75" x14ac:dyDescent="0.25">
      <c r="B14" s="381" t="s">
        <v>397</v>
      </c>
      <c r="C14" s="167">
        <v>14</v>
      </c>
      <c r="D14" s="375">
        <v>7.0000000000000007E-2</v>
      </c>
      <c r="E14" s="377">
        <f>Tabela7[[#This Row],[Cena bez obniżki]]-Tabela7[[#This Row],[Cena bez obniżki]]*$F$3</f>
        <v>5.9500000000000004E-2</v>
      </c>
      <c r="F14" s="377">
        <f>Tabela7[[#This Row],[Cena elementu po obniżce]]*Tabela7[[#This Row],[Ilość zakupionych sztuk]]</f>
        <v>0.83300000000000007</v>
      </c>
      <c r="G14" s="379">
        <f>Tabela7[[#This Row],[Wartość zakupu]]/$F$19</f>
        <v>2.0964450282164387E-4</v>
      </c>
      <c r="H14" s="163"/>
      <c r="I14" s="163"/>
      <c r="J14" s="163"/>
      <c r="K14" s="163"/>
      <c r="L14" s="163"/>
      <c r="M14" s="163"/>
      <c r="N14" s="163"/>
    </row>
    <row r="15" spans="2:14" ht="15.75" x14ac:dyDescent="0.25">
      <c r="B15" s="381" t="s">
        <v>398</v>
      </c>
      <c r="C15" s="167">
        <v>32</v>
      </c>
      <c r="D15" s="375">
        <v>0.2</v>
      </c>
      <c r="E15" s="377">
        <f>Tabela7[[#This Row],[Cena bez obniżki]]-Tabela7[[#This Row],[Cena bez obniżki]]*$F$3</f>
        <v>0.17</v>
      </c>
      <c r="F15" s="377">
        <f>Tabela7[[#This Row],[Cena elementu po obniżce]]*Tabela7[[#This Row],[Ilość zakupionych sztuk]]</f>
        <v>5.44</v>
      </c>
      <c r="G15" s="379">
        <f>Tabela7[[#This Row],[Wartość zakupu]]/$F$19</f>
        <v>1.3691069572025723E-3</v>
      </c>
      <c r="H15" s="163"/>
      <c r="I15" s="163"/>
      <c r="J15" s="163"/>
      <c r="K15" s="163"/>
      <c r="L15" s="163"/>
      <c r="M15" s="163"/>
      <c r="N15" s="163"/>
    </row>
    <row r="16" spans="2:14" ht="15.75" x14ac:dyDescent="0.25">
      <c r="B16" s="381" t="s">
        <v>456</v>
      </c>
      <c r="C16" s="167">
        <v>12</v>
      </c>
      <c r="D16" s="375">
        <v>3.5</v>
      </c>
      <c r="E16" s="377">
        <f>Tabela7[[#This Row],[Cena bez obniżki]]-Tabela7[[#This Row],[Cena bez obniżki]]*$F$3</f>
        <v>2.9750000000000001</v>
      </c>
      <c r="F16" s="377">
        <f>Tabela7[[#This Row],[Cena elementu po obniżce]]*Tabela7[[#This Row],[Ilość zakupionych sztuk]]</f>
        <v>35.700000000000003</v>
      </c>
      <c r="G16" s="379">
        <f>Tabela7[[#This Row],[Wartość zakupu]]/$F$19</f>
        <v>8.9847644066418809E-3</v>
      </c>
      <c r="H16" s="163"/>
      <c r="I16" s="163"/>
      <c r="J16" s="163"/>
      <c r="K16" s="163"/>
      <c r="L16" s="163"/>
      <c r="M16" s="163"/>
      <c r="N16" s="163"/>
    </row>
    <row r="17" spans="2:14" ht="15.75" x14ac:dyDescent="0.25">
      <c r="B17" s="381" t="s">
        <v>399</v>
      </c>
      <c r="C17" s="167">
        <v>1</v>
      </c>
      <c r="D17" s="375">
        <v>773</v>
      </c>
      <c r="E17" s="377">
        <f>Tabela7[[#This Row],[Cena bez obniżki]]-Tabela7[[#This Row],[Cena bez obniżki]]*$F$3</f>
        <v>657.05</v>
      </c>
      <c r="F17" s="377">
        <f>Tabela7[[#This Row],[Cena elementu po obniżce]]*Tabela7[[#This Row],[Ilość zakupionych sztuk]]</f>
        <v>657.05</v>
      </c>
      <c r="G17" s="379">
        <f>Tabela7[[#This Row],[Wartość zakupu]]/$F$19</f>
        <v>0.16536244967462316</v>
      </c>
      <c r="H17" s="163"/>
      <c r="I17" s="163"/>
      <c r="J17" s="163"/>
      <c r="K17" s="163"/>
      <c r="L17" s="163"/>
      <c r="M17" s="163"/>
      <c r="N17" s="163"/>
    </row>
    <row r="18" spans="2:14" ht="16.5" thickBot="1" x14ac:dyDescent="0.3">
      <c r="B18" s="382" t="s">
        <v>400</v>
      </c>
      <c r="C18" s="374">
        <v>1</v>
      </c>
      <c r="D18" s="376">
        <v>458</v>
      </c>
      <c r="E18" s="377">
        <f>Tabela7[[#This Row],[Cena bez obniżki]]-Tabela7[[#This Row],[Cena bez obniżki]]*$F$3</f>
        <v>389.3</v>
      </c>
      <c r="F18" s="378">
        <f>Tabela7[[#This Row],[Cena elementu po obniżce]]*Tabela7[[#This Row],[Ilość zakupionych sztuk]]</f>
        <v>389.3</v>
      </c>
      <c r="G18" s="380">
        <f>Tabela7[[#This Row],[Wartość zakupu]]/$F$19</f>
        <v>9.7976716624809071E-2</v>
      </c>
      <c r="H18" s="163"/>
      <c r="I18" s="163"/>
      <c r="J18" s="163"/>
      <c r="K18" s="163"/>
      <c r="L18" s="163"/>
      <c r="M18" s="163"/>
      <c r="N18" s="163"/>
    </row>
    <row r="19" spans="2:14" ht="15.75" x14ac:dyDescent="0.25">
      <c r="B19" s="163"/>
      <c r="C19" s="163"/>
      <c r="D19" s="168" t="s">
        <v>401</v>
      </c>
      <c r="E19" s="163">
        <f>SUM(E6:E17)</f>
        <v>2234.5820000000003</v>
      </c>
      <c r="F19" s="377">
        <f>SUM(F6:F18)</f>
        <v>3973.393</v>
      </c>
      <c r="G19" s="379">
        <f>Tabela7[[#This Row],[Wartość zakupu]]/$F$19</f>
        <v>1</v>
      </c>
      <c r="H19" s="163"/>
      <c r="I19" s="163"/>
      <c r="J19" s="163"/>
      <c r="K19" s="163"/>
      <c r="L19" s="163"/>
      <c r="M19" s="163"/>
      <c r="N19" s="163"/>
    </row>
    <row r="20" spans="2:14" ht="15.75" x14ac:dyDescent="0.25"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</row>
    <row r="21" spans="2:14" ht="15.75" x14ac:dyDescent="0.25"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E044-D591-46FD-B2F8-1E584F6F9A0F}">
  <dimension ref="A2:F13"/>
  <sheetViews>
    <sheetView workbookViewId="0">
      <selection activeCell="K29" sqref="K29"/>
    </sheetView>
  </sheetViews>
  <sheetFormatPr defaultRowHeight="15" x14ac:dyDescent="0.25"/>
  <cols>
    <col min="1" max="1" width="5.85546875" customWidth="1"/>
    <col min="2" max="2" width="16" customWidth="1"/>
    <col min="3" max="4" width="11.7109375" customWidth="1"/>
    <col min="5" max="5" width="29.5703125" customWidth="1"/>
  </cols>
  <sheetData>
    <row r="2" spans="1:6" ht="15.75" x14ac:dyDescent="0.25">
      <c r="A2" s="386" t="s">
        <v>402</v>
      </c>
      <c r="B2" s="386"/>
      <c r="C2" s="386"/>
      <c r="D2" s="386"/>
      <c r="E2" s="386"/>
    </row>
    <row r="3" spans="1:6" ht="15.75" x14ac:dyDescent="0.25">
      <c r="A3" s="384" t="s">
        <v>223</v>
      </c>
      <c r="B3" s="384"/>
      <c r="C3" s="384"/>
      <c r="D3" s="384"/>
      <c r="E3" s="385">
        <v>30</v>
      </c>
      <c r="F3" s="383"/>
    </row>
    <row r="4" spans="1:6" x14ac:dyDescent="0.25">
      <c r="A4" s="384"/>
      <c r="B4" s="384"/>
      <c r="C4" s="384"/>
      <c r="D4" s="384"/>
      <c r="E4" s="385"/>
    </row>
    <row r="5" spans="1:6" x14ac:dyDescent="0.25">
      <c r="A5" s="169" t="s">
        <v>403</v>
      </c>
      <c r="B5" s="169" t="s">
        <v>404</v>
      </c>
      <c r="C5" s="169" t="s">
        <v>405</v>
      </c>
      <c r="D5" s="169" t="s">
        <v>406</v>
      </c>
      <c r="E5" s="170" t="s">
        <v>407</v>
      </c>
      <c r="F5" s="171"/>
    </row>
    <row r="6" spans="1:6" x14ac:dyDescent="0.25">
      <c r="A6" s="172">
        <v>1</v>
      </c>
      <c r="B6" s="172" t="s">
        <v>408</v>
      </c>
      <c r="C6" s="172"/>
      <c r="D6" s="172">
        <v>20</v>
      </c>
      <c r="E6" s="172">
        <f>Tabela9[[#This Row],[CENA KSIĄŻKI]]*$E$3</f>
        <v>600</v>
      </c>
      <c r="F6" s="172"/>
    </row>
    <row r="7" spans="1:6" x14ac:dyDescent="0.25">
      <c r="A7" s="172">
        <v>2</v>
      </c>
      <c r="B7" s="172" t="s">
        <v>409</v>
      </c>
      <c r="C7" s="172"/>
      <c r="D7" s="172">
        <v>50</v>
      </c>
      <c r="E7" s="172">
        <f>Tabela9[[#This Row],[CENA KSIĄŻKI]]*$E$3</f>
        <v>1500</v>
      </c>
      <c r="F7" s="172"/>
    </row>
    <row r="8" spans="1:6" x14ac:dyDescent="0.25">
      <c r="A8" s="172">
        <v>3</v>
      </c>
      <c r="B8" s="172" t="s">
        <v>410</v>
      </c>
      <c r="C8" s="172"/>
      <c r="D8" s="172">
        <v>15</v>
      </c>
      <c r="E8" s="172">
        <f>Tabela9[[#This Row],[CENA KSIĄŻKI]]*$E$3</f>
        <v>450</v>
      </c>
      <c r="F8" s="172"/>
    </row>
    <row r="9" spans="1:6" x14ac:dyDescent="0.25">
      <c r="A9" s="172">
        <v>4</v>
      </c>
      <c r="B9" s="172" t="s">
        <v>411</v>
      </c>
      <c r="C9" s="172"/>
      <c r="D9" s="172">
        <v>18</v>
      </c>
      <c r="E9" s="172">
        <f>Tabela9[[#This Row],[CENA KSIĄŻKI]]*$E$3</f>
        <v>540</v>
      </c>
      <c r="F9" s="172"/>
    </row>
    <row r="10" spans="1:6" x14ac:dyDescent="0.25">
      <c r="A10" s="172">
        <v>5</v>
      </c>
      <c r="B10" s="172" t="s">
        <v>412</v>
      </c>
      <c r="C10" s="172"/>
      <c r="D10" s="172">
        <v>22</v>
      </c>
      <c r="E10" s="172">
        <f>Tabela9[[#This Row],[CENA KSIĄŻKI]]*$E$3</f>
        <v>660</v>
      </c>
      <c r="F10" s="172"/>
    </row>
    <row r="11" spans="1:6" x14ac:dyDescent="0.25">
      <c r="A11" s="172">
        <v>6</v>
      </c>
      <c r="B11" s="172" t="s">
        <v>413</v>
      </c>
      <c r="C11" s="172"/>
      <c r="D11" s="172">
        <v>25</v>
      </c>
      <c r="E11" s="172">
        <f>Tabela9[[#This Row],[CENA KSIĄŻKI]]*$E$3</f>
        <v>750</v>
      </c>
      <c r="F11" s="172"/>
    </row>
    <row r="12" spans="1:6" x14ac:dyDescent="0.25">
      <c r="A12" s="172"/>
      <c r="B12" s="172"/>
      <c r="C12" s="172" t="s">
        <v>249</v>
      </c>
      <c r="D12" s="172">
        <f>SUM(D6:D11)</f>
        <v>150</v>
      </c>
      <c r="E12" s="172">
        <f>Tabela9[[#This Row],[CENA KSIĄŻKI]]*$E$3</f>
        <v>4500</v>
      </c>
      <c r="F12" s="172"/>
    </row>
    <row r="13" spans="1:6" ht="30" x14ac:dyDescent="0.25">
      <c r="A13" s="172"/>
      <c r="B13" s="172"/>
      <c r="C13" s="388" t="s">
        <v>457</v>
      </c>
      <c r="D13" s="387">
        <f>AVERAGE(D6:D11)</f>
        <v>25</v>
      </c>
      <c r="E13" s="389">
        <f>AVERAGE(E6:E11)</f>
        <v>750</v>
      </c>
    </row>
  </sheetData>
  <mergeCells count="3">
    <mergeCell ref="A2:E2"/>
    <mergeCell ref="A3:D4"/>
    <mergeCell ref="E3:E4"/>
  </mergeCell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B45C-9186-4702-889C-B0160DC256DD}">
  <dimension ref="A1:L19"/>
  <sheetViews>
    <sheetView workbookViewId="0">
      <selection activeCell="J17" sqref="J17"/>
    </sheetView>
  </sheetViews>
  <sheetFormatPr defaultRowHeight="15" x14ac:dyDescent="0.25"/>
  <cols>
    <col min="1" max="1" width="13.140625" customWidth="1"/>
    <col min="2" max="2" width="44.28515625" bestFit="1" customWidth="1"/>
    <col min="3" max="4" width="13.140625" customWidth="1"/>
    <col min="5" max="5" width="29.140625" bestFit="1" customWidth="1"/>
    <col min="6" max="6" width="22" customWidth="1"/>
    <col min="7" max="7" width="13.140625" customWidth="1"/>
    <col min="8" max="8" width="14.28515625" bestFit="1" customWidth="1"/>
  </cols>
  <sheetData>
    <row r="1" spans="1:12" x14ac:dyDescent="0.25">
      <c r="A1" s="1"/>
      <c r="B1" s="397" t="s">
        <v>414</v>
      </c>
      <c r="C1" s="398"/>
      <c r="D1" s="399"/>
      <c r="E1" s="397" t="s">
        <v>415</v>
      </c>
      <c r="F1" s="398"/>
      <c r="G1" s="398"/>
      <c r="H1" s="398"/>
      <c r="I1" s="1"/>
      <c r="J1" s="1"/>
      <c r="K1" s="1"/>
      <c r="L1" s="1"/>
    </row>
    <row r="2" spans="1:12" ht="35.25" customHeight="1" x14ac:dyDescent="0.25">
      <c r="A2" s="1"/>
      <c r="B2" s="400" t="s">
        <v>416</v>
      </c>
      <c r="C2" s="401"/>
      <c r="D2" s="402"/>
      <c r="E2" s="403" t="s">
        <v>417</v>
      </c>
      <c r="F2" s="404"/>
      <c r="G2" s="404"/>
      <c r="H2" s="404"/>
      <c r="I2" s="1"/>
      <c r="J2" s="1"/>
      <c r="K2" s="1"/>
      <c r="L2" s="1"/>
    </row>
    <row r="3" spans="1:12" x14ac:dyDescent="0.25">
      <c r="B3" s="3"/>
      <c r="C3" s="3"/>
      <c r="D3" s="3"/>
      <c r="E3" s="3"/>
      <c r="F3" s="3"/>
      <c r="G3" s="3"/>
      <c r="H3" s="3"/>
    </row>
    <row r="4" spans="1:12" x14ac:dyDescent="0.25">
      <c r="B4" s="410" t="s">
        <v>418</v>
      </c>
      <c r="C4" s="405">
        <v>0.05</v>
      </c>
      <c r="D4" s="406"/>
      <c r="E4" s="411" t="s">
        <v>419</v>
      </c>
      <c r="F4" s="405">
        <v>0.22</v>
      </c>
      <c r="G4" s="407"/>
    </row>
    <row r="5" spans="1:12" x14ac:dyDescent="0.25">
      <c r="B5" s="3"/>
      <c r="C5" s="3"/>
      <c r="D5" s="3"/>
      <c r="E5" s="3"/>
      <c r="F5" s="3"/>
      <c r="G5" s="390"/>
      <c r="H5" s="3"/>
    </row>
    <row r="6" spans="1:12" ht="20.25" x14ac:dyDescent="0.3">
      <c r="B6" s="391" t="s">
        <v>420</v>
      </c>
      <c r="C6" s="3"/>
      <c r="D6" s="3"/>
      <c r="E6" s="3"/>
      <c r="F6" s="3"/>
      <c r="G6" s="3"/>
      <c r="H6" s="3"/>
    </row>
    <row r="7" spans="1:12" x14ac:dyDescent="0.25">
      <c r="B7" s="3"/>
      <c r="C7" s="3"/>
      <c r="D7" s="3"/>
      <c r="E7" s="3"/>
      <c r="F7" s="3"/>
      <c r="G7" s="3"/>
      <c r="H7" s="3"/>
    </row>
    <row r="8" spans="1:12" ht="30" x14ac:dyDescent="0.25">
      <c r="A8" s="408" t="s">
        <v>421</v>
      </c>
      <c r="B8" s="409" t="s">
        <v>422</v>
      </c>
      <c r="C8" s="409" t="s">
        <v>423</v>
      </c>
      <c r="D8" s="409" t="s">
        <v>424</v>
      </c>
      <c r="E8" s="409" t="s">
        <v>425</v>
      </c>
      <c r="F8" s="409" t="s">
        <v>426</v>
      </c>
      <c r="G8" s="409" t="s">
        <v>427</v>
      </c>
      <c r="H8" s="409" t="s">
        <v>428</v>
      </c>
    </row>
    <row r="9" spans="1:12" hidden="1" x14ac:dyDescent="0.25">
      <c r="A9" s="172" t="s">
        <v>421</v>
      </c>
      <c r="B9" s="392" t="s">
        <v>422</v>
      </c>
      <c r="C9" s="392" t="s">
        <v>423</v>
      </c>
      <c r="D9" s="392" t="s">
        <v>424</v>
      </c>
      <c r="E9" s="392" t="s">
        <v>425</v>
      </c>
      <c r="F9" s="392" t="s">
        <v>426</v>
      </c>
      <c r="G9" s="393" t="s">
        <v>427</v>
      </c>
      <c r="H9" s="392" t="s">
        <v>428</v>
      </c>
    </row>
    <row r="10" spans="1:12" x14ac:dyDescent="0.25">
      <c r="A10" s="172">
        <v>1</v>
      </c>
      <c r="B10" s="392" t="s">
        <v>429</v>
      </c>
      <c r="C10" s="392">
        <v>1.1000000000000001</v>
      </c>
      <c r="D10" s="392">
        <v>5</v>
      </c>
      <c r="E10" s="394">
        <f>Tabela4[[#This Row],[cena netto]]*Tabela4[[#This Row],[ilość sztuk]]</f>
        <v>5.5</v>
      </c>
      <c r="F10" s="394">
        <f>IF(Tabela4[[#This Row],[Wartość netto]]&gt;20,Tabela4[[#This Row],[Wartość netto]]*$C$4, Tabela4[[#This Row],[Wartość netto]])</f>
        <v>5.5</v>
      </c>
      <c r="G10" s="394">
        <f>Tabela4[[#This Row],[Wartość netto]]*$F$4</f>
        <v>1.21</v>
      </c>
      <c r="H10" s="395">
        <f>Tabela4[[#This Row],[kwota VAT]]+Tabela4[[#This Row],[Wartość z upustem]]</f>
        <v>6.71</v>
      </c>
    </row>
    <row r="11" spans="1:12" x14ac:dyDescent="0.25">
      <c r="A11" s="172">
        <v>2</v>
      </c>
      <c r="B11" s="392" t="s">
        <v>430</v>
      </c>
      <c r="C11" s="392">
        <v>1.8</v>
      </c>
      <c r="D11" s="392">
        <v>2</v>
      </c>
      <c r="E11" s="394">
        <f>Tabela4[[#This Row],[cena netto]]*Tabela4[[#This Row],[ilość sztuk]]</f>
        <v>3.6</v>
      </c>
      <c r="F11" s="394">
        <f>IF(Tabela4[[#This Row],[Wartość netto]]&gt;20,Tabela4[[#This Row],[Wartość netto]]*$C$4, Tabela4[[#This Row],[Wartość netto]])</f>
        <v>3.6</v>
      </c>
      <c r="G11" s="394">
        <f>Tabela4[[#This Row],[Wartość netto]]*$F$4</f>
        <v>0.79200000000000004</v>
      </c>
      <c r="H11" s="395">
        <f>Tabela4[[#This Row],[kwota VAT]]+Tabela4[[#This Row],[Wartość z upustem]]</f>
        <v>4.3920000000000003</v>
      </c>
    </row>
    <row r="12" spans="1:12" x14ac:dyDescent="0.25">
      <c r="A12" s="172">
        <v>3</v>
      </c>
      <c r="B12" s="392" t="s">
        <v>431</v>
      </c>
      <c r="C12" s="392">
        <v>6.2</v>
      </c>
      <c r="D12" s="392">
        <v>2</v>
      </c>
      <c r="E12" s="394">
        <f>Tabela4[[#This Row],[cena netto]]*Tabela4[[#This Row],[ilość sztuk]]</f>
        <v>12.4</v>
      </c>
      <c r="F12" s="394">
        <f>IF(Tabela4[[#This Row],[Wartość netto]]&gt;20,Tabela4[[#This Row],[Wartość netto]]*$C$4, Tabela4[[#This Row],[Wartość netto]])</f>
        <v>12.4</v>
      </c>
      <c r="G12" s="394">
        <f>Tabela4[[#This Row],[Wartość netto]]*$F$4</f>
        <v>2.7280000000000002</v>
      </c>
      <c r="H12" s="395">
        <f>Tabela4[[#This Row],[kwota VAT]]+Tabela4[[#This Row],[Wartość z upustem]]</f>
        <v>15.128</v>
      </c>
    </row>
    <row r="13" spans="1:12" x14ac:dyDescent="0.25">
      <c r="A13" s="172">
        <v>4</v>
      </c>
      <c r="B13" s="392" t="s">
        <v>432</v>
      </c>
      <c r="C13" s="392">
        <v>21</v>
      </c>
      <c r="D13" s="392">
        <v>1</v>
      </c>
      <c r="E13" s="394">
        <f>Tabela4[[#This Row],[cena netto]]*Tabela4[[#This Row],[ilość sztuk]]</f>
        <v>21</v>
      </c>
      <c r="F13" s="394">
        <f>IF(Tabela4[[#This Row],[Wartość netto]]&gt;20,Tabela4[[#This Row],[Wartość netto]]*$C$4, Tabela4[[#This Row],[Wartość netto]])</f>
        <v>1.05</v>
      </c>
      <c r="G13" s="394">
        <f>Tabela4[[#This Row],[Wartość netto]]*$F$4</f>
        <v>4.62</v>
      </c>
      <c r="H13" s="395">
        <f>Tabela4[[#This Row],[kwota VAT]]+Tabela4[[#This Row],[Wartość z upustem]]</f>
        <v>5.67</v>
      </c>
    </row>
    <row r="14" spans="1:12" x14ac:dyDescent="0.25">
      <c r="A14" s="172">
        <v>5</v>
      </c>
      <c r="B14" s="392" t="s">
        <v>433</v>
      </c>
      <c r="C14" s="392">
        <v>0.9</v>
      </c>
      <c r="D14" s="392">
        <v>4</v>
      </c>
      <c r="E14" s="394">
        <f>Tabela4[[#This Row],[cena netto]]*Tabela4[[#This Row],[ilość sztuk]]</f>
        <v>3.6</v>
      </c>
      <c r="F14" s="394">
        <f>IF(Tabela4[[#This Row],[Wartość netto]]&gt;20,Tabela4[[#This Row],[Wartość netto]]*$C$4, Tabela4[[#This Row],[Wartość netto]])</f>
        <v>3.6</v>
      </c>
      <c r="G14" s="394">
        <f>Tabela4[[#This Row],[Wartość netto]]*$F$4</f>
        <v>0.79200000000000004</v>
      </c>
      <c r="H14" s="395">
        <f>Tabela4[[#This Row],[kwota VAT]]+Tabela4[[#This Row],[Wartość z upustem]]</f>
        <v>4.3920000000000003</v>
      </c>
    </row>
    <row r="15" spans="1:12" x14ac:dyDescent="0.25">
      <c r="A15" s="172">
        <v>6</v>
      </c>
      <c r="B15" s="392" t="s">
        <v>434</v>
      </c>
      <c r="C15" s="392">
        <v>1.2</v>
      </c>
      <c r="D15" s="392">
        <v>3</v>
      </c>
      <c r="E15" s="394">
        <f>Tabela4[[#This Row],[cena netto]]*Tabela4[[#This Row],[ilość sztuk]]</f>
        <v>3.5999999999999996</v>
      </c>
      <c r="F15" s="394">
        <f>IF(Tabela4[[#This Row],[Wartość netto]]&gt;20,Tabela4[[#This Row],[Wartość netto]]*$C$4, Tabela4[[#This Row],[Wartość netto]])</f>
        <v>3.5999999999999996</v>
      </c>
      <c r="G15" s="394">
        <f>Tabela4[[#This Row],[Wartość netto]]*$F$4</f>
        <v>0.79199999999999993</v>
      </c>
      <c r="H15" s="395">
        <f>Tabela4[[#This Row],[kwota VAT]]+Tabela4[[#This Row],[Wartość z upustem]]</f>
        <v>4.3919999999999995</v>
      </c>
    </row>
    <row r="16" spans="1:12" x14ac:dyDescent="0.25">
      <c r="A16" s="172">
        <v>7</v>
      </c>
      <c r="B16" s="392" t="s">
        <v>435</v>
      </c>
      <c r="C16" s="392">
        <v>0.1</v>
      </c>
      <c r="D16" s="392">
        <v>10</v>
      </c>
      <c r="E16" s="394">
        <f>Tabela4[[#This Row],[cena netto]]*Tabela4[[#This Row],[ilość sztuk]]</f>
        <v>1</v>
      </c>
      <c r="F16" s="394">
        <f>IF(Tabela4[[#This Row],[Wartość netto]]&gt;20,Tabela4[[#This Row],[Wartość netto]]*$C$4, Tabela4[[#This Row],[Wartość netto]])</f>
        <v>1</v>
      </c>
      <c r="G16" s="394">
        <f>Tabela4[[#This Row],[Wartość netto]]*$F$4</f>
        <v>0.22</v>
      </c>
      <c r="H16" s="395">
        <f>Tabela4[[#This Row],[kwota VAT]]+Tabela4[[#This Row],[Wartość z upustem]]</f>
        <v>1.22</v>
      </c>
    </row>
    <row r="17" spans="1:8" x14ac:dyDescent="0.25">
      <c r="A17" s="172">
        <v>8</v>
      </c>
      <c r="B17" s="392" t="s">
        <v>436</v>
      </c>
      <c r="C17" s="392">
        <v>5.2</v>
      </c>
      <c r="D17" s="392">
        <v>2</v>
      </c>
      <c r="E17" s="394">
        <f>Tabela4[[#This Row],[cena netto]]*Tabela4[[#This Row],[ilość sztuk]]</f>
        <v>10.4</v>
      </c>
      <c r="F17" s="394">
        <f>IF(Tabela4[[#This Row],[Wartość netto]]&gt;20,Tabela4[[#This Row],[Wartość netto]]*$C$4, Tabela4[[#This Row],[Wartość netto]])</f>
        <v>10.4</v>
      </c>
      <c r="G17" s="394">
        <f>Tabela4[[#This Row],[Wartość netto]]*$F$4</f>
        <v>2.2880000000000003</v>
      </c>
      <c r="H17" s="395">
        <f>Tabela4[[#This Row],[kwota VAT]]+Tabela4[[#This Row],[Wartość z upustem]]</f>
        <v>12.688000000000001</v>
      </c>
    </row>
    <row r="18" spans="1:8" x14ac:dyDescent="0.25">
      <c r="A18" s="172">
        <v>9</v>
      </c>
      <c r="B18" s="392" t="s">
        <v>437</v>
      </c>
      <c r="C18" s="392">
        <v>12.5</v>
      </c>
      <c r="D18" s="392">
        <v>1</v>
      </c>
      <c r="E18" s="394">
        <f>Tabela4[[#This Row],[cena netto]]*Tabela4[[#This Row],[ilość sztuk]]</f>
        <v>12.5</v>
      </c>
      <c r="F18" s="394">
        <f>IF(Tabela4[[#This Row],[Wartość netto]]&gt;20,Tabela4[[#This Row],[Wartość netto]]*$C$4, Tabela4[[#This Row],[Wartość netto]])</f>
        <v>12.5</v>
      </c>
      <c r="G18" s="394">
        <f>Tabela4[[#This Row],[Wartość netto]]*$F$4</f>
        <v>2.75</v>
      </c>
      <c r="H18" s="395">
        <f>Tabela4[[#This Row],[kwota VAT]]+Tabela4[[#This Row],[Wartość z upustem]]</f>
        <v>15.25</v>
      </c>
    </row>
    <row r="19" spans="1:8" x14ac:dyDescent="0.25">
      <c r="A19" s="172"/>
      <c r="B19" s="392"/>
      <c r="C19" s="392"/>
      <c r="D19" s="396" t="s">
        <v>249</v>
      </c>
      <c r="E19" s="395">
        <f>SUM(E10:E18)</f>
        <v>73.599999999999994</v>
      </c>
      <c r="F19" s="395">
        <f>SUM(F10:F18)</f>
        <v>53.65</v>
      </c>
      <c r="G19" s="395">
        <f t="shared" ref="G19:H19" si="0">SUM(G10:G18)</f>
        <v>16.192</v>
      </c>
      <c r="H19" s="395">
        <f t="shared" si="0"/>
        <v>69.841999999999999</v>
      </c>
    </row>
  </sheetData>
  <mergeCells count="5">
    <mergeCell ref="F4:G4"/>
    <mergeCell ref="C4:D4"/>
    <mergeCell ref="B2:D2"/>
    <mergeCell ref="B1:D1"/>
    <mergeCell ref="E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4A5F-DA1A-4AC0-BD35-D6CCB755ACEE}">
  <dimension ref="A1:L13"/>
  <sheetViews>
    <sheetView workbookViewId="0">
      <selection activeCell="D14" sqref="D14"/>
    </sheetView>
  </sheetViews>
  <sheetFormatPr defaultRowHeight="15" x14ac:dyDescent="0.25"/>
  <cols>
    <col min="1" max="1" width="10.85546875" bestFit="1" customWidth="1"/>
    <col min="2" max="2" width="19.7109375" bestFit="1" customWidth="1"/>
    <col min="3" max="3" width="11.28515625" bestFit="1" customWidth="1"/>
    <col min="4" max="4" width="9.7109375" bestFit="1" customWidth="1"/>
    <col min="5" max="5" width="15.42578125" customWidth="1"/>
  </cols>
  <sheetData>
    <row r="1" spans="1:12" ht="15.75" x14ac:dyDescent="0.25">
      <c r="A1" s="20"/>
      <c r="B1" s="20"/>
      <c r="C1" s="20"/>
      <c r="D1" s="20"/>
      <c r="E1" s="20"/>
      <c r="F1" s="20"/>
      <c r="G1" s="21"/>
      <c r="H1" s="21"/>
      <c r="I1" s="22"/>
      <c r="J1" s="22"/>
      <c r="K1" s="22"/>
      <c r="L1" s="22"/>
    </row>
    <row r="2" spans="1:12" ht="15.75" x14ac:dyDescent="0.25">
      <c r="A2" s="215"/>
      <c r="B2" s="216" t="s">
        <v>31</v>
      </c>
      <c r="C2" s="217"/>
      <c r="D2" s="215"/>
      <c r="E2" s="215"/>
      <c r="F2" s="20"/>
      <c r="G2" s="21"/>
      <c r="H2" s="21"/>
      <c r="I2" s="22"/>
      <c r="J2" s="22"/>
      <c r="K2" s="22"/>
      <c r="L2" s="22"/>
    </row>
    <row r="3" spans="1:12" ht="15.75" x14ac:dyDescent="0.25">
      <c r="A3" s="215"/>
      <c r="B3" s="215" t="s">
        <v>32</v>
      </c>
      <c r="C3" s="23">
        <v>21</v>
      </c>
      <c r="D3" s="215"/>
      <c r="E3" s="218"/>
      <c r="F3" s="20"/>
      <c r="G3" s="21"/>
      <c r="H3" s="21"/>
      <c r="I3" s="22"/>
      <c r="J3" s="22"/>
      <c r="K3" s="22"/>
      <c r="L3" s="22"/>
    </row>
    <row r="4" spans="1:12" ht="26.25" x14ac:dyDescent="0.25">
      <c r="A4" s="219" t="s">
        <v>1</v>
      </c>
      <c r="B4" s="219" t="s">
        <v>33</v>
      </c>
      <c r="C4" s="219" t="s">
        <v>34</v>
      </c>
      <c r="D4" s="219" t="s">
        <v>35</v>
      </c>
      <c r="E4" s="219" t="s">
        <v>36</v>
      </c>
      <c r="F4" s="24"/>
      <c r="G4" s="25"/>
      <c r="H4" s="25"/>
      <c r="I4" s="26"/>
      <c r="J4" s="22"/>
      <c r="K4" s="22"/>
      <c r="L4" s="22"/>
    </row>
    <row r="5" spans="1:12" ht="15.75" x14ac:dyDescent="0.25">
      <c r="A5" s="215" t="s">
        <v>37</v>
      </c>
      <c r="B5" s="215">
        <v>5</v>
      </c>
      <c r="C5" s="220">
        <v>2450</v>
      </c>
      <c r="D5" s="220">
        <f t="shared" ref="D5:D13" si="0">C5/$C$3</f>
        <v>116.66666666666667</v>
      </c>
      <c r="E5" s="221">
        <f>IF(B5&lt;=3,D5*B5,B5*D5*20%)</f>
        <v>116.66666666666669</v>
      </c>
      <c r="F5" s="20"/>
      <c r="G5" s="21"/>
      <c r="H5" s="21"/>
      <c r="I5" s="27"/>
      <c r="J5" s="22"/>
      <c r="K5" s="22"/>
      <c r="L5" s="22"/>
    </row>
    <row r="6" spans="1:12" ht="15.75" x14ac:dyDescent="0.25">
      <c r="A6" s="215" t="s">
        <v>38</v>
      </c>
      <c r="B6" s="215">
        <v>3</v>
      </c>
      <c r="C6" s="220">
        <v>1890</v>
      </c>
      <c r="D6" s="220">
        <f t="shared" si="0"/>
        <v>90</v>
      </c>
      <c r="E6" s="221">
        <f t="shared" ref="E6:E13" si="1">IF(B6&lt;=3,D6*B6,B6*D6*20%)</f>
        <v>270</v>
      </c>
      <c r="F6" s="20"/>
      <c r="G6" s="21"/>
      <c r="H6" s="21"/>
      <c r="I6" s="27"/>
      <c r="J6" s="22"/>
      <c r="K6" s="22"/>
      <c r="L6" s="22"/>
    </row>
    <row r="7" spans="1:12" ht="15.75" x14ac:dyDescent="0.25">
      <c r="A7" s="215" t="s">
        <v>39</v>
      </c>
      <c r="B7" s="215">
        <v>9</v>
      </c>
      <c r="C7" s="220">
        <v>2255</v>
      </c>
      <c r="D7" s="220">
        <f t="shared" si="0"/>
        <v>107.38095238095238</v>
      </c>
      <c r="E7" s="221">
        <f t="shared" si="1"/>
        <v>193.28571428571431</v>
      </c>
      <c r="F7" s="20"/>
      <c r="G7" s="21"/>
      <c r="H7" s="21"/>
      <c r="I7" s="27"/>
      <c r="J7" s="22"/>
      <c r="K7" s="22"/>
      <c r="L7" s="22"/>
    </row>
    <row r="8" spans="1:12" ht="15.75" x14ac:dyDescent="0.25">
      <c r="A8" s="215" t="s">
        <v>40</v>
      </c>
      <c r="B8" s="215">
        <v>8</v>
      </c>
      <c r="C8" s="220">
        <v>1790</v>
      </c>
      <c r="D8" s="220">
        <f t="shared" si="0"/>
        <v>85.238095238095241</v>
      </c>
      <c r="E8" s="221">
        <f t="shared" si="1"/>
        <v>136.38095238095238</v>
      </c>
      <c r="F8" s="20"/>
      <c r="G8" s="21"/>
      <c r="H8" s="21"/>
      <c r="I8" s="27"/>
      <c r="J8" s="22"/>
      <c r="K8" s="22"/>
      <c r="L8" s="22"/>
    </row>
    <row r="9" spans="1:12" ht="15.75" x14ac:dyDescent="0.25">
      <c r="A9" s="215" t="s">
        <v>41</v>
      </c>
      <c r="B9" s="215">
        <v>4</v>
      </c>
      <c r="C9" s="220">
        <v>2650</v>
      </c>
      <c r="D9" s="220">
        <f t="shared" si="0"/>
        <v>126.19047619047619</v>
      </c>
      <c r="E9" s="221">
        <f t="shared" si="1"/>
        <v>100.95238095238096</v>
      </c>
      <c r="F9" s="20"/>
      <c r="G9" s="21"/>
      <c r="H9" s="21"/>
      <c r="I9" s="27"/>
      <c r="J9" s="22"/>
      <c r="K9" s="22"/>
      <c r="L9" s="22"/>
    </row>
    <row r="10" spans="1:12" ht="15.75" x14ac:dyDescent="0.25">
      <c r="A10" s="215" t="s">
        <v>42</v>
      </c>
      <c r="B10" s="215">
        <v>8</v>
      </c>
      <c r="C10" s="220">
        <v>3030</v>
      </c>
      <c r="D10" s="220">
        <f t="shared" si="0"/>
        <v>144.28571428571428</v>
      </c>
      <c r="E10" s="221">
        <f t="shared" si="1"/>
        <v>230.85714285714286</v>
      </c>
      <c r="F10" s="20"/>
      <c r="G10" s="21"/>
      <c r="H10" s="21"/>
      <c r="I10" s="27"/>
      <c r="J10" s="22"/>
      <c r="K10" s="22"/>
      <c r="L10" s="22"/>
    </row>
    <row r="11" spans="1:12" ht="15.75" x14ac:dyDescent="0.25">
      <c r="A11" s="215" t="s">
        <v>43</v>
      </c>
      <c r="B11" s="215">
        <v>2</v>
      </c>
      <c r="C11" s="220">
        <v>2600</v>
      </c>
      <c r="D11" s="220">
        <f t="shared" si="0"/>
        <v>123.80952380952381</v>
      </c>
      <c r="E11" s="221">
        <f t="shared" si="1"/>
        <v>247.61904761904762</v>
      </c>
      <c r="F11" s="20"/>
      <c r="G11" s="21"/>
      <c r="H11" s="21"/>
      <c r="I11" s="27"/>
      <c r="J11" s="22"/>
      <c r="K11" s="22"/>
      <c r="L11" s="22"/>
    </row>
    <row r="12" spans="1:12" ht="15.75" x14ac:dyDescent="0.25">
      <c r="A12" s="215" t="s">
        <v>44</v>
      </c>
      <c r="B12" s="215">
        <v>8</v>
      </c>
      <c r="C12" s="220">
        <v>1750</v>
      </c>
      <c r="D12" s="220">
        <f t="shared" si="0"/>
        <v>83.333333333333329</v>
      </c>
      <c r="E12" s="221">
        <f t="shared" si="1"/>
        <v>133.33333333333334</v>
      </c>
      <c r="F12" s="20"/>
      <c r="G12" s="21"/>
      <c r="H12" s="21"/>
      <c r="I12" s="27"/>
      <c r="J12" s="22"/>
      <c r="K12" s="22"/>
      <c r="L12" s="22"/>
    </row>
    <row r="13" spans="1:12" ht="15.75" x14ac:dyDescent="0.25">
      <c r="A13" s="215" t="s">
        <v>45</v>
      </c>
      <c r="B13" s="215">
        <v>1</v>
      </c>
      <c r="C13" s="220">
        <v>1590</v>
      </c>
      <c r="D13" s="220">
        <f t="shared" si="0"/>
        <v>75.714285714285708</v>
      </c>
      <c r="E13" s="221">
        <f t="shared" si="1"/>
        <v>75.714285714285708</v>
      </c>
      <c r="F13" s="20"/>
      <c r="G13" s="21"/>
      <c r="H13" s="21"/>
      <c r="I13" s="27"/>
      <c r="J13" s="22"/>
      <c r="K13" s="22"/>
      <c r="L13" s="2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35BE-F446-4D35-88EB-D7C04CD1938D}">
  <dimension ref="A1:N22"/>
  <sheetViews>
    <sheetView workbookViewId="0">
      <selection activeCell="E26" sqref="E26"/>
    </sheetView>
  </sheetViews>
  <sheetFormatPr defaultRowHeight="15" x14ac:dyDescent="0.25"/>
  <cols>
    <col min="4" max="4" width="14.28515625" customWidth="1"/>
    <col min="5" max="5" width="12.140625" bestFit="1" customWidth="1"/>
  </cols>
  <sheetData>
    <row r="1" spans="1:14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ht="15.75" thickBo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</row>
    <row r="3" spans="1:14" ht="16.5" thickTop="1" thickBot="1" x14ac:dyDescent="0.3">
      <c r="A3" s="173"/>
      <c r="B3" s="210" t="s">
        <v>438</v>
      </c>
      <c r="C3" s="174" t="s">
        <v>439</v>
      </c>
      <c r="D3" s="174" t="s">
        <v>440</v>
      </c>
      <c r="E3" s="175" t="s">
        <v>441</v>
      </c>
      <c r="F3" s="173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173"/>
      <c r="B4" s="211"/>
      <c r="C4" s="176">
        <v>1</v>
      </c>
      <c r="D4" s="177" t="s">
        <v>458</v>
      </c>
      <c r="E4" s="178">
        <v>-10</v>
      </c>
      <c r="F4" s="173"/>
      <c r="G4" s="173"/>
      <c r="H4" s="173"/>
      <c r="I4" s="173"/>
      <c r="J4" s="173"/>
      <c r="K4" s="173"/>
      <c r="L4" s="173"/>
      <c r="M4" s="173"/>
      <c r="N4" s="173"/>
    </row>
    <row r="5" spans="1:14" x14ac:dyDescent="0.25">
      <c r="A5" s="173"/>
      <c r="B5" s="211"/>
      <c r="C5" s="179">
        <v>2</v>
      </c>
      <c r="D5" s="177" t="s">
        <v>459</v>
      </c>
      <c r="E5" s="180">
        <v>-9</v>
      </c>
      <c r="F5" s="173"/>
      <c r="G5" s="173"/>
      <c r="H5" s="173"/>
      <c r="I5" s="173"/>
      <c r="J5" s="173"/>
      <c r="K5" s="173"/>
      <c r="L5" s="173"/>
      <c r="M5" s="173"/>
      <c r="N5" s="173"/>
    </row>
    <row r="6" spans="1:14" x14ac:dyDescent="0.25">
      <c r="A6" s="173"/>
      <c r="B6" s="211"/>
      <c r="C6" s="176">
        <v>3</v>
      </c>
      <c r="D6" s="177" t="s">
        <v>460</v>
      </c>
      <c r="E6" s="180">
        <v>-11</v>
      </c>
      <c r="F6" s="173"/>
      <c r="G6" s="173"/>
      <c r="H6" s="173"/>
      <c r="I6" s="173"/>
      <c r="J6" s="173"/>
      <c r="K6" s="173"/>
      <c r="L6" s="173"/>
      <c r="M6" s="173"/>
      <c r="N6" s="173"/>
    </row>
    <row r="7" spans="1:14" x14ac:dyDescent="0.25">
      <c r="A7" s="173"/>
      <c r="B7" s="211"/>
      <c r="C7" s="179">
        <v>4</v>
      </c>
      <c r="D7" s="177" t="s">
        <v>461</v>
      </c>
      <c r="E7" s="180">
        <v>-10</v>
      </c>
      <c r="F7" s="173"/>
      <c r="G7" s="173"/>
      <c r="H7" s="173"/>
      <c r="I7" s="173"/>
      <c r="J7" s="173"/>
      <c r="K7" s="173"/>
      <c r="L7" s="173"/>
      <c r="M7" s="173"/>
      <c r="N7" s="173"/>
    </row>
    <row r="8" spans="1:14" x14ac:dyDescent="0.25">
      <c r="A8" s="173"/>
      <c r="B8" s="211"/>
      <c r="C8" s="412">
        <v>5</v>
      </c>
      <c r="D8" s="413" t="s">
        <v>462</v>
      </c>
      <c r="E8" s="414">
        <v>-6</v>
      </c>
      <c r="F8" s="173"/>
      <c r="G8" s="173"/>
      <c r="H8" s="173"/>
      <c r="I8" s="173"/>
      <c r="J8" s="173"/>
      <c r="K8" s="173"/>
      <c r="L8" s="173"/>
      <c r="M8" s="173"/>
      <c r="N8" s="173"/>
    </row>
    <row r="9" spans="1:14" x14ac:dyDescent="0.25">
      <c r="A9" s="173"/>
      <c r="B9" s="211"/>
      <c r="C9" s="416">
        <v>6</v>
      </c>
      <c r="D9" s="177" t="s">
        <v>463</v>
      </c>
      <c r="E9" s="180">
        <v>-5</v>
      </c>
      <c r="F9" s="173"/>
      <c r="G9" s="173"/>
      <c r="H9" s="173"/>
      <c r="I9" s="173"/>
      <c r="J9" s="173"/>
      <c r="K9" s="173"/>
      <c r="L9" s="173"/>
      <c r="M9" s="173"/>
      <c r="N9" s="173"/>
    </row>
    <row r="10" spans="1:14" x14ac:dyDescent="0.25">
      <c r="A10" s="173"/>
      <c r="B10" s="211"/>
      <c r="C10" s="417">
        <v>7</v>
      </c>
      <c r="D10" s="177" t="s">
        <v>464</v>
      </c>
      <c r="E10" s="180">
        <v>-3</v>
      </c>
      <c r="F10" s="173"/>
      <c r="G10" s="173"/>
      <c r="H10" s="173"/>
      <c r="I10" s="173"/>
      <c r="J10" s="173"/>
      <c r="K10" s="173"/>
      <c r="L10" s="173"/>
      <c r="M10" s="173"/>
      <c r="N10" s="173"/>
    </row>
    <row r="11" spans="1:14" x14ac:dyDescent="0.25">
      <c r="A11" s="173"/>
      <c r="B11" s="211"/>
      <c r="C11" s="416">
        <v>8</v>
      </c>
      <c r="D11" s="177" t="s">
        <v>465</v>
      </c>
      <c r="E11" s="180">
        <v>-2</v>
      </c>
      <c r="F11" s="173"/>
      <c r="G11" s="173"/>
      <c r="H11" s="173"/>
      <c r="I11" s="173"/>
      <c r="J11" s="173"/>
      <c r="K11" s="173"/>
      <c r="L11" s="173"/>
      <c r="M11" s="173"/>
      <c r="N11" s="173"/>
    </row>
    <row r="12" spans="1:14" x14ac:dyDescent="0.25">
      <c r="A12" s="173"/>
      <c r="B12" s="211"/>
      <c r="C12" s="417">
        <v>9</v>
      </c>
      <c r="D12" s="177" t="s">
        <v>466</v>
      </c>
      <c r="E12" s="180">
        <v>-1</v>
      </c>
      <c r="F12" s="173"/>
      <c r="G12" s="173"/>
      <c r="H12" s="173"/>
      <c r="I12" s="173"/>
      <c r="J12" s="173"/>
      <c r="K12" s="173"/>
      <c r="L12" s="173"/>
      <c r="M12" s="173"/>
      <c r="N12" s="173"/>
    </row>
    <row r="13" spans="1:14" x14ac:dyDescent="0.25">
      <c r="A13" s="173"/>
      <c r="B13" s="211"/>
      <c r="C13" s="416">
        <v>10</v>
      </c>
      <c r="D13" s="177" t="s">
        <v>467</v>
      </c>
      <c r="E13" s="180">
        <v>0</v>
      </c>
      <c r="F13" s="173"/>
      <c r="G13" s="173"/>
      <c r="H13" s="173"/>
      <c r="I13" s="173"/>
      <c r="J13" s="173"/>
      <c r="K13" s="173"/>
      <c r="L13" s="173"/>
      <c r="M13" s="173"/>
      <c r="N13" s="173"/>
    </row>
    <row r="14" spans="1:14" x14ac:dyDescent="0.25">
      <c r="A14" s="173"/>
      <c r="B14" s="211"/>
      <c r="C14" s="417">
        <v>11</v>
      </c>
      <c r="D14" s="177" t="s">
        <v>468</v>
      </c>
      <c r="E14" s="180">
        <v>2</v>
      </c>
      <c r="F14" s="173"/>
      <c r="G14" s="173"/>
      <c r="H14" s="173"/>
      <c r="I14" s="173"/>
      <c r="J14" s="173"/>
      <c r="K14" s="173"/>
      <c r="L14" s="173"/>
      <c r="M14" s="173"/>
      <c r="N14" s="173"/>
    </row>
    <row r="15" spans="1:14" x14ac:dyDescent="0.25">
      <c r="A15" s="173"/>
      <c r="B15" s="211"/>
      <c r="C15" s="416">
        <v>12</v>
      </c>
      <c r="D15" s="177" t="s">
        <v>469</v>
      </c>
      <c r="E15" s="180">
        <v>3</v>
      </c>
      <c r="F15" s="173"/>
      <c r="G15" s="173"/>
      <c r="H15" s="173"/>
      <c r="I15" s="173"/>
      <c r="J15" s="173"/>
      <c r="K15" s="173"/>
      <c r="L15" s="173"/>
      <c r="M15" s="173"/>
      <c r="N15" s="173"/>
    </row>
    <row r="16" spans="1:14" x14ac:dyDescent="0.25">
      <c r="A16" s="173"/>
      <c r="B16" s="211"/>
      <c r="C16" s="417">
        <v>13</v>
      </c>
      <c r="D16" s="177" t="s">
        <v>470</v>
      </c>
      <c r="E16" s="180">
        <v>2</v>
      </c>
      <c r="F16" s="173"/>
      <c r="G16" s="173"/>
      <c r="H16" s="173"/>
      <c r="I16" s="173"/>
      <c r="J16" s="173"/>
      <c r="K16" s="173"/>
      <c r="L16" s="173"/>
      <c r="M16" s="173"/>
      <c r="N16" s="173"/>
    </row>
    <row r="17" spans="1:14" ht="15.75" thickBot="1" x14ac:dyDescent="0.3">
      <c r="A17" s="173"/>
      <c r="B17" s="212"/>
      <c r="C17" s="416">
        <v>14</v>
      </c>
      <c r="D17" s="177" t="s">
        <v>471</v>
      </c>
      <c r="E17" s="181">
        <v>3</v>
      </c>
      <c r="F17" s="173"/>
      <c r="G17" s="173"/>
      <c r="H17" s="173"/>
      <c r="I17" s="173"/>
      <c r="J17" s="173"/>
      <c r="K17" s="173"/>
      <c r="L17" s="173"/>
      <c r="M17" s="173"/>
      <c r="N17" s="173"/>
    </row>
    <row r="18" spans="1:14" ht="27.75" thickTop="1" thickBot="1" x14ac:dyDescent="0.3">
      <c r="A18" s="173"/>
      <c r="B18" s="173"/>
      <c r="C18" s="418"/>
      <c r="D18" s="182" t="s">
        <v>442</v>
      </c>
      <c r="E18" s="415">
        <f>AVERAGE(E4:E17)</f>
        <v>-3.3571428571428572</v>
      </c>
      <c r="F18" s="173"/>
      <c r="G18" s="173"/>
      <c r="H18" s="173"/>
      <c r="I18" s="173"/>
      <c r="J18" s="173"/>
      <c r="K18" s="173"/>
      <c r="L18" s="173"/>
      <c r="M18" s="173"/>
      <c r="N18" s="173"/>
    </row>
    <row r="19" spans="1:14" ht="16.5" thickTop="1" thickBot="1" x14ac:dyDescent="0.3">
      <c r="A19" s="173"/>
      <c r="B19" s="173"/>
      <c r="C19" s="418"/>
      <c r="D19" s="182" t="s">
        <v>443</v>
      </c>
      <c r="E19" s="183">
        <f>MAX(E4:E17)</f>
        <v>3</v>
      </c>
      <c r="F19" s="173"/>
      <c r="G19" s="173"/>
      <c r="H19" s="173"/>
      <c r="I19" s="173"/>
      <c r="J19" s="173"/>
      <c r="K19" s="173"/>
      <c r="L19" s="173"/>
      <c r="M19" s="173"/>
      <c r="N19" s="173"/>
    </row>
    <row r="20" spans="1:14" ht="16.5" thickTop="1" thickBot="1" x14ac:dyDescent="0.3">
      <c r="A20" s="173"/>
      <c r="B20" s="173"/>
      <c r="C20" s="418"/>
      <c r="D20" s="182" t="s">
        <v>444</v>
      </c>
      <c r="E20" s="183">
        <f>MIN(E4:E17)</f>
        <v>-11</v>
      </c>
      <c r="F20" s="173"/>
      <c r="G20" s="173"/>
      <c r="H20" s="173"/>
      <c r="I20" s="173"/>
      <c r="J20" s="173"/>
      <c r="K20" s="173"/>
      <c r="L20" s="173"/>
      <c r="M20" s="173"/>
      <c r="N20" s="173"/>
    </row>
    <row r="21" spans="1:14" ht="15.75" thickTop="1" x14ac:dyDescent="0.25">
      <c r="A21" s="173"/>
      <c r="B21" s="173"/>
      <c r="C21" s="418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</row>
    <row r="22" spans="1:14" x14ac:dyDescent="0.25">
      <c r="A22" s="173"/>
      <c r="B22" s="173"/>
      <c r="C22" s="418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</row>
  </sheetData>
  <mergeCells count="1">
    <mergeCell ref="B3:B17"/>
  </mergeCells>
  <phoneticPr fontId="5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23D6-F183-4BBF-AE32-2E8A499B5D0F}">
  <dimension ref="A1:K22"/>
  <sheetViews>
    <sheetView workbookViewId="0">
      <selection activeCell="G18" sqref="G18"/>
    </sheetView>
  </sheetViews>
  <sheetFormatPr defaultRowHeight="15" x14ac:dyDescent="0.25"/>
  <cols>
    <col min="1" max="1" width="15.28515625" style="29" customWidth="1"/>
    <col min="2" max="2" width="12.7109375" style="29" customWidth="1"/>
    <col min="3" max="3" width="11.28515625" style="29" bestFit="1" customWidth="1"/>
    <col min="4" max="4" width="9.85546875" style="29" bestFit="1" customWidth="1"/>
    <col min="5" max="5" width="9.140625" style="29"/>
    <col min="6" max="6" width="9.85546875" style="29" bestFit="1" customWidth="1"/>
    <col min="7" max="8" width="9.7109375" style="29" bestFit="1" customWidth="1"/>
    <col min="9" max="9" width="12.28515625" style="29" bestFit="1" customWidth="1"/>
    <col min="10" max="10" width="15.85546875" style="29" customWidth="1"/>
    <col min="11" max="11" width="9.140625" style="29"/>
  </cols>
  <sheetData>
    <row r="1" spans="1:11" ht="18" x14ac:dyDescent="0.25">
      <c r="A1" s="28"/>
    </row>
    <row r="2" spans="1:11" ht="18" x14ac:dyDescent="0.25">
      <c r="A2" s="28"/>
    </row>
    <row r="4" spans="1:11" x14ac:dyDescent="0.25">
      <c r="A4" s="222" t="s">
        <v>2</v>
      </c>
      <c r="B4" s="222" t="s">
        <v>1</v>
      </c>
      <c r="C4" s="222" t="s">
        <v>46</v>
      </c>
      <c r="D4" s="222" t="s">
        <v>47</v>
      </c>
      <c r="E4" s="222" t="s">
        <v>48</v>
      </c>
      <c r="F4" s="222" t="s">
        <v>49</v>
      </c>
      <c r="G4" s="222" t="s">
        <v>50</v>
      </c>
      <c r="H4" s="222" t="s">
        <v>51</v>
      </c>
      <c r="I4" s="222" t="s">
        <v>52</v>
      </c>
      <c r="J4" s="222" t="s">
        <v>53</v>
      </c>
    </row>
    <row r="5" spans="1:11" x14ac:dyDescent="0.25">
      <c r="A5" s="223" t="s">
        <v>54</v>
      </c>
      <c r="B5" s="223" t="s">
        <v>55</v>
      </c>
      <c r="C5" s="224">
        <v>3100</v>
      </c>
      <c r="D5" s="224">
        <f>C5*$B$15</f>
        <v>589</v>
      </c>
      <c r="E5" s="225">
        <v>0.06</v>
      </c>
      <c r="F5" s="224">
        <f>C5*E5</f>
        <v>186</v>
      </c>
      <c r="G5" s="224">
        <v>340</v>
      </c>
      <c r="H5" s="224">
        <v>15</v>
      </c>
      <c r="I5" s="224">
        <f t="shared" ref="I5:I13" si="0">SUM(C5,D5,F5,G5)</f>
        <v>4215</v>
      </c>
      <c r="J5" s="224">
        <f>I5-H5-D5-$B$16</f>
        <v>3265.33</v>
      </c>
    </row>
    <row r="6" spans="1:11" x14ac:dyDescent="0.25">
      <c r="A6" s="223" t="s">
        <v>56</v>
      </c>
      <c r="B6" s="223" t="s">
        <v>57</v>
      </c>
      <c r="C6" s="224">
        <v>3000</v>
      </c>
      <c r="D6" s="224">
        <f t="shared" ref="D6:D13" si="1">C6*$B$15</f>
        <v>570</v>
      </c>
      <c r="E6" s="225">
        <v>0.1</v>
      </c>
      <c r="F6" s="224">
        <f t="shared" ref="F6:F13" si="2">C6*E6</f>
        <v>300</v>
      </c>
      <c r="G6" s="224">
        <v>190.65</v>
      </c>
      <c r="H6" s="224">
        <v>5</v>
      </c>
      <c r="I6" s="224">
        <f t="shared" si="0"/>
        <v>4060.65</v>
      </c>
      <c r="J6" s="224">
        <f t="shared" ref="J6:J13" si="3">I6-H6-D6-$B$16</f>
        <v>3139.98</v>
      </c>
    </row>
    <row r="7" spans="1:11" x14ac:dyDescent="0.25">
      <c r="A7" s="223" t="s">
        <v>56</v>
      </c>
      <c r="B7" s="223" t="s">
        <v>58</v>
      </c>
      <c r="C7" s="224">
        <v>2800</v>
      </c>
      <c r="D7" s="224">
        <f t="shared" si="1"/>
        <v>532</v>
      </c>
      <c r="E7" s="225">
        <v>0.12</v>
      </c>
      <c r="F7" s="224">
        <f t="shared" si="2"/>
        <v>336</v>
      </c>
      <c r="G7" s="224">
        <v>25</v>
      </c>
      <c r="H7" s="224">
        <v>3</v>
      </c>
      <c r="I7" s="224">
        <f t="shared" si="0"/>
        <v>3693</v>
      </c>
      <c r="J7" s="224">
        <f t="shared" si="3"/>
        <v>2812.33</v>
      </c>
    </row>
    <row r="8" spans="1:11" x14ac:dyDescent="0.25">
      <c r="A8" s="223" t="s">
        <v>7</v>
      </c>
      <c r="B8" s="223" t="s">
        <v>59</v>
      </c>
      <c r="C8" s="224">
        <v>3400</v>
      </c>
      <c r="D8" s="224">
        <f t="shared" si="1"/>
        <v>646</v>
      </c>
      <c r="E8" s="225">
        <v>0.11</v>
      </c>
      <c r="F8" s="224">
        <f t="shared" si="2"/>
        <v>374</v>
      </c>
      <c r="G8" s="224">
        <v>67.83</v>
      </c>
      <c r="H8" s="224">
        <v>100</v>
      </c>
      <c r="I8" s="224">
        <f t="shared" si="0"/>
        <v>4487.83</v>
      </c>
      <c r="J8" s="224">
        <f t="shared" si="3"/>
        <v>3396.16</v>
      </c>
    </row>
    <row r="9" spans="1:11" x14ac:dyDescent="0.25">
      <c r="A9" s="223" t="s">
        <v>60</v>
      </c>
      <c r="B9" s="223" t="s">
        <v>61</v>
      </c>
      <c r="C9" s="224">
        <v>4500</v>
      </c>
      <c r="D9" s="224">
        <f t="shared" si="1"/>
        <v>855</v>
      </c>
      <c r="E9" s="225">
        <v>0.09</v>
      </c>
      <c r="F9" s="224">
        <f t="shared" si="2"/>
        <v>405</v>
      </c>
      <c r="G9" s="224">
        <v>0</v>
      </c>
      <c r="H9" s="224">
        <v>300</v>
      </c>
      <c r="I9" s="224">
        <f t="shared" si="0"/>
        <v>5760</v>
      </c>
      <c r="J9" s="224">
        <f t="shared" si="3"/>
        <v>4259.33</v>
      </c>
    </row>
    <row r="10" spans="1:11" x14ac:dyDescent="0.25">
      <c r="A10" s="223" t="s">
        <v>62</v>
      </c>
      <c r="B10" s="223" t="s">
        <v>63</v>
      </c>
      <c r="C10" s="224">
        <v>3300</v>
      </c>
      <c r="D10" s="224">
        <f t="shared" si="1"/>
        <v>627</v>
      </c>
      <c r="E10" s="225">
        <v>0.15</v>
      </c>
      <c r="F10" s="224">
        <f t="shared" si="2"/>
        <v>495</v>
      </c>
      <c r="G10" s="224">
        <v>180</v>
      </c>
      <c r="H10" s="224">
        <v>0</v>
      </c>
      <c r="I10" s="224">
        <f t="shared" si="0"/>
        <v>4602</v>
      </c>
      <c r="J10" s="224">
        <f t="shared" si="3"/>
        <v>3629.33</v>
      </c>
      <c r="K10" s="30"/>
    </row>
    <row r="11" spans="1:11" x14ac:dyDescent="0.25">
      <c r="A11" s="223" t="s">
        <v>5</v>
      </c>
      <c r="B11" s="223" t="s">
        <v>64</v>
      </c>
      <c r="C11" s="224">
        <v>4123.7</v>
      </c>
      <c r="D11" s="224">
        <f t="shared" si="1"/>
        <v>783.50299999999993</v>
      </c>
      <c r="E11" s="225">
        <v>0.05</v>
      </c>
      <c r="F11" s="224">
        <f t="shared" si="2"/>
        <v>206.185</v>
      </c>
      <c r="G11" s="224">
        <v>0</v>
      </c>
      <c r="H11" s="224">
        <v>34</v>
      </c>
      <c r="I11" s="224">
        <f t="shared" si="0"/>
        <v>5113.3879999999999</v>
      </c>
      <c r="J11" s="224">
        <f t="shared" si="3"/>
        <v>3950.2150000000001</v>
      </c>
    </row>
    <row r="12" spans="1:11" x14ac:dyDescent="0.25">
      <c r="A12" s="223" t="s">
        <v>65</v>
      </c>
      <c r="B12" s="223" t="s">
        <v>66</v>
      </c>
      <c r="C12" s="224">
        <v>4000</v>
      </c>
      <c r="D12" s="224">
        <f t="shared" si="1"/>
        <v>760</v>
      </c>
      <c r="E12" s="225">
        <v>0.19</v>
      </c>
      <c r="F12" s="224">
        <f t="shared" si="2"/>
        <v>760</v>
      </c>
      <c r="G12" s="224">
        <v>135.25</v>
      </c>
      <c r="H12" s="224">
        <v>43</v>
      </c>
      <c r="I12" s="224">
        <f t="shared" si="0"/>
        <v>5655.25</v>
      </c>
      <c r="J12" s="224">
        <f t="shared" si="3"/>
        <v>4506.58</v>
      </c>
    </row>
    <row r="13" spans="1:11" x14ac:dyDescent="0.25">
      <c r="A13" s="223" t="s">
        <v>67</v>
      </c>
      <c r="B13" s="223" t="s">
        <v>68</v>
      </c>
      <c r="C13" s="224">
        <v>2800</v>
      </c>
      <c r="D13" s="224">
        <f t="shared" si="1"/>
        <v>532</v>
      </c>
      <c r="E13" s="225">
        <v>0.22</v>
      </c>
      <c r="F13" s="224">
        <f t="shared" si="2"/>
        <v>616</v>
      </c>
      <c r="G13" s="224">
        <v>30</v>
      </c>
      <c r="H13" s="224">
        <v>0</v>
      </c>
      <c r="I13" s="224">
        <f t="shared" si="0"/>
        <v>3978</v>
      </c>
      <c r="J13" s="224">
        <f t="shared" si="3"/>
        <v>3100.33</v>
      </c>
    </row>
    <row r="14" spans="1:11" x14ac:dyDescent="0.25">
      <c r="A14" s="223"/>
      <c r="B14" s="223"/>
      <c r="C14" s="223"/>
      <c r="D14" s="223"/>
      <c r="E14" s="223"/>
      <c r="F14" s="223"/>
      <c r="G14" s="223"/>
      <c r="H14" s="226" t="s">
        <v>69</v>
      </c>
      <c r="I14" s="228">
        <f>SUM(I5:I13)</f>
        <v>41565.118000000002</v>
      </c>
      <c r="J14" s="228">
        <f>SUM(J5:J13)</f>
        <v>32059.584999999999</v>
      </c>
    </row>
    <row r="15" spans="1:11" x14ac:dyDescent="0.25">
      <c r="A15" s="223" t="s">
        <v>70</v>
      </c>
      <c r="B15" s="229">
        <v>0.19</v>
      </c>
    </row>
    <row r="16" spans="1:11" x14ac:dyDescent="0.25">
      <c r="A16" s="223" t="s">
        <v>71</v>
      </c>
      <c r="B16" s="230">
        <v>345.67</v>
      </c>
    </row>
    <row r="19" spans="1:5" x14ac:dyDescent="0.25">
      <c r="A19" s="227" t="s">
        <v>72</v>
      </c>
      <c r="B19" s="223" t="s">
        <v>73</v>
      </c>
      <c r="C19" s="223"/>
      <c r="D19" s="223"/>
      <c r="E19" s="223"/>
    </row>
    <row r="20" spans="1:5" x14ac:dyDescent="0.25">
      <c r="A20" s="227" t="s">
        <v>74</v>
      </c>
      <c r="B20" s="223" t="s">
        <v>75</v>
      </c>
      <c r="C20" s="223"/>
      <c r="D20" s="223"/>
      <c r="E20" s="223"/>
    </row>
    <row r="21" spans="1:5" x14ac:dyDescent="0.25">
      <c r="A21" s="227" t="s">
        <v>76</v>
      </c>
      <c r="B21" s="223" t="s">
        <v>77</v>
      </c>
      <c r="C21" s="223"/>
      <c r="D21" s="223"/>
      <c r="E21" s="223"/>
    </row>
    <row r="22" spans="1:5" x14ac:dyDescent="0.25">
      <c r="A22" s="227" t="s">
        <v>78</v>
      </c>
      <c r="B22" s="223" t="s">
        <v>79</v>
      </c>
      <c r="C22" s="223"/>
      <c r="D22" s="223"/>
      <c r="E22" s="2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30DD-2773-4475-B3F9-C76AABA11CF7}">
  <dimension ref="A1:K20"/>
  <sheetViews>
    <sheetView workbookViewId="0">
      <selection activeCell="K8" sqref="K8:K18"/>
    </sheetView>
  </sheetViews>
  <sheetFormatPr defaultRowHeight="15" x14ac:dyDescent="0.25"/>
  <cols>
    <col min="1" max="1" width="12.5703125" customWidth="1"/>
    <col min="2" max="2" width="13.42578125" customWidth="1"/>
    <col min="3" max="3" width="13.5703125" customWidth="1"/>
    <col min="4" max="4" width="11.7109375" customWidth="1"/>
    <col min="6" max="6" width="13.42578125" customWidth="1"/>
    <col min="7" max="7" width="13.5703125" customWidth="1"/>
    <col min="8" max="8" width="13.85546875" customWidth="1"/>
    <col min="9" max="9" width="11.42578125" customWidth="1"/>
    <col min="11" max="11" width="14.42578125" customWidth="1"/>
  </cols>
  <sheetData>
    <row r="1" spans="1:11" x14ac:dyDescent="0.25">
      <c r="A1" s="4" t="s">
        <v>8</v>
      </c>
      <c r="B1" s="5"/>
      <c r="C1" s="5"/>
      <c r="D1" s="31"/>
      <c r="E1" s="32"/>
      <c r="F1" s="5"/>
      <c r="G1" s="5"/>
      <c r="H1" s="5"/>
      <c r="I1" s="5"/>
      <c r="J1" s="32"/>
      <c r="K1" s="5"/>
    </row>
    <row r="2" spans="1:11" x14ac:dyDescent="0.25">
      <c r="A2" s="6" t="s">
        <v>80</v>
      </c>
      <c r="B2" s="6"/>
      <c r="C2" s="6"/>
      <c r="D2" s="33"/>
      <c r="E2" s="34"/>
      <c r="F2" s="6"/>
      <c r="G2" s="6"/>
      <c r="H2" s="6"/>
      <c r="I2" s="6"/>
      <c r="J2" s="34"/>
      <c r="K2" s="6"/>
    </row>
    <row r="3" spans="1:11" x14ac:dyDescent="0.25">
      <c r="A3" s="6" t="s">
        <v>81</v>
      </c>
      <c r="B3" s="6"/>
      <c r="C3" s="6"/>
      <c r="D3" s="33"/>
      <c r="E3" s="34"/>
      <c r="F3" s="6"/>
      <c r="G3" s="6"/>
      <c r="H3" s="6"/>
      <c r="I3" s="6"/>
      <c r="J3" s="34"/>
      <c r="K3" s="6"/>
    </row>
    <row r="4" spans="1:11" x14ac:dyDescent="0.25">
      <c r="A4" s="6"/>
      <c r="B4" s="6"/>
      <c r="C4" s="6"/>
      <c r="D4" s="33"/>
      <c r="E4" s="34"/>
      <c r="F4" s="6"/>
      <c r="G4" s="6"/>
      <c r="H4" s="6"/>
      <c r="I4" s="6"/>
      <c r="J4" s="34"/>
      <c r="K4" s="6"/>
    </row>
    <row r="5" spans="1:11" ht="25.5" x14ac:dyDescent="0.35">
      <c r="A5" s="184" t="s">
        <v>82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</row>
    <row r="6" spans="1:11" ht="15.75" thickBot="1" x14ac:dyDescent="0.3">
      <c r="A6" s="7"/>
      <c r="B6" s="185" t="s">
        <v>83</v>
      </c>
      <c r="C6" s="186"/>
      <c r="D6" s="186"/>
      <c r="E6" s="186"/>
      <c r="F6" s="187"/>
      <c r="G6" s="188" t="s">
        <v>84</v>
      </c>
      <c r="H6" s="189"/>
      <c r="I6" s="189"/>
      <c r="J6" s="189"/>
      <c r="K6" s="190"/>
    </row>
    <row r="7" spans="1:11" ht="75" x14ac:dyDescent="0.25">
      <c r="A7" s="35"/>
      <c r="B7" s="36" t="s">
        <v>85</v>
      </c>
      <c r="C7" s="36" t="s">
        <v>86</v>
      </c>
      <c r="D7" s="37" t="s">
        <v>87</v>
      </c>
      <c r="E7" s="38" t="s">
        <v>88</v>
      </c>
      <c r="F7" s="39" t="s">
        <v>89</v>
      </c>
      <c r="G7" s="40" t="s">
        <v>85</v>
      </c>
      <c r="H7" s="36" t="s">
        <v>86</v>
      </c>
      <c r="I7" s="37" t="s">
        <v>87</v>
      </c>
      <c r="J7" s="36" t="s">
        <v>88</v>
      </c>
      <c r="K7" s="41" t="s">
        <v>89</v>
      </c>
    </row>
    <row r="8" spans="1:11" x14ac:dyDescent="0.25">
      <c r="A8" s="7" t="s">
        <v>90</v>
      </c>
      <c r="B8" s="42">
        <v>20</v>
      </c>
      <c r="C8" s="42">
        <f>B8+B8*$B$20</f>
        <v>24.6</v>
      </c>
      <c r="D8" s="232">
        <f>ROUND(C8,0)</f>
        <v>25</v>
      </c>
      <c r="E8" s="43">
        <v>100</v>
      </c>
      <c r="F8" s="44">
        <f>D8*E8</f>
        <v>2500</v>
      </c>
      <c r="G8" s="45">
        <v>23</v>
      </c>
      <c r="H8" s="42">
        <f>G8+G8*$B$20</f>
        <v>28.29</v>
      </c>
      <c r="I8" s="42">
        <f>ROUND(H8,0)</f>
        <v>28</v>
      </c>
      <c r="J8" s="46">
        <v>97</v>
      </c>
      <c r="K8" s="47">
        <f>I8*J8</f>
        <v>2716</v>
      </c>
    </row>
    <row r="9" spans="1:11" x14ac:dyDescent="0.25">
      <c r="A9" s="7" t="s">
        <v>91</v>
      </c>
      <c r="B9" s="42">
        <v>23</v>
      </c>
      <c r="C9" s="42">
        <f t="shared" ref="C9:C17" si="0">B9+B9*$B$20</f>
        <v>28.29</v>
      </c>
      <c r="D9" s="232">
        <f t="shared" ref="D9:D17" si="1">C9</f>
        <v>28.29</v>
      </c>
      <c r="E9" s="43">
        <v>23</v>
      </c>
      <c r="F9" s="44">
        <f t="shared" ref="F9:F17" si="2">D9*E9</f>
        <v>650.66999999999996</v>
      </c>
      <c r="G9" s="45">
        <v>26</v>
      </c>
      <c r="H9" s="42">
        <f t="shared" ref="H9:H17" si="3">G9+G9*$B$20</f>
        <v>31.98</v>
      </c>
      <c r="I9" s="42">
        <f t="shared" ref="I9:I17" si="4">ROUND(H9,0)</f>
        <v>32</v>
      </c>
      <c r="J9" s="46">
        <v>27</v>
      </c>
      <c r="K9" s="47">
        <f t="shared" ref="K9:K17" si="5">I9*J9</f>
        <v>864</v>
      </c>
    </row>
    <row r="10" spans="1:11" x14ac:dyDescent="0.25">
      <c r="A10" s="7" t="s">
        <v>92</v>
      </c>
      <c r="B10" s="42">
        <v>25</v>
      </c>
      <c r="C10" s="42">
        <f t="shared" si="0"/>
        <v>30.75</v>
      </c>
      <c r="D10" s="232">
        <f t="shared" si="1"/>
        <v>30.75</v>
      </c>
      <c r="E10" s="43">
        <v>25</v>
      </c>
      <c r="F10" s="44">
        <f t="shared" si="2"/>
        <v>768.75</v>
      </c>
      <c r="G10" s="45">
        <v>28</v>
      </c>
      <c r="H10" s="42">
        <f t="shared" si="3"/>
        <v>34.44</v>
      </c>
      <c r="I10" s="42">
        <f t="shared" si="4"/>
        <v>34</v>
      </c>
      <c r="J10" s="46">
        <v>13</v>
      </c>
      <c r="K10" s="47">
        <f t="shared" si="5"/>
        <v>442</v>
      </c>
    </row>
    <row r="11" spans="1:11" x14ac:dyDescent="0.25">
      <c r="A11" s="7" t="s">
        <v>93</v>
      </c>
      <c r="B11" s="42">
        <v>27</v>
      </c>
      <c r="C11" s="42">
        <f t="shared" si="0"/>
        <v>33.21</v>
      </c>
      <c r="D11" s="232">
        <f t="shared" si="1"/>
        <v>33.21</v>
      </c>
      <c r="E11" s="43">
        <v>127</v>
      </c>
      <c r="F11" s="44">
        <f t="shared" si="2"/>
        <v>4217.67</v>
      </c>
      <c r="G11" s="45">
        <v>31</v>
      </c>
      <c r="H11" s="42">
        <f t="shared" si="3"/>
        <v>38.130000000000003</v>
      </c>
      <c r="I11" s="42">
        <f t="shared" si="4"/>
        <v>38</v>
      </c>
      <c r="J11" s="46">
        <v>98</v>
      </c>
      <c r="K11" s="47">
        <f t="shared" si="5"/>
        <v>3724</v>
      </c>
    </row>
    <row r="12" spans="1:11" x14ac:dyDescent="0.25">
      <c r="A12" s="7" t="s">
        <v>94</v>
      </c>
      <c r="B12" s="42">
        <v>29</v>
      </c>
      <c r="C12" s="42">
        <f t="shared" si="0"/>
        <v>35.67</v>
      </c>
      <c r="D12" s="232">
        <f t="shared" si="1"/>
        <v>35.67</v>
      </c>
      <c r="E12" s="43">
        <v>23</v>
      </c>
      <c r="F12" s="44">
        <f t="shared" si="2"/>
        <v>820.41000000000008</v>
      </c>
      <c r="G12" s="45">
        <v>33</v>
      </c>
      <c r="H12" s="42">
        <f t="shared" si="3"/>
        <v>40.590000000000003</v>
      </c>
      <c r="I12" s="42">
        <f t="shared" si="4"/>
        <v>41</v>
      </c>
      <c r="J12" s="46">
        <v>27</v>
      </c>
      <c r="K12" s="47">
        <f t="shared" si="5"/>
        <v>1107</v>
      </c>
    </row>
    <row r="13" spans="1:11" x14ac:dyDescent="0.25">
      <c r="A13" s="7" t="s">
        <v>95</v>
      </c>
      <c r="B13" s="42">
        <v>10</v>
      </c>
      <c r="C13" s="42">
        <f t="shared" si="0"/>
        <v>12.3</v>
      </c>
      <c r="D13" s="232">
        <f t="shared" si="1"/>
        <v>12.3</v>
      </c>
      <c r="E13" s="43">
        <v>10</v>
      </c>
      <c r="F13" s="44">
        <f t="shared" si="2"/>
        <v>123</v>
      </c>
      <c r="G13" s="45">
        <v>12</v>
      </c>
      <c r="H13" s="42">
        <f t="shared" si="3"/>
        <v>14.76</v>
      </c>
      <c r="I13" s="42">
        <f t="shared" si="4"/>
        <v>15</v>
      </c>
      <c r="J13" s="46">
        <v>11</v>
      </c>
      <c r="K13" s="47">
        <f t="shared" si="5"/>
        <v>165</v>
      </c>
    </row>
    <row r="14" spans="1:11" x14ac:dyDescent="0.25">
      <c r="A14" s="7" t="s">
        <v>96</v>
      </c>
      <c r="B14" s="42">
        <v>12</v>
      </c>
      <c r="C14" s="42">
        <f t="shared" si="0"/>
        <v>14.76</v>
      </c>
      <c r="D14" s="232">
        <f t="shared" si="1"/>
        <v>14.76</v>
      </c>
      <c r="E14" s="43">
        <v>145</v>
      </c>
      <c r="F14" s="44">
        <f t="shared" si="2"/>
        <v>2140.1999999999998</v>
      </c>
      <c r="G14" s="45">
        <v>14</v>
      </c>
      <c r="H14" s="42">
        <f t="shared" si="3"/>
        <v>17.22</v>
      </c>
      <c r="I14" s="42">
        <f t="shared" si="4"/>
        <v>17</v>
      </c>
      <c r="J14" s="46">
        <v>165</v>
      </c>
      <c r="K14" s="47">
        <f t="shared" si="5"/>
        <v>2805</v>
      </c>
    </row>
    <row r="15" spans="1:11" x14ac:dyDescent="0.25">
      <c r="A15" s="7" t="s">
        <v>97</v>
      </c>
      <c r="B15" s="42">
        <v>15</v>
      </c>
      <c r="C15" s="42">
        <f t="shared" si="0"/>
        <v>18.45</v>
      </c>
      <c r="D15" s="232">
        <f t="shared" si="1"/>
        <v>18.45</v>
      </c>
      <c r="E15" s="43">
        <v>1</v>
      </c>
      <c r="F15" s="44">
        <f t="shared" si="2"/>
        <v>18.45</v>
      </c>
      <c r="G15" s="45">
        <v>17</v>
      </c>
      <c r="H15" s="42">
        <f t="shared" si="3"/>
        <v>20.91</v>
      </c>
      <c r="I15" s="42">
        <f t="shared" si="4"/>
        <v>21</v>
      </c>
      <c r="J15" s="46">
        <v>2</v>
      </c>
      <c r="K15" s="47">
        <f t="shared" si="5"/>
        <v>42</v>
      </c>
    </row>
    <row r="16" spans="1:11" x14ac:dyDescent="0.25">
      <c r="A16" s="7" t="s">
        <v>98</v>
      </c>
      <c r="B16" s="42">
        <v>14</v>
      </c>
      <c r="C16" s="42">
        <f t="shared" si="0"/>
        <v>17.22</v>
      </c>
      <c r="D16" s="232">
        <f t="shared" si="1"/>
        <v>17.22</v>
      </c>
      <c r="E16" s="43">
        <v>3</v>
      </c>
      <c r="F16" s="44">
        <f t="shared" si="2"/>
        <v>51.66</v>
      </c>
      <c r="G16" s="45">
        <v>16</v>
      </c>
      <c r="H16" s="42">
        <f t="shared" si="3"/>
        <v>19.68</v>
      </c>
      <c r="I16" s="42">
        <f t="shared" si="4"/>
        <v>20</v>
      </c>
      <c r="J16" s="46">
        <v>15</v>
      </c>
      <c r="K16" s="47">
        <f t="shared" si="5"/>
        <v>300</v>
      </c>
    </row>
    <row r="17" spans="1:11" ht="15.75" thickBot="1" x14ac:dyDescent="0.3">
      <c r="A17" s="48" t="s">
        <v>99</v>
      </c>
      <c r="B17" s="49">
        <v>14</v>
      </c>
      <c r="C17" s="42">
        <f t="shared" si="0"/>
        <v>17.22</v>
      </c>
      <c r="D17" s="232">
        <f t="shared" si="1"/>
        <v>17.22</v>
      </c>
      <c r="E17" s="50">
        <v>47</v>
      </c>
      <c r="F17" s="44">
        <f t="shared" si="2"/>
        <v>809.33999999999992</v>
      </c>
      <c r="G17" s="51">
        <v>16</v>
      </c>
      <c r="H17" s="42">
        <f t="shared" si="3"/>
        <v>19.68</v>
      </c>
      <c r="I17" s="42">
        <f t="shared" si="4"/>
        <v>20</v>
      </c>
      <c r="J17" s="52">
        <v>154</v>
      </c>
      <c r="K17" s="47">
        <f t="shared" si="5"/>
        <v>3080</v>
      </c>
    </row>
    <row r="18" spans="1:11" ht="15.75" thickBot="1" x14ac:dyDescent="0.3">
      <c r="A18" s="53" t="s">
        <v>69</v>
      </c>
      <c r="B18" s="231">
        <f>SUM(B8:B17)</f>
        <v>189</v>
      </c>
      <c r="C18" s="231">
        <f>SUM(C8:C17)</f>
        <v>232.46999999999997</v>
      </c>
      <c r="D18" s="233">
        <f>SUM(D8:D17)</f>
        <v>232.87</v>
      </c>
      <c r="E18" s="234">
        <f>SUM(E8:E17)</f>
        <v>504</v>
      </c>
      <c r="F18" s="235">
        <f>SUM(F8:F17)</f>
        <v>12100.150000000001</v>
      </c>
      <c r="G18" s="231">
        <f>SUM(G8:G17)</f>
        <v>216</v>
      </c>
      <c r="H18" s="231">
        <f>SUM(H8:H17)</f>
        <v>265.68</v>
      </c>
      <c r="I18" s="231">
        <f>SUM(I8:I17)</f>
        <v>266</v>
      </c>
      <c r="J18" s="234">
        <f>SUM(J8:J17)</f>
        <v>609</v>
      </c>
      <c r="K18" s="236">
        <f>SUM(K8:K17)</f>
        <v>15245</v>
      </c>
    </row>
    <row r="19" spans="1:11" x14ac:dyDescent="0.25">
      <c r="A19" s="5"/>
      <c r="B19" s="5"/>
      <c r="C19" s="5"/>
      <c r="D19" s="31"/>
      <c r="E19" s="32"/>
      <c r="F19" s="5"/>
      <c r="G19" s="5"/>
      <c r="H19" s="5"/>
      <c r="I19" s="5"/>
      <c r="J19" s="32"/>
      <c r="K19" s="5"/>
    </row>
    <row r="20" spans="1:11" x14ac:dyDescent="0.25">
      <c r="A20" s="54" t="s">
        <v>100</v>
      </c>
      <c r="B20" s="55">
        <v>0.23</v>
      </c>
      <c r="C20" s="5"/>
      <c r="D20" s="31"/>
      <c r="E20" s="32"/>
      <c r="F20" s="5"/>
      <c r="G20" s="5"/>
      <c r="H20" s="5"/>
      <c r="I20" s="5"/>
      <c r="J20" s="32"/>
      <c r="K20" s="5"/>
    </row>
  </sheetData>
  <mergeCells count="3">
    <mergeCell ref="A5:K5"/>
    <mergeCell ref="B6:F6"/>
    <mergeCell ref="G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3C7-E952-44DB-9142-1D720FE025B7}">
  <dimension ref="A1:G19"/>
  <sheetViews>
    <sheetView workbookViewId="0">
      <selection activeCell="I7" sqref="I7"/>
    </sheetView>
  </sheetViews>
  <sheetFormatPr defaultRowHeight="15" x14ac:dyDescent="0.25"/>
  <cols>
    <col min="4" max="4" width="12" customWidth="1"/>
    <col min="5" max="5" width="10.140625" bestFit="1" customWidth="1"/>
    <col min="6" max="6" width="10.85546875" bestFit="1" customWidth="1"/>
    <col min="7" max="7" width="11.28515625" customWidth="1"/>
  </cols>
  <sheetData>
    <row r="1" spans="1:7" x14ac:dyDescent="0.25">
      <c r="A1" s="56"/>
      <c r="B1" s="56"/>
      <c r="C1" s="56"/>
      <c r="D1" s="56"/>
      <c r="E1" s="56"/>
      <c r="F1" s="56"/>
      <c r="G1" s="56"/>
    </row>
    <row r="2" spans="1:7" x14ac:dyDescent="0.25">
      <c r="A2" s="56"/>
      <c r="B2" s="57" t="s">
        <v>101</v>
      </c>
      <c r="C2" s="58">
        <v>3.71</v>
      </c>
      <c r="D2" s="59"/>
      <c r="E2" s="59"/>
      <c r="F2" s="59"/>
      <c r="G2" s="59"/>
    </row>
    <row r="3" spans="1:7" x14ac:dyDescent="0.25">
      <c r="A3" s="56"/>
      <c r="B3" s="57" t="s">
        <v>102</v>
      </c>
      <c r="C3" s="58">
        <v>4.16</v>
      </c>
      <c r="D3" s="59"/>
      <c r="E3" s="60"/>
      <c r="F3" s="59"/>
      <c r="G3" s="59"/>
    </row>
    <row r="4" spans="1:7" x14ac:dyDescent="0.25">
      <c r="A4" s="56"/>
      <c r="B4" s="61" t="s">
        <v>103</v>
      </c>
      <c r="C4" s="62">
        <v>5.72</v>
      </c>
      <c r="D4" s="59"/>
      <c r="E4" s="59"/>
      <c r="F4" s="59"/>
      <c r="G4" s="59"/>
    </row>
    <row r="5" spans="1:7" x14ac:dyDescent="0.25">
      <c r="A5" s="63" t="s">
        <v>104</v>
      </c>
      <c r="B5" s="64" t="s">
        <v>2</v>
      </c>
      <c r="C5" s="64" t="s">
        <v>1</v>
      </c>
      <c r="D5" s="64" t="s">
        <v>105</v>
      </c>
      <c r="E5" s="64" t="s">
        <v>106</v>
      </c>
      <c r="F5" s="64" t="s">
        <v>107</v>
      </c>
      <c r="G5" s="64" t="s">
        <v>108</v>
      </c>
    </row>
    <row r="6" spans="1:7" x14ac:dyDescent="0.25">
      <c r="A6" s="65">
        <v>1</v>
      </c>
      <c r="B6" s="66" t="s">
        <v>109</v>
      </c>
      <c r="C6" s="66" t="s">
        <v>110</v>
      </c>
      <c r="D6" s="67">
        <v>10000</v>
      </c>
      <c r="E6" s="237">
        <f>D6/$C$2</f>
        <v>2695.4177897574123</v>
      </c>
      <c r="F6" s="238">
        <f>D6/$C$3</f>
        <v>2403.8461538461538</v>
      </c>
      <c r="G6" s="239">
        <f>D6/$C$4</f>
        <v>1748.2517482517483</v>
      </c>
    </row>
    <row r="7" spans="1:7" x14ac:dyDescent="0.25">
      <c r="A7" s="65">
        <v>2</v>
      </c>
      <c r="B7" s="66" t="s">
        <v>111</v>
      </c>
      <c r="C7" s="66" t="s">
        <v>112</v>
      </c>
      <c r="D7" s="67">
        <v>5100</v>
      </c>
      <c r="E7" s="237">
        <f t="shared" ref="E7:E13" si="0">D7/$C$2</f>
        <v>1374.6630727762804</v>
      </c>
      <c r="F7" s="238">
        <f t="shared" ref="F7:F13" si="1">D7/$C$3</f>
        <v>1225.9615384615383</v>
      </c>
      <c r="G7" s="239">
        <f t="shared" ref="G7:G13" si="2">D7/$C$4</f>
        <v>891.60839160839168</v>
      </c>
    </row>
    <row r="8" spans="1:7" x14ac:dyDescent="0.25">
      <c r="A8" s="65">
        <v>3</v>
      </c>
      <c r="B8" s="66" t="s">
        <v>3</v>
      </c>
      <c r="C8" s="66" t="s">
        <v>113</v>
      </c>
      <c r="D8" s="67">
        <v>640</v>
      </c>
      <c r="E8" s="237">
        <f t="shared" si="0"/>
        <v>172.50673854447439</v>
      </c>
      <c r="F8" s="238">
        <f t="shared" si="1"/>
        <v>153.84615384615384</v>
      </c>
      <c r="G8" s="239">
        <f t="shared" si="2"/>
        <v>111.88811188811189</v>
      </c>
    </row>
    <row r="9" spans="1:7" x14ac:dyDescent="0.25">
      <c r="A9" s="65">
        <v>4</v>
      </c>
      <c r="B9" s="66" t="s">
        <v>114</v>
      </c>
      <c r="C9" s="66" t="s">
        <v>115</v>
      </c>
      <c r="D9" s="67">
        <v>30700</v>
      </c>
      <c r="E9" s="237">
        <f t="shared" si="0"/>
        <v>8274.9326145552568</v>
      </c>
      <c r="F9" s="238">
        <f t="shared" si="1"/>
        <v>7379.8076923076924</v>
      </c>
      <c r="G9" s="239">
        <f t="shared" si="2"/>
        <v>5367.1328671328674</v>
      </c>
    </row>
    <row r="10" spans="1:7" x14ac:dyDescent="0.25">
      <c r="A10" s="65">
        <v>5</v>
      </c>
      <c r="B10" s="66" t="s">
        <v>116</v>
      </c>
      <c r="C10" s="66" t="s">
        <v>117</v>
      </c>
      <c r="D10" s="67">
        <v>200</v>
      </c>
      <c r="E10" s="237">
        <f t="shared" si="0"/>
        <v>53.908355795148246</v>
      </c>
      <c r="F10" s="238">
        <f t="shared" si="1"/>
        <v>48.076923076923073</v>
      </c>
      <c r="G10" s="239">
        <f t="shared" si="2"/>
        <v>34.965034965034967</v>
      </c>
    </row>
    <row r="11" spans="1:7" x14ac:dyDescent="0.25">
      <c r="A11" s="65">
        <v>6</v>
      </c>
      <c r="B11" s="66" t="s">
        <v>118</v>
      </c>
      <c r="C11" s="66" t="s">
        <v>119</v>
      </c>
      <c r="D11" s="67">
        <v>5000</v>
      </c>
      <c r="E11" s="237">
        <f t="shared" si="0"/>
        <v>1347.7088948787061</v>
      </c>
      <c r="F11" s="238">
        <f t="shared" si="1"/>
        <v>1201.9230769230769</v>
      </c>
      <c r="G11" s="239">
        <f t="shared" si="2"/>
        <v>874.12587412587413</v>
      </c>
    </row>
    <row r="12" spans="1:7" x14ac:dyDescent="0.25">
      <c r="A12" s="65">
        <v>7</v>
      </c>
      <c r="B12" s="66" t="s">
        <v>6</v>
      </c>
      <c r="C12" s="66" t="s">
        <v>120</v>
      </c>
      <c r="D12" s="67">
        <v>4500</v>
      </c>
      <c r="E12" s="237">
        <f t="shared" si="0"/>
        <v>1212.9380053908355</v>
      </c>
      <c r="F12" s="238">
        <f t="shared" si="1"/>
        <v>1081.7307692307693</v>
      </c>
      <c r="G12" s="239">
        <f t="shared" si="2"/>
        <v>786.71328671328672</v>
      </c>
    </row>
    <row r="13" spans="1:7" x14ac:dyDescent="0.25">
      <c r="A13" s="65">
        <v>8</v>
      </c>
      <c r="B13" s="66" t="s">
        <v>121</v>
      </c>
      <c r="C13" s="66" t="s">
        <v>122</v>
      </c>
      <c r="D13" s="67">
        <v>9000</v>
      </c>
      <c r="E13" s="237">
        <f t="shared" si="0"/>
        <v>2425.8760107816711</v>
      </c>
      <c r="F13" s="238">
        <f t="shared" si="1"/>
        <v>2163.4615384615386</v>
      </c>
      <c r="G13" s="239">
        <f t="shared" si="2"/>
        <v>1573.4265734265734</v>
      </c>
    </row>
    <row r="14" spans="1:7" x14ac:dyDescent="0.25">
      <c r="A14" s="68"/>
      <c r="B14" s="68"/>
      <c r="C14" s="68"/>
      <c r="D14" s="68"/>
      <c r="E14" s="68"/>
      <c r="F14" s="68"/>
      <c r="G14" s="68"/>
    </row>
    <row r="15" spans="1:7" x14ac:dyDescent="0.25">
      <c r="A15" s="68"/>
      <c r="B15" s="68"/>
      <c r="C15" s="68"/>
      <c r="D15" s="68"/>
      <c r="E15" s="68"/>
      <c r="F15" s="68"/>
      <c r="G15" s="68"/>
    </row>
    <row r="16" spans="1:7" x14ac:dyDescent="0.25">
      <c r="A16" s="68"/>
      <c r="B16" s="68"/>
      <c r="C16" s="68"/>
      <c r="D16" s="68"/>
      <c r="E16" s="68"/>
      <c r="F16" s="68"/>
      <c r="G16" s="68"/>
    </row>
    <row r="17" spans="1:7" x14ac:dyDescent="0.25">
      <c r="A17" s="68"/>
      <c r="B17" s="68"/>
      <c r="C17" s="68"/>
      <c r="D17" s="68"/>
      <c r="E17" s="68"/>
      <c r="F17" s="68"/>
      <c r="G17" s="68"/>
    </row>
    <row r="18" spans="1:7" x14ac:dyDescent="0.25">
      <c r="A18" s="68"/>
      <c r="B18" s="68"/>
      <c r="C18" s="68"/>
      <c r="D18" s="68"/>
      <c r="E18" s="68"/>
      <c r="F18" s="68"/>
      <c r="G18" s="68"/>
    </row>
    <row r="19" spans="1:7" x14ac:dyDescent="0.25">
      <c r="A19" s="68"/>
      <c r="B19" s="68"/>
      <c r="C19" s="68"/>
      <c r="D19" s="68"/>
      <c r="E19" s="68"/>
      <c r="F19" s="68"/>
      <c r="G19" s="68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3C17-29A9-4EB8-85A0-5B8813BEDD12}">
  <dimension ref="A1:I26"/>
  <sheetViews>
    <sheetView workbookViewId="0">
      <selection activeCell="H10" sqref="H10"/>
    </sheetView>
  </sheetViews>
  <sheetFormatPr defaultRowHeight="15" x14ac:dyDescent="0.25"/>
  <cols>
    <col min="2" max="2" width="20.28515625" customWidth="1"/>
    <col min="4" max="4" width="14" customWidth="1"/>
    <col min="5" max="5" width="18.7109375" customWidth="1"/>
  </cols>
  <sheetData>
    <row r="1" spans="1:9" x14ac:dyDescent="0.25">
      <c r="A1" s="4" t="s">
        <v>8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9" t="s">
        <v>123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9" t="s">
        <v>124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s="9" t="s">
        <v>125</v>
      </c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ht="43.5" x14ac:dyDescent="0.25">
      <c r="A8" s="69"/>
      <c r="B8" s="70" t="s">
        <v>126</v>
      </c>
      <c r="C8" s="70" t="s">
        <v>127</v>
      </c>
      <c r="D8" s="70" t="s">
        <v>128</v>
      </c>
      <c r="E8" s="70" t="s">
        <v>129</v>
      </c>
      <c r="F8" s="69"/>
      <c r="G8" s="69"/>
      <c r="H8" s="69"/>
      <c r="I8" s="69"/>
    </row>
    <row r="9" spans="1:9" x14ac:dyDescent="0.25">
      <c r="A9" s="9"/>
      <c r="B9" s="71" t="s">
        <v>130</v>
      </c>
      <c r="C9" s="72">
        <v>45</v>
      </c>
      <c r="D9" s="73">
        <v>1200</v>
      </c>
      <c r="E9" s="241">
        <f>IF(AND(C9&gt;65,D9&lt;2200),153,0)</f>
        <v>0</v>
      </c>
      <c r="F9" s="9"/>
      <c r="G9" s="9"/>
      <c r="H9" s="240"/>
      <c r="I9" s="9"/>
    </row>
    <row r="10" spans="1:9" x14ac:dyDescent="0.25">
      <c r="A10" s="9"/>
      <c r="B10" s="71" t="s">
        <v>131</v>
      </c>
      <c r="C10" s="72">
        <v>34</v>
      </c>
      <c r="D10" s="73">
        <v>3500</v>
      </c>
      <c r="E10" s="241">
        <f t="shared" ref="E10:E26" si="0">IF(AND(C10&gt;=65,D10&lt;2200),153,0)</f>
        <v>0</v>
      </c>
      <c r="F10" s="9"/>
      <c r="G10" s="9"/>
      <c r="H10" s="9"/>
      <c r="I10" s="9"/>
    </row>
    <row r="11" spans="1:9" x14ac:dyDescent="0.25">
      <c r="A11" s="9"/>
      <c r="B11" s="71" t="s">
        <v>132</v>
      </c>
      <c r="C11" s="72">
        <v>78</v>
      </c>
      <c r="D11" s="73">
        <v>1400</v>
      </c>
      <c r="E11" s="241">
        <f t="shared" si="0"/>
        <v>153</v>
      </c>
      <c r="F11" s="9"/>
      <c r="G11" s="9"/>
      <c r="H11" s="9"/>
      <c r="I11" s="9"/>
    </row>
    <row r="12" spans="1:9" x14ac:dyDescent="0.25">
      <c r="A12" s="9"/>
      <c r="B12" s="71" t="s">
        <v>133</v>
      </c>
      <c r="C12" s="72">
        <v>32</v>
      </c>
      <c r="D12" s="73">
        <v>2300</v>
      </c>
      <c r="E12" s="241">
        <f t="shared" si="0"/>
        <v>0</v>
      </c>
      <c r="F12" s="9"/>
      <c r="G12" s="9"/>
      <c r="H12" s="9"/>
      <c r="I12" s="9"/>
    </row>
    <row r="13" spans="1:9" x14ac:dyDescent="0.25">
      <c r="A13" s="9"/>
      <c r="B13" s="71" t="s">
        <v>134</v>
      </c>
      <c r="C13" s="72">
        <v>54</v>
      </c>
      <c r="D13" s="73">
        <v>1900</v>
      </c>
      <c r="E13" s="241">
        <f t="shared" si="0"/>
        <v>0</v>
      </c>
      <c r="F13" s="9"/>
      <c r="G13" s="9"/>
      <c r="H13" s="9"/>
      <c r="I13" s="9"/>
    </row>
    <row r="14" spans="1:9" x14ac:dyDescent="0.25">
      <c r="A14" s="9"/>
      <c r="B14" s="71" t="s">
        <v>135</v>
      </c>
      <c r="C14" s="72">
        <v>77</v>
      </c>
      <c r="D14" s="73">
        <v>2300</v>
      </c>
      <c r="E14" s="241">
        <f t="shared" si="0"/>
        <v>0</v>
      </c>
      <c r="F14" s="9"/>
      <c r="G14" s="9"/>
      <c r="H14" s="9"/>
      <c r="I14" s="9"/>
    </row>
    <row r="15" spans="1:9" x14ac:dyDescent="0.25">
      <c r="A15" s="9"/>
      <c r="B15" s="71" t="s">
        <v>136</v>
      </c>
      <c r="C15" s="72">
        <v>89</v>
      </c>
      <c r="D15" s="73">
        <v>1800</v>
      </c>
      <c r="E15" s="241">
        <f t="shared" si="0"/>
        <v>153</v>
      </c>
      <c r="F15" s="9"/>
      <c r="G15" s="9"/>
      <c r="H15" s="9"/>
      <c r="I15" s="9"/>
    </row>
    <row r="16" spans="1:9" x14ac:dyDescent="0.25">
      <c r="A16" s="9"/>
      <c r="B16" s="71" t="s">
        <v>137</v>
      </c>
      <c r="C16" s="72">
        <v>23</v>
      </c>
      <c r="D16" s="73">
        <v>3200</v>
      </c>
      <c r="E16" s="241">
        <f t="shared" si="0"/>
        <v>0</v>
      </c>
      <c r="F16" s="9"/>
      <c r="G16" s="9"/>
      <c r="H16" s="9"/>
      <c r="I16" s="9"/>
    </row>
    <row r="17" spans="1:9" x14ac:dyDescent="0.25">
      <c r="A17" s="9"/>
      <c r="B17" s="71" t="s">
        <v>138</v>
      </c>
      <c r="C17" s="72">
        <v>76</v>
      </c>
      <c r="D17" s="73">
        <v>1100</v>
      </c>
      <c r="E17" s="241">
        <f t="shared" si="0"/>
        <v>153</v>
      </c>
      <c r="F17" s="9"/>
      <c r="G17" s="9"/>
      <c r="H17" s="9"/>
      <c r="I17" s="9"/>
    </row>
    <row r="18" spans="1:9" x14ac:dyDescent="0.25">
      <c r="A18" s="9"/>
      <c r="B18" s="71" t="s">
        <v>139</v>
      </c>
      <c r="C18" s="72">
        <v>45</v>
      </c>
      <c r="D18" s="73">
        <v>3400</v>
      </c>
      <c r="E18" s="241">
        <f t="shared" si="0"/>
        <v>0</v>
      </c>
      <c r="F18" s="9"/>
      <c r="G18" s="9"/>
      <c r="H18" s="9"/>
      <c r="I18" s="9"/>
    </row>
    <row r="19" spans="1:9" x14ac:dyDescent="0.25">
      <c r="A19" s="9"/>
      <c r="B19" s="71" t="s">
        <v>140</v>
      </c>
      <c r="C19" s="72">
        <v>33</v>
      </c>
      <c r="D19" s="73">
        <v>2300</v>
      </c>
      <c r="E19" s="241">
        <f t="shared" si="0"/>
        <v>0</v>
      </c>
      <c r="F19" s="9"/>
      <c r="G19" s="9"/>
      <c r="H19" s="9"/>
      <c r="I19" s="9"/>
    </row>
    <row r="20" spans="1:9" x14ac:dyDescent="0.25">
      <c r="A20" s="9"/>
      <c r="B20" s="71" t="s">
        <v>141</v>
      </c>
      <c r="C20" s="72">
        <v>75</v>
      </c>
      <c r="D20" s="73">
        <v>1100</v>
      </c>
      <c r="E20" s="241">
        <f t="shared" si="0"/>
        <v>153</v>
      </c>
      <c r="F20" s="9"/>
      <c r="G20" s="9"/>
      <c r="H20" s="9"/>
      <c r="I20" s="9"/>
    </row>
    <row r="21" spans="1:9" x14ac:dyDescent="0.25">
      <c r="A21" s="9"/>
      <c r="B21" s="71" t="s">
        <v>142</v>
      </c>
      <c r="C21" s="72">
        <v>42</v>
      </c>
      <c r="D21" s="73">
        <v>2300</v>
      </c>
      <c r="E21" s="241">
        <f t="shared" si="0"/>
        <v>0</v>
      </c>
      <c r="F21" s="9"/>
      <c r="G21" s="9"/>
      <c r="H21" s="9"/>
      <c r="I21" s="9"/>
    </row>
    <row r="22" spans="1:9" x14ac:dyDescent="0.25">
      <c r="A22" s="9"/>
      <c r="B22" s="71" t="s">
        <v>143</v>
      </c>
      <c r="C22" s="72">
        <v>67</v>
      </c>
      <c r="D22" s="73">
        <v>1800</v>
      </c>
      <c r="E22" s="241">
        <f t="shared" si="0"/>
        <v>153</v>
      </c>
      <c r="F22" s="9"/>
      <c r="G22" s="9"/>
      <c r="H22" s="9"/>
      <c r="I22" s="9"/>
    </row>
    <row r="23" spans="1:9" x14ac:dyDescent="0.25">
      <c r="A23" s="9"/>
      <c r="B23" s="71" t="s">
        <v>144</v>
      </c>
      <c r="C23" s="72">
        <v>65</v>
      </c>
      <c r="D23" s="73">
        <v>1980</v>
      </c>
      <c r="E23" s="241">
        <f t="shared" si="0"/>
        <v>153</v>
      </c>
      <c r="F23" s="9"/>
      <c r="G23" s="9"/>
      <c r="H23" s="9"/>
      <c r="I23" s="9"/>
    </row>
    <row r="24" spans="1:9" x14ac:dyDescent="0.25">
      <c r="A24" s="9"/>
      <c r="B24" s="71" t="s">
        <v>145</v>
      </c>
      <c r="C24" s="72">
        <v>56</v>
      </c>
      <c r="D24" s="73">
        <v>2300</v>
      </c>
      <c r="E24" s="241">
        <f t="shared" si="0"/>
        <v>0</v>
      </c>
      <c r="F24" s="9"/>
      <c r="G24" s="9"/>
      <c r="H24" s="9"/>
      <c r="I24" s="9"/>
    </row>
    <row r="25" spans="1:9" x14ac:dyDescent="0.25">
      <c r="A25" s="9"/>
      <c r="B25" s="71" t="s">
        <v>146</v>
      </c>
      <c r="C25" s="72">
        <v>46</v>
      </c>
      <c r="D25" s="73">
        <v>2200</v>
      </c>
      <c r="E25" s="241">
        <f t="shared" si="0"/>
        <v>0</v>
      </c>
      <c r="F25" s="9"/>
      <c r="G25" s="9"/>
      <c r="H25" s="9"/>
      <c r="I25" s="9"/>
    </row>
    <row r="26" spans="1:9" x14ac:dyDescent="0.25">
      <c r="A26" s="9"/>
      <c r="B26" s="71" t="s">
        <v>147</v>
      </c>
      <c r="C26" s="72">
        <v>78</v>
      </c>
      <c r="D26" s="73">
        <v>1250</v>
      </c>
      <c r="E26" s="241">
        <f t="shared" si="0"/>
        <v>153</v>
      </c>
      <c r="F26" s="9"/>
      <c r="G26" s="9"/>
      <c r="H26" s="9"/>
      <c r="I2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CDF5-9134-434A-BCFF-2B0964F975DF}">
  <dimension ref="A1:AC26"/>
  <sheetViews>
    <sheetView workbookViewId="0">
      <selection activeCell="H29" sqref="H29"/>
    </sheetView>
  </sheetViews>
  <sheetFormatPr defaultRowHeight="15" x14ac:dyDescent="0.25"/>
  <cols>
    <col min="1" max="1" width="12.28515625" customWidth="1"/>
    <col min="2" max="2" width="9.7109375" bestFit="1" customWidth="1"/>
    <col min="3" max="3" width="6.5703125" customWidth="1"/>
    <col min="4" max="4" width="5.28515625" bestFit="1" customWidth="1"/>
    <col min="5" max="9" width="2.85546875" bestFit="1" customWidth="1"/>
    <col min="10" max="25" width="3" bestFit="1" customWidth="1"/>
    <col min="26" max="26" width="12" customWidth="1"/>
    <col min="27" max="27" width="17.42578125" customWidth="1"/>
    <col min="28" max="28" width="11" customWidth="1"/>
    <col min="29" max="29" width="14.28515625" customWidth="1"/>
  </cols>
  <sheetData>
    <row r="1" spans="1:29" x14ac:dyDescent="0.25">
      <c r="A1" s="242" t="s">
        <v>148</v>
      </c>
      <c r="B1" s="243" t="s">
        <v>0</v>
      </c>
      <c r="C1" s="243" t="s">
        <v>149</v>
      </c>
      <c r="D1" s="244">
        <v>2014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6"/>
      <c r="AA1" s="246"/>
      <c r="AB1" s="246"/>
      <c r="AC1" s="246"/>
    </row>
    <row r="2" spans="1:29" x14ac:dyDescent="0.25">
      <c r="A2" s="242" t="s">
        <v>150</v>
      </c>
      <c r="B2" s="247">
        <v>220</v>
      </c>
      <c r="C2" s="248"/>
      <c r="D2" s="246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6"/>
      <c r="AA2" s="246"/>
      <c r="AB2" s="246"/>
      <c r="AC2" s="246"/>
    </row>
    <row r="3" spans="1:29" ht="25.5" x14ac:dyDescent="0.25">
      <c r="A3" s="249" t="s">
        <v>151</v>
      </c>
      <c r="B3" s="247">
        <v>110</v>
      </c>
      <c r="C3" s="248"/>
      <c r="D3" s="246"/>
      <c r="E3" s="248"/>
      <c r="F3" s="250" t="s">
        <v>152</v>
      </c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48"/>
      <c r="S3" s="248"/>
      <c r="T3" s="248"/>
      <c r="U3" s="248"/>
      <c r="V3" s="248"/>
      <c r="W3" s="248"/>
      <c r="X3" s="248"/>
      <c r="Y3" s="248"/>
      <c r="Z3" s="246"/>
      <c r="AA3" s="246"/>
      <c r="AB3" s="246"/>
      <c r="AC3" s="246"/>
    </row>
    <row r="4" spans="1:29" ht="26.25" x14ac:dyDescent="0.25">
      <c r="A4" s="242" t="s">
        <v>153</v>
      </c>
      <c r="B4" s="247">
        <v>5</v>
      </c>
      <c r="C4" s="248"/>
      <c r="D4" s="246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6"/>
      <c r="AA4" s="246"/>
      <c r="AB4" s="246"/>
      <c r="AC4" s="246"/>
    </row>
    <row r="5" spans="1:29" ht="131.25" x14ac:dyDescent="0.25">
      <c r="A5" s="251" t="s">
        <v>1</v>
      </c>
      <c r="B5" s="251" t="s">
        <v>2</v>
      </c>
      <c r="C5" s="251" t="s">
        <v>154</v>
      </c>
      <c r="D5" s="252" t="s">
        <v>155</v>
      </c>
      <c r="E5" s="251">
        <v>3</v>
      </c>
      <c r="F5" s="251">
        <v>4</v>
      </c>
      <c r="G5" s="251">
        <v>5</v>
      </c>
      <c r="H5" s="251">
        <v>6</v>
      </c>
      <c r="I5" s="251">
        <v>7</v>
      </c>
      <c r="J5" s="251">
        <v>10</v>
      </c>
      <c r="K5" s="251">
        <v>11</v>
      </c>
      <c r="L5" s="251">
        <v>12</v>
      </c>
      <c r="M5" s="251">
        <v>13</v>
      </c>
      <c r="N5" s="251">
        <v>14</v>
      </c>
      <c r="O5" s="251">
        <v>17</v>
      </c>
      <c r="P5" s="251">
        <v>18</v>
      </c>
      <c r="Q5" s="251">
        <v>19</v>
      </c>
      <c r="R5" s="251">
        <v>20</v>
      </c>
      <c r="S5" s="251">
        <v>21</v>
      </c>
      <c r="T5" s="251">
        <v>24</v>
      </c>
      <c r="U5" s="251">
        <v>25</v>
      </c>
      <c r="V5" s="251">
        <v>26</v>
      </c>
      <c r="W5" s="251">
        <v>27</v>
      </c>
      <c r="X5" s="251">
        <v>28</v>
      </c>
      <c r="Y5" s="251">
        <v>31</v>
      </c>
      <c r="Z5" s="253" t="s">
        <v>156</v>
      </c>
      <c r="AA5" s="253" t="s">
        <v>157</v>
      </c>
      <c r="AB5" s="253" t="s">
        <v>158</v>
      </c>
      <c r="AC5" s="253" t="s">
        <v>159</v>
      </c>
    </row>
    <row r="6" spans="1:29" x14ac:dyDescent="0.25">
      <c r="A6" s="243" t="s">
        <v>160</v>
      </c>
      <c r="B6" s="254" t="s">
        <v>161</v>
      </c>
      <c r="C6" s="255" t="s">
        <v>162</v>
      </c>
      <c r="D6" s="256"/>
      <c r="E6" s="243"/>
      <c r="F6" s="243"/>
      <c r="G6" s="243"/>
      <c r="H6" s="243"/>
      <c r="I6" s="243" t="s">
        <v>163</v>
      </c>
      <c r="J6" s="243" t="s">
        <v>163</v>
      </c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 t="s">
        <v>163</v>
      </c>
      <c r="X6" s="243" t="s">
        <v>163</v>
      </c>
      <c r="Y6" s="243" t="s">
        <v>163</v>
      </c>
      <c r="Z6" s="257">
        <f>COUNTIF(E6:Y6,"")</f>
        <v>16</v>
      </c>
      <c r="AA6" s="257" t="str">
        <f>IF(D6="","PEŁNA","ZNIŻKA")</f>
        <v>PEŁNA</v>
      </c>
      <c r="AB6" s="258">
        <f>Z6*$B$4</f>
        <v>80</v>
      </c>
      <c r="AC6" s="258">
        <f>IF(AA6="PEŁNA",$B$2+AB6,$B$3+AB6)</f>
        <v>300</v>
      </c>
    </row>
    <row r="7" spans="1:29" x14ac:dyDescent="0.25">
      <c r="A7" s="243" t="s">
        <v>164</v>
      </c>
      <c r="B7" s="254" t="s">
        <v>165</v>
      </c>
      <c r="C7" s="255" t="s">
        <v>166</v>
      </c>
      <c r="D7" s="256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57">
        <f t="shared" ref="Z7:Z18" si="0">COUNTIF(E7:Y7,"")</f>
        <v>21</v>
      </c>
      <c r="AA7" s="257" t="str">
        <f t="shared" ref="AA7:AA18" si="1">IF(D7="","PEŁNA","ZNIŻKA")</f>
        <v>PEŁNA</v>
      </c>
      <c r="AB7" s="258">
        <f t="shared" ref="AB7:AB18" si="2">Z7*$B$4</f>
        <v>105</v>
      </c>
      <c r="AC7" s="258">
        <f t="shared" ref="AC7:AC18" si="3">IF(AA7="PEŁNA",$B$2+AB7,$B$3+AB7)</f>
        <v>325</v>
      </c>
    </row>
    <row r="8" spans="1:29" x14ac:dyDescent="0.25">
      <c r="A8" s="243" t="s">
        <v>167</v>
      </c>
      <c r="B8" s="254" t="s">
        <v>4</v>
      </c>
      <c r="C8" s="255" t="s">
        <v>162</v>
      </c>
      <c r="D8" s="256" t="s">
        <v>168</v>
      </c>
      <c r="E8" s="243"/>
      <c r="F8" s="243"/>
      <c r="G8" s="243"/>
      <c r="H8" s="243"/>
      <c r="I8" s="243"/>
      <c r="J8" s="243"/>
      <c r="K8" s="243"/>
      <c r="L8" s="243"/>
      <c r="M8" s="243"/>
      <c r="N8" s="243" t="s">
        <v>163</v>
      </c>
      <c r="O8" s="243" t="s">
        <v>163</v>
      </c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57">
        <f t="shared" si="0"/>
        <v>19</v>
      </c>
      <c r="AA8" s="257" t="str">
        <f t="shared" si="1"/>
        <v>ZNIŻKA</v>
      </c>
      <c r="AB8" s="258">
        <f t="shared" si="2"/>
        <v>95</v>
      </c>
      <c r="AC8" s="258">
        <f t="shared" si="3"/>
        <v>205</v>
      </c>
    </row>
    <row r="9" spans="1:29" x14ac:dyDescent="0.25">
      <c r="A9" s="243" t="s">
        <v>169</v>
      </c>
      <c r="B9" s="254" t="s">
        <v>170</v>
      </c>
      <c r="C9" s="255" t="s">
        <v>166</v>
      </c>
      <c r="D9" s="256" t="s">
        <v>168</v>
      </c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 t="s">
        <v>163</v>
      </c>
      <c r="S9" s="243" t="s">
        <v>163</v>
      </c>
      <c r="T9" s="243" t="s">
        <v>163</v>
      </c>
      <c r="U9" s="243"/>
      <c r="V9" s="243"/>
      <c r="W9" s="243" t="s">
        <v>163</v>
      </c>
      <c r="X9" s="243" t="s">
        <v>163</v>
      </c>
      <c r="Y9" s="243" t="s">
        <v>163</v>
      </c>
      <c r="Z9" s="257">
        <f t="shared" si="0"/>
        <v>15</v>
      </c>
      <c r="AA9" s="257" t="str">
        <f t="shared" si="1"/>
        <v>ZNIŻKA</v>
      </c>
      <c r="AB9" s="258">
        <f t="shared" si="2"/>
        <v>75</v>
      </c>
      <c r="AC9" s="258">
        <f t="shared" si="3"/>
        <v>185</v>
      </c>
    </row>
    <row r="10" spans="1:29" x14ac:dyDescent="0.25">
      <c r="A10" s="243" t="s">
        <v>171</v>
      </c>
      <c r="B10" s="254" t="s">
        <v>111</v>
      </c>
      <c r="C10" s="255" t="s">
        <v>162</v>
      </c>
      <c r="D10" s="256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57">
        <f t="shared" si="0"/>
        <v>21</v>
      </c>
      <c r="AA10" s="257" t="str">
        <f t="shared" si="1"/>
        <v>PEŁNA</v>
      </c>
      <c r="AB10" s="258">
        <f t="shared" si="2"/>
        <v>105</v>
      </c>
      <c r="AC10" s="258">
        <f t="shared" si="3"/>
        <v>325</v>
      </c>
    </row>
    <row r="11" spans="1:29" x14ac:dyDescent="0.25">
      <c r="A11" s="243" t="s">
        <v>172</v>
      </c>
      <c r="B11" s="254" t="s">
        <v>173</v>
      </c>
      <c r="C11" s="255" t="s">
        <v>162</v>
      </c>
      <c r="D11" s="256"/>
      <c r="E11" s="243"/>
      <c r="F11" s="243"/>
      <c r="G11" s="243"/>
      <c r="H11" s="243"/>
      <c r="I11" s="243"/>
      <c r="J11" s="243" t="s">
        <v>163</v>
      </c>
      <c r="K11" s="243"/>
      <c r="L11" s="243"/>
      <c r="M11" s="243" t="s">
        <v>163</v>
      </c>
      <c r="N11" s="243" t="s">
        <v>163</v>
      </c>
      <c r="O11" s="243"/>
      <c r="P11" s="243"/>
      <c r="Q11" s="243" t="s">
        <v>163</v>
      </c>
      <c r="R11" s="243"/>
      <c r="S11" s="243"/>
      <c r="T11" s="243"/>
      <c r="U11" s="243"/>
      <c r="V11" s="243"/>
      <c r="W11" s="243"/>
      <c r="X11" s="243"/>
      <c r="Y11" s="243"/>
      <c r="Z11" s="257">
        <f t="shared" si="0"/>
        <v>17</v>
      </c>
      <c r="AA11" s="257" t="str">
        <f t="shared" si="1"/>
        <v>PEŁNA</v>
      </c>
      <c r="AB11" s="258">
        <f t="shared" si="2"/>
        <v>85</v>
      </c>
      <c r="AC11" s="258">
        <f t="shared" si="3"/>
        <v>305</v>
      </c>
    </row>
    <row r="12" spans="1:29" x14ac:dyDescent="0.25">
      <c r="A12" s="243" t="s">
        <v>174</v>
      </c>
      <c r="B12" s="254" t="s">
        <v>175</v>
      </c>
      <c r="C12" s="255" t="s">
        <v>162</v>
      </c>
      <c r="D12" s="256" t="s">
        <v>168</v>
      </c>
      <c r="E12" s="243" t="s">
        <v>163</v>
      </c>
      <c r="F12" s="243"/>
      <c r="G12" s="243"/>
      <c r="H12" s="243"/>
      <c r="I12" s="243"/>
      <c r="J12" s="243" t="s">
        <v>163</v>
      </c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 t="s">
        <v>163</v>
      </c>
      <c r="W12" s="243"/>
      <c r="X12" s="243"/>
      <c r="Y12" s="243"/>
      <c r="Z12" s="257">
        <f t="shared" si="0"/>
        <v>18</v>
      </c>
      <c r="AA12" s="257" t="str">
        <f t="shared" si="1"/>
        <v>ZNIŻKA</v>
      </c>
      <c r="AB12" s="258">
        <f t="shared" si="2"/>
        <v>90</v>
      </c>
      <c r="AC12" s="258">
        <f t="shared" si="3"/>
        <v>200</v>
      </c>
    </row>
    <row r="13" spans="1:29" x14ac:dyDescent="0.25">
      <c r="A13" s="243" t="s">
        <v>176</v>
      </c>
      <c r="B13" s="254" t="s">
        <v>161</v>
      </c>
      <c r="C13" s="255" t="s">
        <v>162</v>
      </c>
      <c r="D13" s="256"/>
      <c r="E13" s="243"/>
      <c r="F13" s="243" t="s">
        <v>163</v>
      </c>
      <c r="G13" s="243" t="s">
        <v>163</v>
      </c>
      <c r="H13" s="243" t="s">
        <v>163</v>
      </c>
      <c r="I13" s="243" t="s">
        <v>163</v>
      </c>
      <c r="J13" s="243" t="s">
        <v>163</v>
      </c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57">
        <f t="shared" si="0"/>
        <v>16</v>
      </c>
      <c r="AA13" s="257" t="str">
        <f t="shared" si="1"/>
        <v>PEŁNA</v>
      </c>
      <c r="AB13" s="258">
        <f t="shared" si="2"/>
        <v>80</v>
      </c>
      <c r="AC13" s="258">
        <f t="shared" si="3"/>
        <v>300</v>
      </c>
    </row>
    <row r="14" spans="1:29" x14ac:dyDescent="0.25">
      <c r="A14" s="243" t="s">
        <v>177</v>
      </c>
      <c r="B14" s="254" t="s">
        <v>5</v>
      </c>
      <c r="C14" s="255" t="s">
        <v>166</v>
      </c>
      <c r="D14" s="256" t="s">
        <v>168</v>
      </c>
      <c r="E14" s="243"/>
      <c r="F14" s="243"/>
      <c r="G14" s="243"/>
      <c r="H14" s="243"/>
      <c r="I14" s="243"/>
      <c r="J14" s="243"/>
      <c r="K14" s="243"/>
      <c r="L14" s="243"/>
      <c r="M14" s="243" t="s">
        <v>163</v>
      </c>
      <c r="N14" s="243" t="s">
        <v>163</v>
      </c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57">
        <f t="shared" si="0"/>
        <v>19</v>
      </c>
      <c r="AA14" s="257" t="str">
        <f t="shared" si="1"/>
        <v>ZNIŻKA</v>
      </c>
      <c r="AB14" s="258">
        <f t="shared" si="2"/>
        <v>95</v>
      </c>
      <c r="AC14" s="258">
        <f t="shared" si="3"/>
        <v>205</v>
      </c>
    </row>
    <row r="15" spans="1:29" x14ac:dyDescent="0.25">
      <c r="A15" s="243" t="s">
        <v>178</v>
      </c>
      <c r="B15" s="254" t="s">
        <v>179</v>
      </c>
      <c r="C15" s="255" t="s">
        <v>162</v>
      </c>
      <c r="D15" s="256" t="s">
        <v>168</v>
      </c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 t="s">
        <v>163</v>
      </c>
      <c r="U15" s="243" t="s">
        <v>163</v>
      </c>
      <c r="V15" s="243"/>
      <c r="W15" s="243"/>
      <c r="X15" s="243"/>
      <c r="Y15" s="243"/>
      <c r="Z15" s="257">
        <f t="shared" si="0"/>
        <v>19</v>
      </c>
      <c r="AA15" s="257" t="str">
        <f t="shared" si="1"/>
        <v>ZNIŻKA</v>
      </c>
      <c r="AB15" s="258">
        <f t="shared" si="2"/>
        <v>95</v>
      </c>
      <c r="AC15" s="258">
        <f t="shared" si="3"/>
        <v>205</v>
      </c>
    </row>
    <row r="16" spans="1:29" x14ac:dyDescent="0.25">
      <c r="A16" s="243" t="s">
        <v>180</v>
      </c>
      <c r="B16" s="254" t="s">
        <v>3</v>
      </c>
      <c r="C16" s="255" t="s">
        <v>162</v>
      </c>
      <c r="D16" s="256"/>
      <c r="E16" s="243"/>
      <c r="F16" s="243" t="s">
        <v>163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57">
        <f t="shared" si="0"/>
        <v>20</v>
      </c>
      <c r="AA16" s="257" t="str">
        <f t="shared" si="1"/>
        <v>PEŁNA</v>
      </c>
      <c r="AB16" s="258">
        <f t="shared" si="2"/>
        <v>100</v>
      </c>
      <c r="AC16" s="258">
        <f t="shared" si="3"/>
        <v>320</v>
      </c>
    </row>
    <row r="17" spans="1:29" x14ac:dyDescent="0.25">
      <c r="A17" s="243" t="s">
        <v>181</v>
      </c>
      <c r="B17" s="254" t="s">
        <v>173</v>
      </c>
      <c r="C17" s="255" t="s">
        <v>162</v>
      </c>
      <c r="D17" s="256" t="s">
        <v>168</v>
      </c>
      <c r="E17" s="243"/>
      <c r="F17" s="243"/>
      <c r="G17" s="243"/>
      <c r="H17" s="243"/>
      <c r="I17" s="243" t="s">
        <v>163</v>
      </c>
      <c r="J17" s="243"/>
      <c r="K17" s="243"/>
      <c r="L17" s="243"/>
      <c r="M17" s="243"/>
      <c r="N17" s="243"/>
      <c r="O17" s="243"/>
      <c r="P17" s="243"/>
      <c r="Q17" s="243" t="s">
        <v>163</v>
      </c>
      <c r="R17" s="243" t="s">
        <v>163</v>
      </c>
      <c r="S17" s="243" t="s">
        <v>163</v>
      </c>
      <c r="T17" s="243" t="s">
        <v>163</v>
      </c>
      <c r="U17" s="243" t="s">
        <v>163</v>
      </c>
      <c r="V17" s="243" t="s">
        <v>163</v>
      </c>
      <c r="W17" s="243" t="s">
        <v>163</v>
      </c>
      <c r="X17" s="243" t="s">
        <v>163</v>
      </c>
      <c r="Y17" s="243" t="s">
        <v>163</v>
      </c>
      <c r="Z17" s="257">
        <f t="shared" si="0"/>
        <v>11</v>
      </c>
      <c r="AA17" s="257" t="str">
        <f t="shared" si="1"/>
        <v>ZNIŻKA</v>
      </c>
      <c r="AB17" s="258">
        <f t="shared" si="2"/>
        <v>55</v>
      </c>
      <c r="AC17" s="258">
        <f t="shared" si="3"/>
        <v>165</v>
      </c>
    </row>
    <row r="18" spans="1:29" x14ac:dyDescent="0.25">
      <c r="A18" s="243" t="s">
        <v>182</v>
      </c>
      <c r="B18" s="254" t="s">
        <v>183</v>
      </c>
      <c r="C18" s="255" t="s">
        <v>162</v>
      </c>
      <c r="D18" s="256"/>
      <c r="E18" s="243"/>
      <c r="F18" s="243"/>
      <c r="G18" s="243"/>
      <c r="H18" s="243"/>
      <c r="I18" s="243" t="s">
        <v>163</v>
      </c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57">
        <f t="shared" si="0"/>
        <v>20</v>
      </c>
      <c r="AA18" s="257" t="str">
        <f t="shared" si="1"/>
        <v>PEŁNA</v>
      </c>
      <c r="AB18" s="258">
        <f t="shared" si="2"/>
        <v>100</v>
      </c>
      <c r="AC18" s="258">
        <f t="shared" si="3"/>
        <v>320</v>
      </c>
    </row>
    <row r="19" spans="1:29" x14ac:dyDescent="0.25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59"/>
      <c r="AA19" s="259"/>
      <c r="AB19" s="259"/>
      <c r="AC19" s="259"/>
    </row>
    <row r="20" spans="1:29" x14ac:dyDescent="0.25">
      <c r="A20" s="246"/>
      <c r="B20" s="260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59"/>
      <c r="AA20" s="259"/>
      <c r="AB20" s="259"/>
      <c r="AC20" s="259"/>
    </row>
    <row r="21" spans="1:29" x14ac:dyDescent="0.25">
      <c r="A21" s="246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59"/>
      <c r="AA21" s="259" t="s">
        <v>184</v>
      </c>
      <c r="AB21" s="259"/>
      <c r="AC21" s="258">
        <f>AVERAGE(AC6:AC18)</f>
        <v>258.46153846153845</v>
      </c>
    </row>
    <row r="22" spans="1:29" x14ac:dyDescent="0.25">
      <c r="A22" s="246"/>
      <c r="B22" s="246"/>
      <c r="C22" s="261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59"/>
      <c r="AA22" s="259"/>
      <c r="AB22" s="259"/>
      <c r="AC22" s="259"/>
    </row>
    <row r="23" spans="1:29" x14ac:dyDescent="0.25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59"/>
      <c r="AA23" s="259" t="s">
        <v>185</v>
      </c>
      <c r="AB23" s="259"/>
      <c r="AC23" s="258">
        <f>MIN(AC6:AC18)</f>
        <v>165</v>
      </c>
    </row>
    <row r="24" spans="1:29" x14ac:dyDescent="0.25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59"/>
      <c r="AA24" s="246"/>
      <c r="AB24" s="246"/>
      <c r="AC24" s="246"/>
    </row>
    <row r="25" spans="1:29" x14ac:dyDescent="0.25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59"/>
      <c r="AA25" s="259" t="s">
        <v>186</v>
      </c>
      <c r="AB25" s="259"/>
      <c r="AC25" s="258">
        <f>MAX(AC6:AC18)</f>
        <v>325</v>
      </c>
    </row>
    <row r="26" spans="1:2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4"/>
      <c r="AA26" s="8"/>
      <c r="AB26" s="8"/>
      <c r="AC26" s="8"/>
    </row>
  </sheetData>
  <mergeCells count="1">
    <mergeCell ref="F3:Q3"/>
  </mergeCells>
  <conditionalFormatting sqref="F3:Q3">
    <cfRule type="expression" dxfId="0" priority="1" stopIfTrue="1">
      <formula>"$AD$26+$AD$25+$AD$20=476,08"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D4A7-FD32-498B-8A76-C6405E23DFAB}">
  <dimension ref="A2:F26"/>
  <sheetViews>
    <sheetView workbookViewId="0">
      <selection activeCell="E15" sqref="E15"/>
    </sheetView>
  </sheetViews>
  <sheetFormatPr defaultRowHeight="15" x14ac:dyDescent="0.25"/>
  <cols>
    <col min="1" max="1" width="18" customWidth="1"/>
    <col min="2" max="2" width="14" customWidth="1"/>
    <col min="3" max="3" width="17.85546875" customWidth="1"/>
    <col min="5" max="5" width="21.85546875" customWidth="1"/>
    <col min="6" max="6" width="17.42578125" customWidth="1"/>
  </cols>
  <sheetData>
    <row r="2" spans="1:6" x14ac:dyDescent="0.25">
      <c r="A2" s="75" t="s">
        <v>187</v>
      </c>
      <c r="B2" s="76" t="s">
        <v>188</v>
      </c>
      <c r="C2" s="76" t="s">
        <v>189</v>
      </c>
    </row>
    <row r="3" spans="1:6" x14ac:dyDescent="0.25">
      <c r="A3" s="77" t="s">
        <v>190</v>
      </c>
      <c r="B3" s="78">
        <v>55</v>
      </c>
      <c r="C3" s="79" t="str">
        <f>IF(B3&lt;35,$F$5,IF(B3&lt;45,$F$6,IF(B3&lt;55,$F$7,IF(B3&lt;60,$F$8))))</f>
        <v>bardzo dobry</v>
      </c>
      <c r="E3" s="191" t="s">
        <v>192</v>
      </c>
      <c r="F3" s="192"/>
    </row>
    <row r="4" spans="1:6" x14ac:dyDescent="0.25">
      <c r="A4" s="77" t="s">
        <v>191</v>
      </c>
      <c r="B4" s="78">
        <v>32</v>
      </c>
      <c r="C4" s="79" t="str">
        <f t="shared" ref="C4:C22" si="0">IF(B4&lt;35,$F$5,IF(B4&lt;45,$F$6,IF(B4&lt;55,$F$7,IF(B4&lt;60,$F$8))))</f>
        <v>niedostateczny</v>
      </c>
      <c r="E4" s="80" t="s">
        <v>188</v>
      </c>
      <c r="F4" s="81" t="s">
        <v>189</v>
      </c>
    </row>
    <row r="5" spans="1:6" x14ac:dyDescent="0.25">
      <c r="A5" s="77" t="s">
        <v>193</v>
      </c>
      <c r="B5" s="78">
        <v>48</v>
      </c>
      <c r="C5" s="79" t="str">
        <f t="shared" si="0"/>
        <v>dobry</v>
      </c>
      <c r="E5" s="82" t="s">
        <v>195</v>
      </c>
      <c r="F5" s="83" t="s">
        <v>196</v>
      </c>
    </row>
    <row r="6" spans="1:6" x14ac:dyDescent="0.25">
      <c r="A6" s="77" t="s">
        <v>194</v>
      </c>
      <c r="B6" s="78">
        <v>21</v>
      </c>
      <c r="C6" s="79" t="str">
        <f t="shared" si="0"/>
        <v>niedostateczny</v>
      </c>
      <c r="E6" s="82" t="s">
        <v>198</v>
      </c>
      <c r="F6" s="83" t="s">
        <v>199</v>
      </c>
    </row>
    <row r="7" spans="1:6" x14ac:dyDescent="0.25">
      <c r="A7" s="77" t="s">
        <v>197</v>
      </c>
      <c r="B7" s="78">
        <v>58</v>
      </c>
      <c r="C7" s="79" t="str">
        <f t="shared" si="0"/>
        <v>bardzo dobry</v>
      </c>
      <c r="E7" s="82" t="s">
        <v>201</v>
      </c>
      <c r="F7" s="83" t="s">
        <v>202</v>
      </c>
    </row>
    <row r="8" spans="1:6" x14ac:dyDescent="0.25">
      <c r="A8" s="77" t="s">
        <v>200</v>
      </c>
      <c r="B8" s="78">
        <v>33</v>
      </c>
      <c r="C8" s="79" t="str">
        <f t="shared" si="0"/>
        <v>niedostateczny</v>
      </c>
      <c r="E8" s="82" t="s">
        <v>204</v>
      </c>
      <c r="F8" s="83" t="s">
        <v>205</v>
      </c>
    </row>
    <row r="9" spans="1:6" x14ac:dyDescent="0.25">
      <c r="A9" s="77" t="s">
        <v>203</v>
      </c>
      <c r="B9" s="78">
        <v>57</v>
      </c>
      <c r="C9" s="79" t="str">
        <f t="shared" si="0"/>
        <v>bardzo dobry</v>
      </c>
    </row>
    <row r="10" spans="1:6" x14ac:dyDescent="0.25">
      <c r="A10" s="77" t="s">
        <v>206</v>
      </c>
      <c r="B10" s="78">
        <v>43</v>
      </c>
      <c r="C10" s="79" t="str">
        <f t="shared" si="0"/>
        <v>dostateczny</v>
      </c>
    </row>
    <row r="11" spans="1:6" x14ac:dyDescent="0.25">
      <c r="A11" s="77" t="s">
        <v>207</v>
      </c>
      <c r="B11" s="78">
        <v>36</v>
      </c>
      <c r="C11" s="79" t="str">
        <f t="shared" si="0"/>
        <v>dostateczny</v>
      </c>
    </row>
    <row r="12" spans="1:6" x14ac:dyDescent="0.25">
      <c r="A12" s="77" t="s">
        <v>208</v>
      </c>
      <c r="B12" s="78">
        <v>12</v>
      </c>
      <c r="C12" s="79" t="str">
        <f t="shared" si="0"/>
        <v>niedostateczny</v>
      </c>
    </row>
    <row r="13" spans="1:6" x14ac:dyDescent="0.25">
      <c r="A13" s="77" t="s">
        <v>209</v>
      </c>
      <c r="B13" s="78">
        <v>50</v>
      </c>
      <c r="C13" s="79" t="str">
        <f t="shared" si="0"/>
        <v>dobry</v>
      </c>
    </row>
    <row r="14" spans="1:6" x14ac:dyDescent="0.25">
      <c r="A14" s="77" t="s">
        <v>210</v>
      </c>
      <c r="B14" s="78">
        <v>54</v>
      </c>
      <c r="C14" s="79" t="str">
        <f t="shared" si="0"/>
        <v>dobry</v>
      </c>
    </row>
    <row r="15" spans="1:6" x14ac:dyDescent="0.25">
      <c r="A15" s="77" t="s">
        <v>211</v>
      </c>
      <c r="B15" s="78">
        <v>43</v>
      </c>
      <c r="C15" s="79" t="str">
        <f t="shared" si="0"/>
        <v>dostateczny</v>
      </c>
    </row>
    <row r="16" spans="1:6" x14ac:dyDescent="0.25">
      <c r="A16" s="77" t="s">
        <v>212</v>
      </c>
      <c r="B16" s="78">
        <v>52</v>
      </c>
      <c r="C16" s="79" t="str">
        <f t="shared" si="0"/>
        <v>dobry</v>
      </c>
    </row>
    <row r="17" spans="1:4" x14ac:dyDescent="0.25">
      <c r="A17" s="77" t="s">
        <v>213</v>
      </c>
      <c r="B17" s="78">
        <v>2</v>
      </c>
      <c r="C17" s="79" t="str">
        <f t="shared" si="0"/>
        <v>niedostateczny</v>
      </c>
    </row>
    <row r="18" spans="1:4" x14ac:dyDescent="0.25">
      <c r="A18" s="77" t="s">
        <v>214</v>
      </c>
      <c r="B18" s="78">
        <v>33</v>
      </c>
      <c r="C18" s="79" t="str">
        <f t="shared" si="0"/>
        <v>niedostateczny</v>
      </c>
    </row>
    <row r="19" spans="1:4" x14ac:dyDescent="0.25">
      <c r="A19" s="77" t="s">
        <v>215</v>
      </c>
      <c r="B19" s="78">
        <v>44</v>
      </c>
      <c r="C19" s="79" t="str">
        <f t="shared" si="0"/>
        <v>dostateczny</v>
      </c>
    </row>
    <row r="20" spans="1:4" x14ac:dyDescent="0.25">
      <c r="A20" s="77" t="s">
        <v>216</v>
      </c>
      <c r="B20" s="78">
        <v>55</v>
      </c>
      <c r="C20" s="79" t="str">
        <f t="shared" si="0"/>
        <v>bardzo dobry</v>
      </c>
    </row>
    <row r="21" spans="1:4" x14ac:dyDescent="0.25">
      <c r="A21" s="77" t="s">
        <v>217</v>
      </c>
      <c r="B21" s="78">
        <v>41</v>
      </c>
      <c r="C21" s="79" t="str">
        <f t="shared" si="0"/>
        <v>dostateczny</v>
      </c>
    </row>
    <row r="22" spans="1:4" x14ac:dyDescent="0.25">
      <c r="A22" s="77" t="s">
        <v>218</v>
      </c>
      <c r="B22" s="78">
        <v>37</v>
      </c>
      <c r="C22" s="79" t="str">
        <f t="shared" si="0"/>
        <v>dostateczny</v>
      </c>
    </row>
    <row r="24" spans="1:4" x14ac:dyDescent="0.25">
      <c r="A24" s="84" t="s">
        <v>8</v>
      </c>
      <c r="B24" s="8"/>
      <c r="C24" s="8"/>
      <c r="D24" s="8"/>
    </row>
    <row r="25" spans="1:4" x14ac:dyDescent="0.25">
      <c r="A25" s="8" t="s">
        <v>219</v>
      </c>
      <c r="B25" s="8"/>
      <c r="C25" s="8"/>
      <c r="D25" s="8"/>
    </row>
    <row r="26" spans="1:4" x14ac:dyDescent="0.25">
      <c r="A26" s="8" t="s">
        <v>220</v>
      </c>
      <c r="B26" s="8"/>
      <c r="C26" s="8"/>
      <c r="D26" s="8"/>
    </row>
  </sheetData>
  <mergeCells count="1"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D4CC-6133-4DA9-979B-11985D38F760}">
  <dimension ref="A1:I36"/>
  <sheetViews>
    <sheetView workbookViewId="0">
      <selection activeCell="J14" sqref="J14"/>
    </sheetView>
  </sheetViews>
  <sheetFormatPr defaultRowHeight="15" x14ac:dyDescent="0.25"/>
  <cols>
    <col min="1" max="1" width="12.42578125" customWidth="1"/>
    <col min="2" max="2" width="21.85546875" customWidth="1"/>
    <col min="3" max="3" width="19.85546875" customWidth="1"/>
    <col min="5" max="5" width="9.85546875" bestFit="1" customWidth="1"/>
  </cols>
  <sheetData>
    <row r="1" spans="1:3" ht="18" x14ac:dyDescent="0.25">
      <c r="A1" s="2" t="s">
        <v>221</v>
      </c>
    </row>
    <row r="3" spans="1:3" x14ac:dyDescent="0.25">
      <c r="A3" t="s">
        <v>222</v>
      </c>
      <c r="B3" t="s">
        <v>223</v>
      </c>
      <c r="C3" t="s">
        <v>224</v>
      </c>
    </row>
    <row r="4" spans="1:3" x14ac:dyDescent="0.25">
      <c r="A4" t="s">
        <v>226</v>
      </c>
      <c r="B4">
        <v>33</v>
      </c>
      <c r="C4">
        <v>3.8</v>
      </c>
    </row>
    <row r="5" spans="1:3" x14ac:dyDescent="0.25">
      <c r="A5" t="s">
        <v>225</v>
      </c>
      <c r="B5">
        <v>35</v>
      </c>
      <c r="C5">
        <v>3.2</v>
      </c>
    </row>
    <row r="6" spans="1:3" x14ac:dyDescent="0.25">
      <c r="A6" t="s">
        <v>233</v>
      </c>
      <c r="B6">
        <v>30</v>
      </c>
      <c r="C6">
        <v>3</v>
      </c>
    </row>
    <row r="7" spans="1:3" x14ac:dyDescent="0.25">
      <c r="A7" t="s">
        <v>227</v>
      </c>
      <c r="B7">
        <v>32</v>
      </c>
      <c r="C7">
        <v>3.9</v>
      </c>
    </row>
    <row r="8" spans="1:3" x14ac:dyDescent="0.25">
      <c r="A8" t="s">
        <v>234</v>
      </c>
      <c r="B8">
        <v>30</v>
      </c>
      <c r="C8">
        <v>4</v>
      </c>
    </row>
    <row r="9" spans="1:3" x14ac:dyDescent="0.25">
      <c r="A9" t="s">
        <v>231</v>
      </c>
      <c r="B9">
        <v>31</v>
      </c>
      <c r="C9">
        <v>3.6</v>
      </c>
    </row>
    <row r="10" spans="1:3" x14ac:dyDescent="0.25">
      <c r="A10" t="s">
        <v>237</v>
      </c>
      <c r="B10">
        <v>29</v>
      </c>
      <c r="C10">
        <v>4.2</v>
      </c>
    </row>
    <row r="11" spans="1:3" x14ac:dyDescent="0.25">
      <c r="A11" t="s">
        <v>235</v>
      </c>
      <c r="B11">
        <v>30</v>
      </c>
      <c r="C11">
        <v>3.8</v>
      </c>
    </row>
    <row r="12" spans="1:3" x14ac:dyDescent="0.25">
      <c r="A12" t="s">
        <v>241</v>
      </c>
      <c r="B12">
        <v>28</v>
      </c>
      <c r="C12">
        <v>3.9</v>
      </c>
    </row>
    <row r="13" spans="1:3" x14ac:dyDescent="0.25">
      <c r="A13" t="s">
        <v>244</v>
      </c>
      <c r="B13">
        <v>26</v>
      </c>
      <c r="C13">
        <v>4.3</v>
      </c>
    </row>
    <row r="14" spans="1:3" x14ac:dyDescent="0.25">
      <c r="A14" t="s">
        <v>238</v>
      </c>
      <c r="B14">
        <v>29</v>
      </c>
      <c r="C14">
        <v>3.1</v>
      </c>
    </row>
    <row r="15" spans="1:3" x14ac:dyDescent="0.25">
      <c r="A15" t="s">
        <v>247</v>
      </c>
      <c r="B15">
        <v>25</v>
      </c>
      <c r="C15">
        <v>4.0999999999999996</v>
      </c>
    </row>
    <row r="16" spans="1:3" x14ac:dyDescent="0.25">
      <c r="A16" t="s">
        <v>245</v>
      </c>
      <c r="B16">
        <v>26</v>
      </c>
      <c r="C16">
        <v>4.5999999999999996</v>
      </c>
    </row>
    <row r="17" spans="1:9" x14ac:dyDescent="0.25">
      <c r="A17" t="s">
        <v>248</v>
      </c>
      <c r="B17">
        <v>24</v>
      </c>
      <c r="C17">
        <v>3.9</v>
      </c>
    </row>
    <row r="18" spans="1:9" x14ac:dyDescent="0.25">
      <c r="A18" t="s">
        <v>243</v>
      </c>
      <c r="B18">
        <v>27</v>
      </c>
      <c r="C18">
        <v>3.1</v>
      </c>
    </row>
    <row r="19" spans="1:9" x14ac:dyDescent="0.25">
      <c r="A19" t="s">
        <v>228</v>
      </c>
      <c r="B19">
        <v>32</v>
      </c>
      <c r="C19">
        <v>4.0999999999999996</v>
      </c>
    </row>
    <row r="20" spans="1:9" x14ac:dyDescent="0.25">
      <c r="A20" t="s">
        <v>239</v>
      </c>
      <c r="B20">
        <v>29</v>
      </c>
      <c r="C20">
        <v>3.5</v>
      </c>
    </row>
    <row r="21" spans="1:9" x14ac:dyDescent="0.25">
      <c r="A21" t="s">
        <v>229</v>
      </c>
      <c r="B21">
        <v>32</v>
      </c>
      <c r="C21">
        <v>3.7</v>
      </c>
    </row>
    <row r="22" spans="1:9" x14ac:dyDescent="0.25">
      <c r="A22" t="s">
        <v>242</v>
      </c>
      <c r="B22">
        <v>28</v>
      </c>
      <c r="C22">
        <v>2.8</v>
      </c>
    </row>
    <row r="23" spans="1:9" x14ac:dyDescent="0.25">
      <c r="A23" t="s">
        <v>246</v>
      </c>
      <c r="B23">
        <v>26</v>
      </c>
      <c r="C23">
        <v>3.1</v>
      </c>
    </row>
    <row r="24" spans="1:9" x14ac:dyDescent="0.25">
      <c r="A24" t="s">
        <v>230</v>
      </c>
      <c r="B24">
        <v>32</v>
      </c>
      <c r="C24">
        <v>3.4</v>
      </c>
    </row>
    <row r="25" spans="1:9" x14ac:dyDescent="0.25">
      <c r="A25" t="s">
        <v>236</v>
      </c>
      <c r="B25">
        <v>30</v>
      </c>
      <c r="C25">
        <v>3.7</v>
      </c>
    </row>
    <row r="26" spans="1:9" x14ac:dyDescent="0.25">
      <c r="A26" t="s">
        <v>232</v>
      </c>
      <c r="B26">
        <v>31</v>
      </c>
      <c r="C26">
        <v>2.7</v>
      </c>
    </row>
    <row r="27" spans="1:9" x14ac:dyDescent="0.25">
      <c r="A27" t="s">
        <v>240</v>
      </c>
      <c r="B27">
        <v>29</v>
      </c>
      <c r="C27">
        <v>2.9</v>
      </c>
    </row>
    <row r="28" spans="1:9" x14ac:dyDescent="0.25">
      <c r="A28" t="s">
        <v>249</v>
      </c>
      <c r="B28" s="85">
        <f>SUM(B4:B27)</f>
        <v>704</v>
      </c>
    </row>
    <row r="29" spans="1:9" x14ac:dyDescent="0.25">
      <c r="G29" t="s">
        <v>250</v>
      </c>
    </row>
    <row r="30" spans="1:9" x14ac:dyDescent="0.25">
      <c r="A30" t="s">
        <v>251</v>
      </c>
      <c r="E30" s="85">
        <f>MIN(Tabela33[ILOŚĆ UCZNIÓW])</f>
        <v>24</v>
      </c>
      <c r="G30" t="s">
        <v>252</v>
      </c>
      <c r="I30" s="262">
        <f>AVERAGE(B4:B11)</f>
        <v>31.25</v>
      </c>
    </row>
    <row r="31" spans="1:9" x14ac:dyDescent="0.25">
      <c r="A31" t="s">
        <v>253</v>
      </c>
      <c r="E31" s="85">
        <f>MAX(Tabela33[ILOŚĆ UCZNIÓW])</f>
        <v>35</v>
      </c>
      <c r="G31" t="s">
        <v>254</v>
      </c>
      <c r="I31" s="262">
        <f>AVERAGE(B12:B19)</f>
        <v>27.125</v>
      </c>
    </row>
    <row r="32" spans="1:9" x14ac:dyDescent="0.25">
      <c r="A32" t="s">
        <v>255</v>
      </c>
      <c r="E32" s="85">
        <f>MIN(Tabela33[ŚREDNIA KLASY])</f>
        <v>2.7</v>
      </c>
      <c r="G32" t="s">
        <v>256</v>
      </c>
      <c r="I32" s="262">
        <f>AVERAGE(B20:B27)</f>
        <v>29.625</v>
      </c>
    </row>
    <row r="33" spans="1:5" x14ac:dyDescent="0.25">
      <c r="A33" t="s">
        <v>257</v>
      </c>
      <c r="E33" s="85">
        <f>MAX(Tabela33[ŚREDNIA KLASY])</f>
        <v>4.5999999999999996</v>
      </c>
    </row>
    <row r="34" spans="1:5" x14ac:dyDescent="0.25">
      <c r="A34" t="s">
        <v>258</v>
      </c>
      <c r="E34" s="85">
        <f>B28</f>
        <v>704</v>
      </c>
    </row>
    <row r="35" spans="1:5" x14ac:dyDescent="0.25">
      <c r="A35" t="s">
        <v>259</v>
      </c>
      <c r="E35" s="262">
        <f>AVERAGE(Tabela33[ILOŚĆ UCZNIÓW])</f>
        <v>29.333333333333332</v>
      </c>
    </row>
    <row r="36" spans="1:5" x14ac:dyDescent="0.25">
      <c r="A36" t="s">
        <v>260</v>
      </c>
      <c r="E36" s="263">
        <f>AVERAGE(C4:C26)</f>
        <v>3.6304347826086958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Morphic</dc:creator>
  <cp:lastModifiedBy>Student</cp:lastModifiedBy>
  <dcterms:created xsi:type="dcterms:W3CDTF">2021-06-11T22:25:43Z</dcterms:created>
  <dcterms:modified xsi:type="dcterms:W3CDTF">2024-04-09T12:31:18Z</dcterms:modified>
</cp:coreProperties>
</file>