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7"/>
  <workbookPr/>
  <mc:AlternateContent xmlns:mc="http://schemas.openxmlformats.org/markup-compatibility/2006">
    <mc:Choice Requires="x15">
      <x15ac:absPath xmlns:x15ac="http://schemas.microsoft.com/office/spreadsheetml/2010/11/ac" url="https://norsadcapital.sharepoint.com/Investment Operations/1.3 PORTFOLIO TEAM/04. Risk Management/3. IFRS 9/1. 2024/3. 30 June 2024 (New Model)/02. Facilities/1. Investments/"/>
    </mc:Choice>
  </mc:AlternateContent>
  <xr:revisionPtr revIDLastSave="537" documentId="13_ncr:1_{0A22FD6B-4C30-49C6-811A-4ED293F1B64D}" xr6:coauthVersionLast="47" xr6:coauthVersionMax="47" xr10:uidLastSave="{705BDCB5-4BE6-4333-8C21-240EFFAADB85}"/>
  <bookViews>
    <workbookView xWindow="-80" yWindow="-80" windowWidth="19360" windowHeight="10240" firstSheet="1" activeTab="1" xr2:uid="{00000000-000D-0000-FFFF-FFFF00000000}"/>
  </bookViews>
  <sheets>
    <sheet name="7mn Statement" sheetId="3" r:id="rId1"/>
    <sheet name="IFRS9" sheetId="4" r:id="rId2"/>
    <sheet name="3mn Statement" sheetId="6" r:id="rId3"/>
    <sheet name="IFRS9-Restructure" sheetId="7" r:id="rId4"/>
    <sheet name="Statement (2)" sheetId="5" state="hidden" r:id="rId5"/>
  </sheets>
  <externalReferences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4" l="1"/>
  <c r="D5" i="7"/>
  <c r="H42" i="3"/>
  <c r="H39" i="3"/>
  <c r="B33" i="7"/>
  <c r="B34" i="7"/>
  <c r="B35" i="7"/>
  <c r="B36" i="7"/>
  <c r="B32" i="7"/>
  <c r="B37" i="7" s="1"/>
  <c r="B33" i="4"/>
  <c r="B34" i="4"/>
  <c r="B35" i="4"/>
  <c r="B32" i="4"/>
  <c r="J42" i="6"/>
  <c r="J41" i="6"/>
  <c r="J40" i="6"/>
  <c r="J39" i="6"/>
  <c r="J38" i="6"/>
  <c r="H41" i="3"/>
  <c r="H40" i="3"/>
  <c r="H38" i="3"/>
  <c r="D13" i="7"/>
  <c r="D12" i="7"/>
  <c r="D11" i="7"/>
  <c r="D10" i="7"/>
  <c r="D9" i="7"/>
  <c r="D8" i="7"/>
  <c r="C54" i="6"/>
  <c r="C55" i="6" s="1"/>
  <c r="D53" i="6"/>
  <c r="E53" i="6" s="1"/>
  <c r="E39" i="6"/>
  <c r="G39" i="6" s="1"/>
  <c r="C39" i="6"/>
  <c r="C40" i="6" s="1"/>
  <c r="A39" i="6"/>
  <c r="D13" i="4"/>
  <c r="D12" i="4"/>
  <c r="D11" i="4"/>
  <c r="D10" i="4"/>
  <c r="D9" i="4"/>
  <c r="D8" i="4"/>
  <c r="C53" i="3"/>
  <c r="D53" i="3" s="1"/>
  <c r="E53" i="3" s="1"/>
  <c r="H52" i="3"/>
  <c r="E52" i="3"/>
  <c r="D52" i="3"/>
  <c r="I41" i="3"/>
  <c r="C40" i="3"/>
  <c r="C41" i="3" s="1"/>
  <c r="C42" i="3" s="1"/>
  <c r="I39" i="3"/>
  <c r="F39" i="3"/>
  <c r="E39" i="3"/>
  <c r="G39" i="3" s="1"/>
  <c r="H32" i="3"/>
  <c r="C41" i="6" l="1"/>
  <c r="C42" i="6" s="1"/>
  <c r="D40" i="6"/>
  <c r="F40" i="6" s="1"/>
  <c r="D55" i="6"/>
  <c r="E55" i="6" s="1"/>
  <c r="C56" i="6"/>
  <c r="D54" i="6"/>
  <c r="E54" i="6" s="1"/>
  <c r="C43" i="3"/>
  <c r="D40" i="3"/>
  <c r="C54" i="3"/>
  <c r="C57" i="6" l="1"/>
  <c r="D56" i="6"/>
  <c r="E56" i="6" s="1"/>
  <c r="E40" i="6"/>
  <c r="G40" i="6" s="1"/>
  <c r="C43" i="6"/>
  <c r="C55" i="3"/>
  <c r="D54" i="3"/>
  <c r="E54" i="3" s="1"/>
  <c r="F40" i="3"/>
  <c r="E40" i="3"/>
  <c r="G40" i="3" s="1"/>
  <c r="C44" i="3"/>
  <c r="D41" i="6" l="1"/>
  <c r="C44" i="6"/>
  <c r="C58" i="6"/>
  <c r="D58" i="6" s="1"/>
  <c r="E58" i="6" s="1"/>
  <c r="D57" i="6"/>
  <c r="E57" i="6" s="1"/>
  <c r="C45" i="3"/>
  <c r="D41" i="3"/>
  <c r="C56" i="3"/>
  <c r="D55" i="3"/>
  <c r="E55" i="3" s="1"/>
  <c r="C45" i="6" l="1"/>
  <c r="F41" i="6"/>
  <c r="G41" i="6" s="1"/>
  <c r="C57" i="3"/>
  <c r="D56" i="3"/>
  <c r="E56" i="3" s="1"/>
  <c r="J41" i="3"/>
  <c r="F41" i="3"/>
  <c r="G41" i="3"/>
  <c r="D42" i="6" l="1"/>
  <c r="D42" i="3"/>
  <c r="C58" i="3"/>
  <c r="D58" i="3" s="1"/>
  <c r="E58" i="3" s="1"/>
  <c r="D57" i="3"/>
  <c r="E57" i="3" s="1"/>
  <c r="F42" i="6" l="1"/>
  <c r="E42" i="6"/>
  <c r="G42" i="6" s="1"/>
  <c r="F42" i="3"/>
  <c r="E42" i="3"/>
  <c r="G42" i="3" s="1"/>
  <c r="D43" i="6" l="1"/>
  <c r="D43" i="3"/>
  <c r="F43" i="6" l="1"/>
  <c r="E43" i="6"/>
  <c r="G43" i="6"/>
  <c r="F43" i="3"/>
  <c r="E43" i="3"/>
  <c r="G43" i="3" s="1"/>
  <c r="D44" i="6" l="1"/>
  <c r="D44" i="3"/>
  <c r="F44" i="6" l="1"/>
  <c r="E44" i="6" s="1"/>
  <c r="G44" i="6" s="1"/>
  <c r="F44" i="3"/>
  <c r="E44" i="3"/>
  <c r="G44" i="3"/>
  <c r="D45" i="6" l="1"/>
  <c r="D45" i="3"/>
  <c r="F45" i="6" l="1"/>
  <c r="E45" i="6"/>
  <c r="G45" i="6" s="1"/>
  <c r="F45" i="3"/>
  <c r="E45" i="3"/>
  <c r="G45" i="3" s="1"/>
  <c r="F40" i="7" l="1"/>
  <c r="G39" i="7"/>
  <c r="I39" i="7" s="1"/>
  <c r="H38" i="7"/>
  <c r="G38" i="7"/>
  <c r="I38" i="7" s="1"/>
  <c r="H37" i="7"/>
  <c r="G37" i="7"/>
  <c r="H36" i="7"/>
  <c r="G36" i="7"/>
  <c r="H35" i="7"/>
  <c r="G35" i="7"/>
  <c r="G34" i="7"/>
  <c r="I34" i="7" s="1"/>
  <c r="H33" i="7"/>
  <c r="G33" i="7"/>
  <c r="C20" i="7"/>
  <c r="C9" i="7" s="1"/>
  <c r="B9" i="7" s="1"/>
  <c r="C10" i="7" s="1"/>
  <c r="I13" i="7"/>
  <c r="H13" i="7"/>
  <c r="G13" i="7"/>
  <c r="I12" i="7"/>
  <c r="H12" i="7"/>
  <c r="G12" i="7"/>
  <c r="I11" i="7"/>
  <c r="H11" i="7"/>
  <c r="G11" i="7"/>
  <c r="I10" i="7"/>
  <c r="H10" i="7"/>
  <c r="G10" i="7"/>
  <c r="I9" i="7"/>
  <c r="H9" i="7"/>
  <c r="G9" i="7"/>
  <c r="I33" i="7" l="1"/>
  <c r="I37" i="7"/>
  <c r="I35" i="7"/>
  <c r="I36" i="7"/>
  <c r="G40" i="7"/>
  <c r="H40" i="7"/>
  <c r="B10" i="7"/>
  <c r="I40" i="7" l="1"/>
  <c r="C11" i="7"/>
  <c r="B11" i="7" s="1"/>
  <c r="E11" i="7" l="1"/>
  <c r="E12" i="7"/>
  <c r="E9" i="7"/>
  <c r="E13" i="7"/>
  <c r="E10" i="7"/>
  <c r="C12" i="7"/>
  <c r="B12" i="7" l="1"/>
  <c r="C13" i="7" s="1"/>
  <c r="B13" i="7" l="1"/>
  <c r="F61" i="5" l="1"/>
  <c r="F60" i="5"/>
  <c r="E43" i="5"/>
  <c r="D41" i="5"/>
  <c r="E41" i="5" l="1"/>
  <c r="F41" i="5" s="1"/>
  <c r="H10" i="4"/>
  <c r="I10" i="4"/>
  <c r="H11" i="4"/>
  <c r="I11" i="4"/>
  <c r="H12" i="4"/>
  <c r="I12" i="4"/>
  <c r="H13" i="4"/>
  <c r="I13" i="4"/>
  <c r="I9" i="4"/>
  <c r="H9" i="4"/>
  <c r="F42" i="5" l="1"/>
  <c r="F43" i="5" s="1"/>
  <c r="D42" i="5"/>
  <c r="E42" i="5" s="1"/>
  <c r="G13" i="4"/>
  <c r="G12" i="4"/>
  <c r="G11" i="4"/>
  <c r="G10" i="4"/>
  <c r="G9" i="4"/>
  <c r="F44" i="5" l="1"/>
  <c r="D44" i="5"/>
  <c r="E44" i="5" s="1"/>
  <c r="J47" i="5" s="1"/>
  <c r="H39" i="4"/>
  <c r="G39" i="4"/>
  <c r="I39" i="4" s="1"/>
  <c r="D45" i="5" l="1"/>
  <c r="E45" i="5" s="1"/>
  <c r="C20" i="4"/>
  <c r="C9" i="4" s="1"/>
  <c r="F45" i="5" l="1"/>
  <c r="H33" i="4"/>
  <c r="H35" i="4"/>
  <c r="H37" i="4"/>
  <c r="H38" i="4"/>
  <c r="D46" i="5" l="1"/>
  <c r="E46" i="5" s="1"/>
  <c r="F41" i="4"/>
  <c r="G40" i="4"/>
  <c r="I40" i="4" s="1"/>
  <c r="G38" i="4"/>
  <c r="I38" i="4" s="1"/>
  <c r="G37" i="4"/>
  <c r="I37" i="4" s="1"/>
  <c r="G35" i="4"/>
  <c r="G34" i="4"/>
  <c r="G33" i="4"/>
  <c r="I33" i="4" s="1"/>
  <c r="F46" i="5" l="1"/>
  <c r="I35" i="4"/>
  <c r="G41" i="4"/>
  <c r="D47" i="5" l="1"/>
  <c r="E47" i="5" s="1"/>
  <c r="F47" i="5"/>
  <c r="B9" i="4"/>
  <c r="C10" i="4" s="1"/>
  <c r="D48" i="5" l="1"/>
  <c r="E48" i="5" s="1"/>
  <c r="J48" i="5" s="1"/>
  <c r="B10" i="4"/>
  <c r="F48" i="5" l="1"/>
  <c r="C11" i="4"/>
  <c r="D49" i="5" l="1"/>
  <c r="E49" i="5" s="1"/>
  <c r="F49" i="5"/>
  <c r="B11" i="4"/>
  <c r="D50" i="5" l="1"/>
  <c r="E50" i="5" s="1"/>
  <c r="C12" i="4"/>
  <c r="B12" i="4" s="1"/>
  <c r="F50" i="5" l="1"/>
  <c r="C13" i="4"/>
  <c r="D51" i="5" l="1"/>
  <c r="E51" i="5" s="1"/>
  <c r="F51" i="5"/>
  <c r="B13" i="4"/>
  <c r="D52" i="5" l="1"/>
  <c r="E52" i="5" s="1"/>
  <c r="F52" i="5" l="1"/>
  <c r="D53" i="5" l="1"/>
  <c r="E53" i="5" s="1"/>
  <c r="J49" i="5" s="1"/>
  <c r="J50" i="5" s="1"/>
  <c r="F53" i="5" l="1"/>
  <c r="F9" i="7" l="1"/>
  <c r="J9" i="7" s="1"/>
  <c r="F10" i="7" l="1"/>
  <c r="J10" i="7" s="1"/>
  <c r="F11" i="7" l="1"/>
  <c r="J11" i="7" s="1"/>
  <c r="F12" i="7" l="1"/>
  <c r="J12" i="7" s="1"/>
  <c r="F13" i="7" l="1"/>
  <c r="J13" i="7" s="1"/>
  <c r="E43" i="7" l="1"/>
  <c r="I34" i="4"/>
  <c r="I41" i="4" s="1"/>
  <c r="E11" i="4" s="1"/>
  <c r="F11" i="4" s="1"/>
  <c r="J11" i="4" s="1"/>
  <c r="E44" i="4" l="1"/>
  <c r="H41" i="4" s="1"/>
  <c r="B37" i="4"/>
  <c r="E12" i="4"/>
  <c r="F12" i="4" s="1"/>
  <c r="J12" i="4" s="1"/>
  <c r="E10" i="4"/>
  <c r="F10" i="4" s="1"/>
  <c r="J10" i="4" s="1"/>
  <c r="E9" i="4"/>
  <c r="F9" i="4" s="1"/>
  <c r="J9" i="4" s="1"/>
  <c r="E13" i="4"/>
  <c r="F13" i="4" s="1"/>
  <c r="J13" i="4" s="1"/>
  <c r="C21" i="4" l="1"/>
  <c r="K11" i="4" l="1"/>
  <c r="K13" i="4"/>
  <c r="K12" i="4"/>
  <c r="K10" i="4"/>
  <c r="K9" i="4"/>
  <c r="C21" i="7" l="1"/>
  <c r="K19" i="4"/>
  <c r="K14" i="4"/>
  <c r="K20" i="4" s="1"/>
  <c r="K10" i="7" l="1"/>
  <c r="K9" i="7"/>
  <c r="K11" i="7"/>
  <c r="K12" i="7"/>
  <c r="K13" i="7"/>
  <c r="K14" i="7" l="1"/>
  <c r="K20" i="7" s="1"/>
  <c r="K19" i="7"/>
</calcChain>
</file>

<file path=xl/sharedStrings.xml><?xml version="1.0" encoding="utf-8"?>
<sst xmlns="http://schemas.openxmlformats.org/spreadsheetml/2006/main" count="233" uniqueCount="103">
  <si>
    <t xml:space="preserve">Contractual payments of interest and instalments </t>
  </si>
  <si>
    <t>under the Norsad Capital Limited Loan Agreement</t>
  </si>
  <si>
    <t>Borrower:</t>
  </si>
  <si>
    <t>Bayport Management Ltd</t>
  </si>
  <si>
    <t>Telephone:</t>
  </si>
  <si>
    <t>Telefax:</t>
  </si>
  <si>
    <t>E-Mail:</t>
  </si>
  <si>
    <t>Loan currency:</t>
  </si>
  <si>
    <t>USD</t>
  </si>
  <si>
    <t>Approved facility:</t>
  </si>
  <si>
    <t>Disbursed amount:</t>
  </si>
  <si>
    <t>First Disbursement date(s):</t>
  </si>
  <si>
    <t>Interest per annum (Net of WHT):</t>
  </si>
  <si>
    <t>9% + 6mn SOFR</t>
  </si>
  <si>
    <t xml:space="preserve"> Withholding Tax on Interest:</t>
  </si>
  <si>
    <t>Payments per year:</t>
  </si>
  <si>
    <t>Term of facility, total years</t>
  </si>
  <si>
    <t>Grace period, years</t>
  </si>
  <si>
    <t xml:space="preserve"> Interest &amp; Instalments payable in:</t>
  </si>
  <si>
    <t>Date</t>
  </si>
  <si>
    <t>Event</t>
  </si>
  <si>
    <t>Instalment/Principal</t>
  </si>
  <si>
    <t>Interest</t>
  </si>
  <si>
    <t>Payment</t>
  </si>
  <si>
    <t>WHT</t>
  </si>
  <si>
    <t>Balance</t>
  </si>
  <si>
    <t>Disbursement  1</t>
  </si>
  <si>
    <t>Interest &amp; Instalment 1</t>
  </si>
  <si>
    <t>Interest &amp; Instalment 2</t>
  </si>
  <si>
    <t>Interest &amp; Instalment 3</t>
  </si>
  <si>
    <t>Interest &amp; Instalment 4</t>
  </si>
  <si>
    <t>Interest &amp; Instalment 5</t>
  </si>
  <si>
    <t>Interest &amp; Instalment 6</t>
  </si>
  <si>
    <t>APU</t>
  </si>
  <si>
    <t>6 month SOFR rates</t>
  </si>
  <si>
    <t>Margin</t>
  </si>
  <si>
    <t>Total interest rate</t>
  </si>
  <si>
    <t>Grossed up rate (with WHT) 0%</t>
  </si>
  <si>
    <t>360 days convention</t>
  </si>
  <si>
    <t>Bayport Management</t>
  </si>
  <si>
    <t>Impairment Provisions - Expected Loss Calculation</t>
  </si>
  <si>
    <t>As At 31 March 2024</t>
  </si>
  <si>
    <t>Min LGWO</t>
  </si>
  <si>
    <t>Population</t>
  </si>
  <si>
    <t>Default</t>
  </si>
  <si>
    <t>Exposure at Default (EAD)</t>
  </si>
  <si>
    <t>Collateral value &amp; recoveries</t>
  </si>
  <si>
    <t>Loss Given Write-Off</t>
  </si>
  <si>
    <t>Probability of Write-Off</t>
  </si>
  <si>
    <t>Loss Given Partial Write-Off</t>
  </si>
  <si>
    <t>Probability of Partial Write-Off</t>
  </si>
  <si>
    <t>Loss</t>
  </si>
  <si>
    <t>Present Value of loss at IRR</t>
  </si>
  <si>
    <t>Inputs:</t>
  </si>
  <si>
    <t>Risk Grade</t>
  </si>
  <si>
    <t>D2</t>
  </si>
  <si>
    <t>Expected Losses:</t>
  </si>
  <si>
    <t>Probability of Default rate p.a.</t>
  </si>
  <si>
    <t>Stage 1 impairment</t>
  </si>
  <si>
    <t>Default rate quarterly</t>
  </si>
  <si>
    <t>Stage 2 impairment</t>
  </si>
  <si>
    <t>Effective Interest Rate (EIR)</t>
  </si>
  <si>
    <t>Workings:</t>
  </si>
  <si>
    <t>1. EIR / IRR</t>
  </si>
  <si>
    <t>2. COLLATERAL</t>
  </si>
  <si>
    <t>Year</t>
  </si>
  <si>
    <t>Cashflows</t>
  </si>
  <si>
    <t>Gross Value</t>
  </si>
  <si>
    <t>Haircuts</t>
  </si>
  <si>
    <t>Legal &amp; Others</t>
  </si>
  <si>
    <t>Net Recoverable</t>
  </si>
  <si>
    <t>Security Type</t>
  </si>
  <si>
    <t>Cash</t>
  </si>
  <si>
    <t>Guarantees - Corp.</t>
  </si>
  <si>
    <t>Guarantees - Pers.</t>
  </si>
  <si>
    <t>IRR</t>
  </si>
  <si>
    <t>Insurance</t>
  </si>
  <si>
    <t>Land &amp; Buildings</t>
  </si>
  <si>
    <t>Notarial Bonds</t>
  </si>
  <si>
    <t>Floating Chg/Deb.</t>
  </si>
  <si>
    <t>Historic Legal Fees</t>
  </si>
  <si>
    <t>Loan Outstanding (av)</t>
  </si>
  <si>
    <t>PWO</t>
  </si>
  <si>
    <t>PPWO</t>
  </si>
  <si>
    <t>LGPWO</t>
  </si>
  <si>
    <t xml:space="preserve">Principal </t>
  </si>
  <si>
    <t>As At 30 June 2024</t>
  </si>
  <si>
    <t>under the Norsad Finance Limited Loan Agreement</t>
  </si>
  <si>
    <t>Bayport</t>
  </si>
  <si>
    <t>2634 772705-7</t>
  </si>
  <si>
    <t>2634 704460</t>
  </si>
  <si>
    <t>Trynos.Kufazvinei@fbc.co.zw</t>
  </si>
  <si>
    <t>Approved &amp; disbursed facility:</t>
  </si>
  <si>
    <t>Disbursement date(s):</t>
  </si>
  <si>
    <t>Interest per annum:</t>
  </si>
  <si>
    <t>8.0% + 3m Libor</t>
  </si>
  <si>
    <t>Interest Payments per year:</t>
  </si>
  <si>
    <t>Instalment</t>
  </si>
  <si>
    <t xml:space="preserve">Disbursement </t>
  </si>
  <si>
    <t xml:space="preserve">Interest </t>
  </si>
  <si>
    <t>3mn Libor</t>
  </si>
  <si>
    <t>Total</t>
  </si>
  <si>
    <t>Management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</si>
</sst>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#,##0;[Red]\(#,##0\)"/>
    <numFmt numFmtId="166" formatCode="#,##0.0;[Red]\(#,##0.0\)"/>
    <numFmt numFmtId="167" formatCode="#,##0.00;[Red]\(#,##0.00\)"/>
    <numFmt numFmtId="168" formatCode="#,##0.000;[Red]\(#,##0.000\)"/>
    <numFmt numFmtId="169" formatCode="0.0%"/>
    <numFmt numFmtId="170" formatCode="_-* #,##0_-;\-* #,##0_-;_-* &quot;-&quot;??_-;_-@_-"/>
    <numFmt numFmtId="171" formatCode="0.0000%"/>
    <numFmt numFmtId="172" formatCode="#,##0.00000;[Red]\(#,##0.00000\)"/>
    <numFmt numFmtId="173" formatCode="_(* #,##0.0000_);_(* \(#,##0.0000\);_(* &quot;-&quot;??_);_(@_)"/>
    <numFmt numFmtId="174" formatCode="0.0"/>
    <numFmt numFmtId="175" formatCode="0.00000%"/>
    <numFmt numFmtId="176" formatCode="0.000%"/>
  </numFmts>
  <fonts count="18">
    <font>
      <sz val="10"/>
      <name val="Arial"/>
    </font>
    <font>
      <sz val="10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8.5"/>
      <name val="Times New Roman"/>
      <family val="1"/>
    </font>
    <font>
      <u/>
      <sz val="8.4"/>
      <color indexed="12"/>
      <name val="Arial"/>
      <family val="2"/>
    </font>
    <font>
      <b/>
      <sz val="10"/>
      <name val="Times New Roman"/>
      <family val="1"/>
    </font>
    <font>
      <b/>
      <i/>
      <u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sz val="12"/>
      <color rgb="FFFF0000"/>
      <name val="Times New Roman"/>
      <family val="1"/>
    </font>
    <font>
      <b/>
      <sz val="16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9"/>
        <bgColor indexed="42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19">
    <xf numFmtId="0" fontId="0" fillId="0" borderId="0" xfId="0"/>
    <xf numFmtId="165" fontId="3" fillId="0" borderId="0" xfId="0" applyNumberFormat="1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1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/>
    <xf numFmtId="165" fontId="6" fillId="0" borderId="1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"/>
    </xf>
    <xf numFmtId="14" fontId="3" fillId="0" borderId="0" xfId="0" applyNumberFormat="1" applyFont="1"/>
    <xf numFmtId="14" fontId="3" fillId="0" borderId="7" xfId="0" applyNumberFormat="1" applyFont="1" applyBorder="1" applyAlignment="1" applyProtection="1">
      <alignment horizontal="center"/>
      <protection hidden="1"/>
    </xf>
    <xf numFmtId="165" fontId="3" fillId="0" borderId="8" xfId="0" applyNumberFormat="1" applyFont="1" applyBorder="1" applyProtection="1">
      <protection hidden="1"/>
    </xf>
    <xf numFmtId="165" fontId="3" fillId="0" borderId="9" xfId="0" applyNumberFormat="1" applyFont="1" applyBorder="1" applyProtection="1">
      <protection hidden="1"/>
    </xf>
    <xf numFmtId="165" fontId="3" fillId="0" borderId="10" xfId="0" applyNumberFormat="1" applyFont="1" applyBorder="1" applyProtection="1">
      <protection hidden="1"/>
    </xf>
    <xf numFmtId="165" fontId="3" fillId="0" borderId="8" xfId="0" applyNumberFormat="1" applyFont="1" applyBorder="1"/>
    <xf numFmtId="165" fontId="3" fillId="0" borderId="11" xfId="0" applyNumberFormat="1" applyFont="1" applyBorder="1" applyProtection="1">
      <protection hidden="1"/>
    </xf>
    <xf numFmtId="165" fontId="3" fillId="0" borderId="12" xfId="0" applyNumberFormat="1" applyFont="1" applyBorder="1" applyProtection="1">
      <protection hidden="1"/>
    </xf>
    <xf numFmtId="165" fontId="3" fillId="0" borderId="13" xfId="0" applyNumberFormat="1" applyFont="1" applyBorder="1" applyProtection="1">
      <protection hidden="1"/>
    </xf>
    <xf numFmtId="164" fontId="3" fillId="0" borderId="0" xfId="1" applyFont="1" applyAlignment="1"/>
    <xf numFmtId="165" fontId="2" fillId="2" borderId="14" xfId="0" applyNumberFormat="1" applyFont="1" applyFill="1" applyBorder="1" applyAlignment="1">
      <alignment horizontal="centerContinuous"/>
    </xf>
    <xf numFmtId="164" fontId="4" fillId="2" borderId="15" xfId="1" applyFont="1" applyFill="1" applyBorder="1" applyAlignment="1">
      <alignment horizontal="centerContinuous"/>
    </xf>
    <xf numFmtId="165" fontId="4" fillId="2" borderId="15" xfId="0" applyNumberFormat="1" applyFont="1" applyFill="1" applyBorder="1" applyAlignment="1">
      <alignment horizontal="centerContinuous"/>
    </xf>
    <xf numFmtId="165" fontId="4" fillId="2" borderId="16" xfId="0" applyNumberFormat="1" applyFont="1" applyFill="1" applyBorder="1" applyAlignment="1">
      <alignment horizontal="centerContinuous"/>
    </xf>
    <xf numFmtId="0" fontId="2" fillId="2" borderId="17" xfId="0" applyFont="1" applyFill="1" applyBorder="1" applyAlignment="1">
      <alignment horizontal="centerContinuous"/>
    </xf>
    <xf numFmtId="164" fontId="4" fillId="2" borderId="18" xfId="1" applyFont="1" applyFill="1" applyBorder="1" applyAlignment="1">
      <alignment horizontal="centerContinuous"/>
    </xf>
    <xf numFmtId="165" fontId="4" fillId="2" borderId="18" xfId="0" applyNumberFormat="1" applyFont="1" applyFill="1" applyBorder="1" applyAlignment="1">
      <alignment horizontal="centerContinuous"/>
    </xf>
    <xf numFmtId="165" fontId="4" fillId="2" borderId="19" xfId="0" applyNumberFormat="1" applyFont="1" applyFill="1" applyBorder="1" applyAlignment="1">
      <alignment horizontal="centerContinuous"/>
    </xf>
    <xf numFmtId="0" fontId="3" fillId="2" borderId="14" xfId="0" applyFont="1" applyFill="1" applyBorder="1" applyAlignment="1">
      <alignment horizontal="left"/>
    </xf>
    <xf numFmtId="164" fontId="3" fillId="2" borderId="15" xfId="1" applyFont="1" applyFill="1" applyBorder="1" applyAlignment="1"/>
    <xf numFmtId="0" fontId="3" fillId="2" borderId="15" xfId="0" applyFont="1" applyFill="1" applyBorder="1"/>
    <xf numFmtId="0" fontId="3" fillId="2" borderId="16" xfId="0" applyFont="1" applyFill="1" applyBorder="1"/>
    <xf numFmtId="164" fontId="3" fillId="2" borderId="0" xfId="1" applyFont="1" applyFill="1" applyBorder="1" applyAlignment="1"/>
    <xf numFmtId="49" fontId="3" fillId="2" borderId="0" xfId="0" applyNumberFormat="1" applyFont="1" applyFill="1"/>
    <xf numFmtId="0" fontId="3" fillId="2" borderId="20" xfId="0" applyFont="1" applyFill="1" applyBorder="1"/>
    <xf numFmtId="0" fontId="3" fillId="2" borderId="17" xfId="0" applyFont="1" applyFill="1" applyBorder="1" applyAlignment="1">
      <alignment horizontal="left"/>
    </xf>
    <xf numFmtId="164" fontId="3" fillId="2" borderId="18" xfId="1" applyFont="1" applyFill="1" applyBorder="1" applyAlignment="1"/>
    <xf numFmtId="0" fontId="3" fillId="2" borderId="18" xfId="0" applyFont="1" applyFill="1" applyBorder="1"/>
    <xf numFmtId="0" fontId="3" fillId="2" borderId="19" xfId="0" applyFont="1" applyFill="1" applyBorder="1"/>
    <xf numFmtId="164" fontId="3" fillId="0" borderId="1" xfId="1" applyFont="1" applyBorder="1" applyAlignment="1"/>
    <xf numFmtId="164" fontId="3" fillId="0" borderId="0" xfId="1" applyFont="1" applyFill="1" applyBorder="1" applyAlignment="1"/>
    <xf numFmtId="165" fontId="3" fillId="0" borderId="0" xfId="0" applyNumberFormat="1" applyFont="1" applyAlignment="1">
      <alignment horizontal="center"/>
    </xf>
    <xf numFmtId="164" fontId="3" fillId="0" borderId="0" xfId="1" applyFont="1" applyBorder="1" applyAlignment="1"/>
    <xf numFmtId="14" fontId="3" fillId="0" borderId="0" xfId="0" applyNumberFormat="1" applyFont="1" applyAlignment="1" applyProtection="1">
      <alignment horizontal="center"/>
      <protection hidden="1"/>
    </xf>
    <xf numFmtId="164" fontId="3" fillId="0" borderId="0" xfId="1" applyFont="1" applyAlignment="1" applyProtection="1">
      <protection hidden="1"/>
    </xf>
    <xf numFmtId="165" fontId="3" fillId="0" borderId="0" xfId="0" applyNumberFormat="1" applyFont="1" applyProtection="1">
      <protection hidden="1"/>
    </xf>
    <xf numFmtId="14" fontId="3" fillId="2" borderId="0" xfId="0" applyNumberFormat="1" applyFont="1" applyFill="1" applyAlignment="1" applyProtection="1">
      <alignment horizontal="center"/>
      <protection hidden="1"/>
    </xf>
    <xf numFmtId="164" fontId="3" fillId="2" borderId="0" xfId="1" applyFont="1" applyFill="1" applyAlignment="1" applyProtection="1">
      <protection hidden="1"/>
    </xf>
    <xf numFmtId="165" fontId="3" fillId="2" borderId="24" xfId="0" applyNumberFormat="1" applyFont="1" applyFill="1" applyBorder="1" applyAlignment="1" applyProtection="1">
      <alignment horizontal="centerContinuous"/>
      <protection hidden="1"/>
    </xf>
    <xf numFmtId="165" fontId="3" fillId="2" borderId="25" xfId="0" applyNumberFormat="1" applyFont="1" applyFill="1" applyBorder="1" applyAlignment="1" applyProtection="1">
      <alignment horizontal="centerContinuous"/>
      <protection hidden="1"/>
    </xf>
    <xf numFmtId="165" fontId="3" fillId="2" borderId="26" xfId="0" applyNumberFormat="1" applyFont="1" applyFill="1" applyBorder="1" applyAlignment="1" applyProtection="1">
      <alignment horizontal="centerContinuous"/>
      <protection hidden="1"/>
    </xf>
    <xf numFmtId="14" fontId="3" fillId="2" borderId="27" xfId="0" applyNumberFormat="1" applyFont="1" applyFill="1" applyBorder="1" applyAlignment="1" applyProtection="1">
      <alignment horizontal="center"/>
      <protection hidden="1"/>
    </xf>
    <xf numFmtId="164" fontId="3" fillId="2" borderId="28" xfId="1" applyFont="1" applyFill="1" applyBorder="1" applyAlignment="1" applyProtection="1">
      <protection hidden="1"/>
    </xf>
    <xf numFmtId="165" fontId="3" fillId="2" borderId="29" xfId="0" applyNumberFormat="1" applyFont="1" applyFill="1" applyBorder="1" applyAlignment="1" applyProtection="1">
      <alignment horizontal="center"/>
      <protection hidden="1"/>
    </xf>
    <xf numFmtId="165" fontId="3" fillId="2" borderId="30" xfId="0" applyNumberFormat="1" applyFont="1" applyFill="1" applyBorder="1" applyAlignment="1" applyProtection="1">
      <alignment horizontal="center"/>
      <protection hidden="1"/>
    </xf>
    <xf numFmtId="165" fontId="3" fillId="2" borderId="31" xfId="0" applyNumberFormat="1" applyFont="1" applyFill="1" applyBorder="1" applyAlignment="1" applyProtection="1">
      <alignment horizontal="center"/>
      <protection hidden="1"/>
    </xf>
    <xf numFmtId="164" fontId="3" fillId="0" borderId="8" xfId="1" applyFont="1" applyBorder="1" applyAlignment="1" applyProtection="1">
      <protection hidden="1"/>
    </xf>
    <xf numFmtId="14" fontId="3" fillId="0" borderId="32" xfId="0" applyNumberFormat="1" applyFont="1" applyBorder="1" applyAlignment="1" applyProtection="1">
      <alignment horizontal="center"/>
      <protection hidden="1"/>
    </xf>
    <xf numFmtId="164" fontId="3" fillId="0" borderId="11" xfId="1" applyFont="1" applyBorder="1" applyAlignment="1" applyProtection="1">
      <protection hidden="1"/>
    </xf>
    <xf numFmtId="164" fontId="3" fillId="0" borderId="0" xfId="1" applyFont="1" applyBorder="1" applyAlignment="1" applyProtection="1">
      <protection hidden="1"/>
    </xf>
    <xf numFmtId="165" fontId="3" fillId="0" borderId="0" xfId="0" applyNumberFormat="1" applyFont="1" applyAlignment="1" applyProtection="1">
      <alignment horizontal="center"/>
      <protection hidden="1"/>
    </xf>
    <xf numFmtId="164" fontId="3" fillId="0" borderId="0" xfId="1" applyFont="1" applyBorder="1" applyAlignment="1" applyProtection="1">
      <alignment horizontal="center"/>
      <protection hidden="1"/>
    </xf>
    <xf numFmtId="165" fontId="3" fillId="0" borderId="0" xfId="0" applyNumberFormat="1" applyFont="1" applyAlignment="1">
      <alignment horizontal="right"/>
    </xf>
    <xf numFmtId="0" fontId="9" fillId="0" borderId="0" xfId="0" applyFont="1"/>
    <xf numFmtId="14" fontId="3" fillId="0" borderId="33" xfId="0" applyNumberFormat="1" applyFont="1" applyBorder="1" applyAlignment="1">
      <alignment horizontal="center"/>
    </xf>
    <xf numFmtId="164" fontId="3" fillId="0" borderId="33" xfId="1" applyFont="1" applyBorder="1" applyAlignment="1"/>
    <xf numFmtId="165" fontId="3" fillId="0" borderId="33" xfId="0" applyNumberFormat="1" applyFont="1" applyBorder="1"/>
    <xf numFmtId="164" fontId="3" fillId="3" borderId="21" xfId="1" applyFont="1" applyFill="1" applyBorder="1" applyAlignment="1"/>
    <xf numFmtId="165" fontId="3" fillId="3" borderId="2" xfId="0" applyNumberFormat="1" applyFont="1" applyFill="1" applyBorder="1" applyAlignment="1">
      <alignment horizontal="center"/>
    </xf>
    <xf numFmtId="165" fontId="3" fillId="3" borderId="3" xfId="0" applyNumberFormat="1" applyFont="1" applyFill="1" applyBorder="1"/>
    <xf numFmtId="164" fontId="3" fillId="3" borderId="22" xfId="1" applyFont="1" applyFill="1" applyBorder="1" applyAlignment="1"/>
    <xf numFmtId="165" fontId="3" fillId="3" borderId="0" xfId="0" applyNumberFormat="1" applyFont="1" applyFill="1" applyAlignment="1">
      <alignment horizontal="center"/>
    </xf>
    <xf numFmtId="165" fontId="3" fillId="3" borderId="4" xfId="0" applyNumberFormat="1" applyFont="1" applyFill="1" applyBorder="1"/>
    <xf numFmtId="10" fontId="3" fillId="3" borderId="0" xfId="3" applyNumberFormat="1" applyFont="1" applyFill="1" applyBorder="1" applyAlignment="1">
      <alignment horizontal="center"/>
    </xf>
    <xf numFmtId="166" fontId="3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165" fontId="3" fillId="3" borderId="6" xfId="0" applyNumberFormat="1" applyFont="1" applyFill="1" applyBorder="1"/>
    <xf numFmtId="165" fontId="3" fillId="3" borderId="23" xfId="0" quotePrefix="1" applyNumberFormat="1" applyFont="1" applyFill="1" applyBorder="1"/>
    <xf numFmtId="165" fontId="3" fillId="0" borderId="7" xfId="0" applyNumberFormat="1" applyFont="1" applyBorder="1" applyProtection="1">
      <protection hidden="1"/>
    </xf>
    <xf numFmtId="0" fontId="11" fillId="2" borderId="10" xfId="0" applyFont="1" applyFill="1" applyBorder="1" applyAlignment="1">
      <alignment horizontal="left"/>
    </xf>
    <xf numFmtId="15" fontId="3" fillId="3" borderId="0" xfId="0" applyNumberFormat="1" applyFont="1" applyFill="1" applyAlignment="1">
      <alignment horizontal="center"/>
    </xf>
    <xf numFmtId="165" fontId="8" fillId="0" borderId="0" xfId="0" applyNumberFormat="1" applyFont="1" applyAlignment="1">
      <alignment horizontal="center"/>
    </xf>
    <xf numFmtId="167" fontId="3" fillId="0" borderId="0" xfId="0" applyNumberFormat="1" applyFont="1"/>
    <xf numFmtId="168" fontId="3" fillId="0" borderId="0" xfId="0" applyNumberFormat="1" applyFont="1"/>
    <xf numFmtId="0" fontId="7" fillId="0" borderId="0" xfId="2" applyAlignment="1" applyProtection="1"/>
    <xf numFmtId="0" fontId="10" fillId="0" borderId="10" xfId="0" quotePrefix="1" applyFont="1" applyBorder="1"/>
    <xf numFmtId="164" fontId="3" fillId="0" borderId="0" xfId="1" quotePrefix="1" applyFont="1" applyAlignment="1"/>
    <xf numFmtId="0" fontId="8" fillId="0" borderId="0" xfId="0" applyFont="1" applyAlignment="1">
      <alignment horizontal="center"/>
    </xf>
    <xf numFmtId="0" fontId="12" fillId="0" borderId="0" xfId="0" applyFont="1"/>
    <xf numFmtId="0" fontId="1" fillId="0" borderId="0" xfId="0" applyFont="1"/>
    <xf numFmtId="164" fontId="1" fillId="0" borderId="0" xfId="1" applyFont="1" applyBorder="1" applyAlignment="1"/>
    <xf numFmtId="0" fontId="13" fillId="0" borderId="0" xfId="0" applyFont="1" applyAlignment="1">
      <alignment vertical="center"/>
    </xf>
    <xf numFmtId="164" fontId="13" fillId="0" borderId="0" xfId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69" fontId="1" fillId="0" borderId="0" xfId="0" applyNumberFormat="1" applyFont="1"/>
    <xf numFmtId="170" fontId="1" fillId="0" borderId="0" xfId="1" applyNumberFormat="1" applyFont="1" applyAlignment="1"/>
    <xf numFmtId="0" fontId="1" fillId="4" borderId="0" xfId="0" applyFont="1" applyFill="1" applyAlignment="1">
      <alignment horizontal="center"/>
    </xf>
    <xf numFmtId="169" fontId="1" fillId="4" borderId="0" xfId="3" applyNumberFormat="1" applyFont="1" applyFill="1" applyBorder="1" applyAlignment="1"/>
    <xf numFmtId="10" fontId="1" fillId="4" borderId="0" xfId="3" applyNumberFormat="1" applyFont="1" applyFill="1" applyBorder="1" applyAlignment="1"/>
    <xf numFmtId="170" fontId="1" fillId="4" borderId="0" xfId="1" applyNumberFormat="1" applyFont="1" applyFill="1" applyAlignment="1"/>
    <xf numFmtId="9" fontId="1" fillId="4" borderId="0" xfId="3" applyFont="1" applyFill="1" applyAlignment="1"/>
    <xf numFmtId="0" fontId="1" fillId="0" borderId="0" xfId="0" applyFont="1" applyAlignment="1">
      <alignment horizontal="center"/>
    </xf>
    <xf numFmtId="169" fontId="1" fillId="0" borderId="0" xfId="3" applyNumberFormat="1" applyFont="1" applyFill="1" applyBorder="1" applyAlignment="1"/>
    <xf numFmtId="10" fontId="1" fillId="0" borderId="0" xfId="3" applyNumberFormat="1" applyFont="1" applyFill="1" applyBorder="1" applyAlignment="1"/>
    <xf numFmtId="170" fontId="1" fillId="0" borderId="0" xfId="1" applyNumberFormat="1" applyFont="1" applyFill="1" applyAlignment="1"/>
    <xf numFmtId="9" fontId="1" fillId="0" borderId="0" xfId="3" applyFont="1" applyFill="1" applyAlignment="1"/>
    <xf numFmtId="170" fontId="13" fillId="0" borderId="34" xfId="1" applyNumberFormat="1" applyFont="1" applyFill="1" applyBorder="1" applyAlignment="1"/>
    <xf numFmtId="170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0" fontId="1" fillId="0" borderId="0" xfId="3" applyNumberFormat="1" applyFont="1" applyAlignment="1"/>
    <xf numFmtId="0" fontId="13" fillId="0" borderId="0" xfId="0" applyFont="1"/>
    <xf numFmtId="0" fontId="13" fillId="0" borderId="0" xfId="0" applyFont="1" applyAlignment="1">
      <alignment horizontal="center"/>
    </xf>
    <xf numFmtId="164" fontId="0" fillId="0" borderId="0" xfId="1" applyFont="1"/>
    <xf numFmtId="170" fontId="1" fillId="0" borderId="0" xfId="1" applyNumberFormat="1" applyFont="1"/>
    <xf numFmtId="164" fontId="0" fillId="0" borderId="0" xfId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10" fontId="1" fillId="4" borderId="0" xfId="0" applyNumberFormat="1" applyFont="1" applyFill="1"/>
    <xf numFmtId="10" fontId="13" fillId="0" borderId="0" xfId="0" applyNumberFormat="1" applyFont="1"/>
    <xf numFmtId="9" fontId="1" fillId="0" borderId="0" xfId="0" applyNumberFormat="1" applyFont="1"/>
    <xf numFmtId="41" fontId="1" fillId="0" borderId="0" xfId="1" applyNumberFormat="1" applyFont="1"/>
    <xf numFmtId="170" fontId="1" fillId="0" borderId="34" xfId="1" applyNumberFormat="1" applyFont="1" applyBorder="1"/>
    <xf numFmtId="41" fontId="1" fillId="0" borderId="34" xfId="1" applyNumberFormat="1" applyFont="1" applyBorder="1"/>
    <xf numFmtId="169" fontId="1" fillId="4" borderId="0" xfId="0" applyNumberFormat="1" applyFont="1" applyFill="1"/>
    <xf numFmtId="9" fontId="1" fillId="0" borderId="0" xfId="0" applyNumberFormat="1" applyFont="1" applyAlignment="1">
      <alignment horizontal="center"/>
    </xf>
    <xf numFmtId="171" fontId="8" fillId="0" borderId="0" xfId="3" applyNumberFormat="1" applyFont="1" applyAlignment="1"/>
    <xf numFmtId="172" fontId="3" fillId="0" borderId="0" xfId="0" applyNumberFormat="1" applyFont="1"/>
    <xf numFmtId="165" fontId="3" fillId="0" borderId="20" xfId="0" applyNumberFormat="1" applyFont="1" applyBorder="1" applyProtection="1">
      <protection hidden="1"/>
    </xf>
    <xf numFmtId="164" fontId="3" fillId="0" borderId="0" xfId="1" applyFont="1"/>
    <xf numFmtId="173" fontId="14" fillId="0" borderId="35" xfId="4" applyNumberFormat="1" applyFont="1" applyBorder="1"/>
    <xf numFmtId="0" fontId="13" fillId="0" borderId="0" xfId="0" applyFont="1" applyAlignment="1">
      <alignment horizontal="center" wrapText="1"/>
    </xf>
    <xf numFmtId="10" fontId="1" fillId="4" borderId="0" xfId="3" applyNumberFormat="1" applyFont="1" applyFill="1"/>
    <xf numFmtId="10" fontId="0" fillId="4" borderId="0" xfId="0" applyNumberFormat="1" applyFill="1"/>
    <xf numFmtId="170" fontId="13" fillId="4" borderId="34" xfId="1" applyNumberFormat="1" applyFont="1" applyFill="1" applyBorder="1" applyAlignment="1"/>
    <xf numFmtId="14" fontId="8" fillId="0" borderId="36" xfId="0" applyNumberFormat="1" applyFont="1" applyBorder="1" applyAlignment="1" applyProtection="1">
      <alignment horizontal="center"/>
      <protection hidden="1"/>
    </xf>
    <xf numFmtId="164" fontId="8" fillId="0" borderId="37" xfId="1" applyFont="1" applyBorder="1" applyAlignment="1" applyProtection="1">
      <protection hidden="1"/>
    </xf>
    <xf numFmtId="165" fontId="8" fillId="0" borderId="36" xfId="0" applyNumberFormat="1" applyFont="1" applyBorder="1" applyProtection="1">
      <protection hidden="1"/>
    </xf>
    <xf numFmtId="165" fontId="8" fillId="0" borderId="38" xfId="0" applyNumberFormat="1" applyFont="1" applyBorder="1" applyProtection="1">
      <protection hidden="1"/>
    </xf>
    <xf numFmtId="165" fontId="8" fillId="0" borderId="39" xfId="0" applyNumberFormat="1" applyFont="1" applyBorder="1" applyProtection="1">
      <protection hidden="1"/>
    </xf>
    <xf numFmtId="165" fontId="8" fillId="5" borderId="37" xfId="0" applyNumberFormat="1" applyFont="1" applyFill="1" applyBorder="1"/>
    <xf numFmtId="0" fontId="8" fillId="2" borderId="10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7" fillId="2" borderId="0" xfId="2" applyFill="1" applyBorder="1" applyAlignment="1" applyProtection="1"/>
    <xf numFmtId="0" fontId="3" fillId="0" borderId="0" xfId="0" applyFont="1" applyAlignment="1">
      <alignment horizontal="left"/>
    </xf>
    <xf numFmtId="0" fontId="8" fillId="0" borderId="0" xfId="0" applyFont="1"/>
    <xf numFmtId="9" fontId="3" fillId="0" borderId="0" xfId="0" applyNumberFormat="1" applyFont="1"/>
    <xf numFmtId="170" fontId="3" fillId="0" borderId="0" xfId="1" applyNumberFormat="1" applyFont="1" applyBorder="1"/>
    <xf numFmtId="165" fontId="3" fillId="3" borderId="22" xfId="0" quotePrefix="1" applyNumberFormat="1" applyFont="1" applyFill="1" applyBorder="1"/>
    <xf numFmtId="9" fontId="3" fillId="3" borderId="0" xfId="3" applyFont="1" applyFill="1" applyBorder="1" applyAlignment="1">
      <alignment horizontal="center"/>
    </xf>
    <xf numFmtId="165" fontId="15" fillId="0" borderId="0" xfId="0" applyNumberFormat="1" applyFont="1"/>
    <xf numFmtId="174" fontId="3" fillId="3" borderId="0" xfId="0" applyNumberFormat="1" applyFont="1" applyFill="1" applyAlignment="1">
      <alignment horizontal="center"/>
    </xf>
    <xf numFmtId="165" fontId="16" fillId="0" borderId="9" xfId="0" applyNumberFormat="1" applyFont="1" applyBorder="1" applyProtection="1">
      <protection hidden="1"/>
    </xf>
    <xf numFmtId="165" fontId="16" fillId="0" borderId="10" xfId="0" applyNumberFormat="1" applyFont="1" applyBorder="1" applyProtection="1">
      <protection hidden="1"/>
    </xf>
    <xf numFmtId="167" fontId="3" fillId="0" borderId="8" xfId="0" applyNumberFormat="1" applyFont="1" applyBorder="1"/>
    <xf numFmtId="14" fontId="8" fillId="0" borderId="43" xfId="0" applyNumberFormat="1" applyFont="1" applyBorder="1" applyAlignment="1" applyProtection="1">
      <alignment horizontal="center"/>
      <protection hidden="1"/>
    </xf>
    <xf numFmtId="164" fontId="8" fillId="0" borderId="44" xfId="1" applyFont="1" applyBorder="1" applyAlignment="1" applyProtection="1">
      <protection hidden="1"/>
    </xf>
    <xf numFmtId="165" fontId="8" fillId="0" borderId="45" xfId="0" applyNumberFormat="1" applyFont="1" applyBorder="1" applyProtection="1">
      <protection hidden="1"/>
    </xf>
    <xf numFmtId="165" fontId="17" fillId="0" borderId="45" xfId="0" applyNumberFormat="1" applyFont="1" applyBorder="1" applyProtection="1">
      <protection hidden="1"/>
    </xf>
    <xf numFmtId="165" fontId="17" fillId="0" borderId="17" xfId="0" applyNumberFormat="1" applyFont="1" applyBorder="1" applyProtection="1">
      <protection hidden="1"/>
    </xf>
    <xf numFmtId="164" fontId="8" fillId="0" borderId="0" xfId="1" applyFont="1" applyAlignment="1"/>
    <xf numFmtId="9" fontId="3" fillId="0" borderId="0" xfId="3" applyFont="1" applyAlignment="1"/>
    <xf numFmtId="164" fontId="3" fillId="0" borderId="0" xfId="0" applyNumberFormat="1" applyFont="1"/>
    <xf numFmtId="14" fontId="3" fillId="6" borderId="46" xfId="0" applyNumberFormat="1" applyFont="1" applyFill="1" applyBorder="1" applyAlignment="1">
      <alignment horizontal="center" vertical="center"/>
    </xf>
    <xf numFmtId="164" fontId="8" fillId="6" borderId="35" xfId="1" applyFont="1" applyFill="1" applyBorder="1" applyAlignment="1">
      <alignment horizontal="center" vertical="center"/>
    </xf>
    <xf numFmtId="165" fontId="8" fillId="6" borderId="35" xfId="0" applyNumberFormat="1" applyFont="1" applyFill="1" applyBorder="1" applyAlignment="1">
      <alignment horizontal="center" vertical="center"/>
    </xf>
    <xf numFmtId="165" fontId="8" fillId="6" borderId="35" xfId="0" applyNumberFormat="1" applyFont="1" applyFill="1" applyBorder="1" applyAlignment="1">
      <alignment horizontal="center" vertical="center" wrapText="1"/>
    </xf>
    <xf numFmtId="171" fontId="8" fillId="6" borderId="47" xfId="3" applyNumberFormat="1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75" fontId="3" fillId="0" borderId="48" xfId="3" applyNumberFormat="1" applyFont="1" applyFill="1" applyBorder="1" applyAlignment="1">
      <alignment vertical="center"/>
    </xf>
    <xf numFmtId="169" fontId="3" fillId="0" borderId="48" xfId="3" applyNumberFormat="1" applyFont="1" applyFill="1" applyBorder="1" applyAlignment="1">
      <alignment vertical="center"/>
    </xf>
    <xf numFmtId="176" fontId="3" fillId="0" borderId="48" xfId="3" applyNumberFormat="1" applyFont="1" applyFill="1" applyBorder="1" applyAlignment="1">
      <alignment vertical="center" wrapText="1"/>
    </xf>
    <xf numFmtId="14" fontId="3" fillId="0" borderId="10" xfId="0" applyNumberFormat="1" applyFont="1" applyBorder="1" applyAlignment="1" applyProtection="1">
      <alignment horizontal="center"/>
      <protection hidden="1"/>
    </xf>
    <xf numFmtId="171" fontId="3" fillId="0" borderId="9" xfId="3" applyNumberFormat="1" applyFont="1" applyBorder="1" applyAlignment="1"/>
    <xf numFmtId="169" fontId="3" fillId="0" borderId="9" xfId="3" applyNumberFormat="1" applyFont="1" applyFill="1" applyBorder="1" applyAlignment="1">
      <alignment vertical="center"/>
    </xf>
    <xf numFmtId="176" fontId="3" fillId="0" borderId="9" xfId="3" applyNumberFormat="1" applyFont="1" applyFill="1" applyBorder="1" applyAlignment="1">
      <alignment vertical="center" wrapText="1"/>
    </xf>
    <xf numFmtId="171" fontId="3" fillId="0" borderId="9" xfId="1" applyNumberFormat="1" applyFont="1" applyBorder="1" applyAlignment="1"/>
    <xf numFmtId="169" fontId="3" fillId="0" borderId="9" xfId="3" applyNumberFormat="1" applyFont="1" applyBorder="1"/>
    <xf numFmtId="176" fontId="3" fillId="0" borderId="9" xfId="3" applyNumberFormat="1" applyFont="1" applyBorder="1"/>
    <xf numFmtId="164" fontId="3" fillId="0" borderId="9" xfId="1" applyFont="1" applyBorder="1" applyAlignment="1"/>
    <xf numFmtId="14" fontId="3" fillId="0" borderId="17" xfId="0" applyNumberFormat="1" applyFont="1" applyBorder="1" applyAlignment="1" applyProtection="1">
      <alignment horizontal="center"/>
      <protection hidden="1"/>
    </xf>
    <xf numFmtId="164" fontId="3" fillId="0" borderId="45" xfId="1" applyFont="1" applyBorder="1" applyAlignment="1"/>
    <xf numFmtId="169" fontId="3" fillId="0" borderId="45" xfId="3" applyNumberFormat="1" applyFont="1" applyBorder="1"/>
    <xf numFmtId="176" fontId="3" fillId="0" borderId="45" xfId="3" applyNumberFormat="1" applyFont="1" applyBorder="1"/>
    <xf numFmtId="165" fontId="8" fillId="5" borderId="44" xfId="0" applyNumberFormat="1" applyFont="1" applyFill="1" applyBorder="1"/>
    <xf numFmtId="167" fontId="8" fillId="0" borderId="45" xfId="0" applyNumberFormat="1" applyFont="1" applyBorder="1" applyProtection="1">
      <protection hidden="1"/>
    </xf>
    <xf numFmtId="167" fontId="0" fillId="0" borderId="0" xfId="0" applyNumberFormat="1"/>
    <xf numFmtId="165" fontId="8" fillId="0" borderId="8" xfId="0" applyNumberFormat="1" applyFont="1" applyBorder="1"/>
    <xf numFmtId="164" fontId="8" fillId="6" borderId="49" xfId="1" applyFont="1" applyFill="1" applyBorder="1" applyAlignment="1">
      <alignment vertical="center"/>
    </xf>
    <xf numFmtId="165" fontId="8" fillId="6" borderId="49" xfId="0" applyNumberFormat="1" applyFont="1" applyFill="1" applyBorder="1" applyAlignment="1">
      <alignment vertical="center"/>
    </xf>
    <xf numFmtId="165" fontId="8" fillId="6" borderId="49" xfId="0" applyNumberFormat="1" applyFont="1" applyFill="1" applyBorder="1" applyAlignment="1">
      <alignment vertical="center" wrapText="1"/>
    </xf>
    <xf numFmtId="171" fontId="8" fillId="6" borderId="47" xfId="3" applyNumberFormat="1" applyFont="1" applyFill="1" applyBorder="1" applyAlignment="1">
      <alignment vertical="center" wrapText="1"/>
    </xf>
    <xf numFmtId="165" fontId="8" fillId="0" borderId="0" xfId="0" applyNumberFormat="1" applyFont="1" applyAlignment="1">
      <alignment vertical="center" wrapText="1"/>
    </xf>
    <xf numFmtId="175" fontId="3" fillId="0" borderId="0" xfId="3" applyNumberFormat="1" applyFont="1" applyBorder="1" applyAlignment="1"/>
    <xf numFmtId="169" fontId="3" fillId="0" borderId="0" xfId="3" applyNumberFormat="1" applyFont="1" applyFill="1" applyBorder="1" applyAlignment="1">
      <alignment vertical="center"/>
    </xf>
    <xf numFmtId="176" fontId="3" fillId="0" borderId="0" xfId="3" applyNumberFormat="1" applyFont="1" applyFill="1" applyBorder="1" applyAlignment="1">
      <alignment vertical="center" wrapText="1"/>
    </xf>
    <xf numFmtId="171" fontId="3" fillId="0" borderId="20" xfId="3" applyNumberFormat="1" applyFont="1" applyFill="1" applyBorder="1" applyAlignment="1">
      <alignment vertical="center" wrapText="1"/>
    </xf>
    <xf numFmtId="171" fontId="3" fillId="0" borderId="0" xfId="3" applyNumberFormat="1" applyFont="1" applyBorder="1" applyAlignment="1"/>
    <xf numFmtId="171" fontId="3" fillId="0" borderId="0" xfId="1" applyNumberFormat="1" applyFont="1" applyBorder="1" applyAlignment="1"/>
    <xf numFmtId="0" fontId="0" fillId="0" borderId="18" xfId="0" applyBorder="1"/>
    <xf numFmtId="169" fontId="3" fillId="0" borderId="18" xfId="3" applyNumberFormat="1" applyFont="1" applyFill="1" applyBorder="1" applyAlignment="1">
      <alignment vertical="center"/>
    </xf>
    <xf numFmtId="176" fontId="3" fillId="0" borderId="18" xfId="3" applyNumberFormat="1" applyFont="1" applyFill="1" applyBorder="1" applyAlignment="1">
      <alignment vertical="center" wrapText="1"/>
    </xf>
    <xf numFmtId="171" fontId="3" fillId="0" borderId="19" xfId="3" applyNumberFormat="1" applyFont="1" applyFill="1" applyBorder="1" applyAlignment="1">
      <alignment vertical="center" wrapText="1"/>
    </xf>
    <xf numFmtId="165" fontId="0" fillId="0" borderId="0" xfId="0" applyNumberFormat="1"/>
    <xf numFmtId="9" fontId="0" fillId="0" borderId="0" xfId="0" applyNumberFormat="1"/>
    <xf numFmtId="171" fontId="3" fillId="0" borderId="0" xfId="0" applyNumberFormat="1" applyFont="1"/>
    <xf numFmtId="0" fontId="3" fillId="0" borderId="0" xfId="0" applyFont="1" applyAlignment="1">
      <alignment horizontal="left"/>
    </xf>
    <xf numFmtId="165" fontId="3" fillId="2" borderId="40" xfId="0" applyNumberFormat="1" applyFont="1" applyFill="1" applyBorder="1" applyAlignment="1" applyProtection="1">
      <alignment horizontal="center"/>
      <protection hidden="1"/>
    </xf>
    <xf numFmtId="165" fontId="3" fillId="2" borderId="41" xfId="0" applyNumberFormat="1" applyFont="1" applyFill="1" applyBorder="1" applyAlignment="1" applyProtection="1">
      <alignment horizontal="center"/>
      <protection hidden="1"/>
    </xf>
    <xf numFmtId="165" fontId="3" fillId="2" borderId="42" xfId="0" applyNumberFormat="1" applyFont="1" applyFill="1" applyBorder="1" applyAlignment="1" applyProtection="1">
      <alignment horizontal="center"/>
      <protection hidden="1"/>
    </xf>
    <xf numFmtId="165" fontId="3" fillId="0" borderId="0" xfId="0" applyNumberFormat="1" applyFont="1" applyAlignment="1">
      <alignment horizontal="left"/>
    </xf>
    <xf numFmtId="170" fontId="0" fillId="0" borderId="0" xfId="0" applyNumberFormat="1"/>
  </cellXfs>
  <cellStyles count="5">
    <cellStyle name="Comma" xfId="1" builtinId="3"/>
    <cellStyle name="Comma 2" xfId="4" xr:uid="{D3019E47-F0DE-4631-9A31-9A82FC722E5F}"/>
    <cellStyle name="Hyperlink" xfId="2" builtinId="8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30</xdr:row>
      <xdr:rowOff>47625</xdr:rowOff>
    </xdr:from>
    <xdr:to>
      <xdr:col>4</xdr:col>
      <xdr:colOff>600075</xdr:colOff>
      <xdr:row>30</xdr:row>
      <xdr:rowOff>76200</xdr:rowOff>
    </xdr:to>
    <xdr:sp macro="" textlink="">
      <xdr:nvSpPr>
        <xdr:cNvPr id="3073" name="Text 2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 txBox="1">
          <a:spLocks noChangeArrowheads="1"/>
        </xdr:cNvSpPr>
      </xdr:nvSpPr>
      <xdr:spPr bwMode="auto">
        <a:xfrm flipH="1" flipV="1">
          <a:off x="5105400" y="4924425"/>
          <a:ext cx="28575" cy="285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GB" sz="1600" b="1" i="1" strike="noStrike">
              <a:solidFill>
                <a:srgbClr val="000000"/>
              </a:solidFill>
              <a:latin typeface="Times New Roman"/>
              <a:cs typeface="Times New Roman"/>
            </a:rPr>
            <a:t>Repayment Schedule</a:t>
          </a:r>
        </a:p>
        <a:p>
          <a:pPr algn="ctr" rtl="0">
            <a:defRPr sz="1000"/>
          </a:pPr>
          <a:endParaRPr lang="en-GB" sz="1600" b="1" i="1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581025</xdr:colOff>
      <xdr:row>16</xdr:row>
      <xdr:rowOff>57150</xdr:rowOff>
    </xdr:from>
    <xdr:to>
      <xdr:col>1</xdr:col>
      <xdr:colOff>9525</xdr:colOff>
      <xdr:row>16</xdr:row>
      <xdr:rowOff>123825</xdr:rowOff>
    </xdr:to>
    <xdr:sp macro="" textlink="">
      <xdr:nvSpPr>
        <xdr:cNvPr id="3074" name="Text 3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 txBox="1">
          <a:spLocks noChangeArrowheads="1"/>
        </xdr:cNvSpPr>
      </xdr:nvSpPr>
      <xdr:spPr bwMode="auto">
        <a:xfrm flipH="1" flipV="1">
          <a:off x="581025" y="2409825"/>
          <a:ext cx="152400" cy="66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GB" sz="1800" b="1" i="1" strike="noStrike">
              <a:solidFill>
                <a:srgbClr val="000000"/>
              </a:solidFill>
              <a:latin typeface="Times New Roman"/>
              <a:cs typeface="Times New Roman"/>
            </a:rPr>
            <a:t>Loan data</a:t>
          </a:r>
        </a:p>
      </xdr:txBody>
    </xdr:sp>
    <xdr:clientData/>
  </xdr:twoCellAnchor>
  <xdr:twoCellAnchor>
    <xdr:from>
      <xdr:col>4</xdr:col>
      <xdr:colOff>361950</xdr:colOff>
      <xdr:row>30</xdr:row>
      <xdr:rowOff>85725</xdr:rowOff>
    </xdr:from>
    <xdr:to>
      <xdr:col>4</xdr:col>
      <xdr:colOff>438150</xdr:colOff>
      <xdr:row>30</xdr:row>
      <xdr:rowOff>133350</xdr:rowOff>
    </xdr:to>
    <xdr:sp macro="" textlink="">
      <xdr:nvSpPr>
        <xdr:cNvPr id="3075" name="Text 2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 txBox="1">
          <a:spLocks noChangeArrowheads="1"/>
        </xdr:cNvSpPr>
      </xdr:nvSpPr>
      <xdr:spPr bwMode="auto">
        <a:xfrm flipV="1">
          <a:off x="4895850" y="4962525"/>
          <a:ext cx="76200" cy="476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GB" sz="1600" b="1" i="1" strike="noStrike">
              <a:solidFill>
                <a:srgbClr val="000000"/>
              </a:solidFill>
              <a:latin typeface="Times New Roman"/>
              <a:cs typeface="Times New Roman"/>
            </a:rPr>
            <a:t>Disbursement, interest &amp; repayment</a:t>
          </a:r>
        </a:p>
      </xdr:txBody>
    </xdr:sp>
    <xdr:clientData/>
  </xdr:twoCellAnchor>
  <xdr:twoCellAnchor>
    <xdr:from>
      <xdr:col>1</xdr:col>
      <xdr:colOff>9525</xdr:colOff>
      <xdr:row>31</xdr:row>
      <xdr:rowOff>9525</xdr:rowOff>
    </xdr:from>
    <xdr:to>
      <xdr:col>4</xdr:col>
      <xdr:colOff>438150</xdr:colOff>
      <xdr:row>33</xdr:row>
      <xdr:rowOff>85725</xdr:rowOff>
    </xdr:to>
    <xdr:sp macro="" textlink="">
      <xdr:nvSpPr>
        <xdr:cNvPr id="3077" name="Text 2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 txBox="1">
          <a:spLocks noChangeArrowheads="1"/>
        </xdr:cNvSpPr>
      </xdr:nvSpPr>
      <xdr:spPr bwMode="auto">
        <a:xfrm>
          <a:off x="733425" y="5048250"/>
          <a:ext cx="4238625" cy="2952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GB" sz="1600" b="1" i="1" strike="noStrike">
              <a:solidFill>
                <a:srgbClr val="000000"/>
              </a:solidFill>
              <a:latin typeface="Times New Roman"/>
              <a:cs typeface="Times New Roman"/>
            </a:rPr>
            <a:t>Disbursement, interest &amp; repayment</a:t>
          </a:r>
        </a:p>
      </xdr:txBody>
    </xdr:sp>
    <xdr:clientData/>
  </xdr:twoCellAnchor>
  <xdr:twoCellAnchor>
    <xdr:from>
      <xdr:col>1</xdr:col>
      <xdr:colOff>9525</xdr:colOff>
      <xdr:row>18</xdr:row>
      <xdr:rowOff>0</xdr:rowOff>
    </xdr:from>
    <xdr:to>
      <xdr:col>1</xdr:col>
      <xdr:colOff>1352550</xdr:colOff>
      <xdr:row>20</xdr:row>
      <xdr:rowOff>76200</xdr:rowOff>
    </xdr:to>
    <xdr:sp macro="" textlink="">
      <xdr:nvSpPr>
        <xdr:cNvPr id="3078" name="Text 3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 txBox="1">
          <a:spLocks noChangeArrowheads="1"/>
        </xdr:cNvSpPr>
      </xdr:nvSpPr>
      <xdr:spPr bwMode="auto">
        <a:xfrm>
          <a:off x="733425" y="2676525"/>
          <a:ext cx="1343025" cy="2952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GB" sz="1800" b="1" i="1" strike="noStrike">
              <a:solidFill>
                <a:srgbClr val="000000"/>
              </a:solidFill>
              <a:latin typeface="Times New Roman"/>
              <a:cs typeface="Times New Roman"/>
            </a:rPr>
            <a:t>Loan data</a:t>
          </a:r>
        </a:p>
      </xdr:txBody>
    </xdr:sp>
    <xdr:clientData/>
  </xdr:twoCellAnchor>
  <xdr:twoCellAnchor editAs="oneCell">
    <xdr:from>
      <xdr:col>1</xdr:col>
      <xdr:colOff>1295400</xdr:colOff>
      <xdr:row>0</xdr:row>
      <xdr:rowOff>9525</xdr:rowOff>
    </xdr:from>
    <xdr:to>
      <xdr:col>3</xdr:col>
      <xdr:colOff>346074</xdr:colOff>
      <xdr:row>5</xdr:row>
      <xdr:rowOff>57149</xdr:rowOff>
    </xdr:to>
    <xdr:pic>
      <xdr:nvPicPr>
        <xdr:cNvPr id="8" name="Picture 7" descr="C:\Users\Sari\AppData\Local\Microsoft\Windows\Temporary Internet Files\Content.Outlook\JN3DZGOE\Norsad logo (2)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9525"/>
          <a:ext cx="2066924" cy="752474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1790472</xdr:colOff>
      <xdr:row>0</xdr:row>
      <xdr:rowOff>47625</xdr:rowOff>
    </xdr:from>
    <xdr:ext cx="2030144" cy="792549"/>
    <xdr:pic>
      <xdr:nvPicPr>
        <xdr:cNvPr id="2" name="Picture 1">
          <a:extLst>
            <a:ext uri="{FF2B5EF4-FFF2-40B4-BE49-F238E27FC236}">
              <a16:creationId xmlns:a16="http://schemas.microsoft.com/office/drawing/2014/main" id="{D951AF80-9EF0-46EB-B6DA-553EE5049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272" y="47625"/>
          <a:ext cx="2030144" cy="79254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30</xdr:row>
      <xdr:rowOff>47625</xdr:rowOff>
    </xdr:from>
    <xdr:to>
      <xdr:col>4</xdr:col>
      <xdr:colOff>600075</xdr:colOff>
      <xdr:row>30</xdr:row>
      <xdr:rowOff>76200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1B793818-CDB5-4DF7-944E-30201D73176F}"/>
            </a:ext>
          </a:extLst>
        </xdr:cNvPr>
        <xdr:cNvSpPr txBox="1">
          <a:spLocks noChangeArrowheads="1"/>
        </xdr:cNvSpPr>
      </xdr:nvSpPr>
      <xdr:spPr bwMode="auto">
        <a:xfrm flipH="1" flipV="1">
          <a:off x="5314950" y="5035550"/>
          <a:ext cx="25400" cy="317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GB" sz="1600" b="1" i="1" strike="noStrike">
              <a:solidFill>
                <a:srgbClr val="000000"/>
              </a:solidFill>
              <a:latin typeface="Times New Roman"/>
              <a:cs typeface="Times New Roman"/>
            </a:rPr>
            <a:t>Repayment Schedule</a:t>
          </a:r>
        </a:p>
        <a:p>
          <a:pPr algn="ctr" rtl="0">
            <a:defRPr sz="1000"/>
          </a:pPr>
          <a:endParaRPr lang="en-GB" sz="1600" b="1" i="1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581025</xdr:colOff>
      <xdr:row>16</xdr:row>
      <xdr:rowOff>57150</xdr:rowOff>
    </xdr:from>
    <xdr:to>
      <xdr:col>1</xdr:col>
      <xdr:colOff>9525</xdr:colOff>
      <xdr:row>16</xdr:row>
      <xdr:rowOff>123825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id="{DBFD816B-8EF7-4B3E-BAC8-C50E118916BA}"/>
            </a:ext>
          </a:extLst>
        </xdr:cNvPr>
        <xdr:cNvSpPr txBox="1">
          <a:spLocks noChangeArrowheads="1"/>
        </xdr:cNvSpPr>
      </xdr:nvSpPr>
      <xdr:spPr bwMode="auto">
        <a:xfrm flipH="1" flipV="1">
          <a:off x="577850" y="2857500"/>
          <a:ext cx="180975" cy="635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GB" sz="1800" b="1" i="1" strike="noStrike">
              <a:solidFill>
                <a:srgbClr val="000000"/>
              </a:solidFill>
              <a:latin typeface="Times New Roman"/>
              <a:cs typeface="Times New Roman"/>
            </a:rPr>
            <a:t>Loan data</a:t>
          </a:r>
        </a:p>
      </xdr:txBody>
    </xdr:sp>
    <xdr:clientData/>
  </xdr:twoCellAnchor>
  <xdr:twoCellAnchor>
    <xdr:from>
      <xdr:col>4</xdr:col>
      <xdr:colOff>361950</xdr:colOff>
      <xdr:row>30</xdr:row>
      <xdr:rowOff>85725</xdr:rowOff>
    </xdr:from>
    <xdr:to>
      <xdr:col>4</xdr:col>
      <xdr:colOff>438150</xdr:colOff>
      <xdr:row>30</xdr:row>
      <xdr:rowOff>133350</xdr:rowOff>
    </xdr:to>
    <xdr:sp macro="" textlink="">
      <xdr:nvSpPr>
        <xdr:cNvPr id="4" name="Text 2">
          <a:extLst>
            <a:ext uri="{FF2B5EF4-FFF2-40B4-BE49-F238E27FC236}">
              <a16:creationId xmlns:a16="http://schemas.microsoft.com/office/drawing/2014/main" id="{1B07CF5B-842C-4D17-82BD-989EBA10ACA7}"/>
            </a:ext>
          </a:extLst>
        </xdr:cNvPr>
        <xdr:cNvSpPr txBox="1">
          <a:spLocks noChangeArrowheads="1"/>
        </xdr:cNvSpPr>
      </xdr:nvSpPr>
      <xdr:spPr bwMode="auto">
        <a:xfrm flipV="1">
          <a:off x="5105400" y="5073650"/>
          <a:ext cx="76200" cy="508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GB" sz="1600" b="1" i="1" strike="noStrike">
              <a:solidFill>
                <a:srgbClr val="000000"/>
              </a:solidFill>
              <a:latin typeface="Times New Roman"/>
              <a:cs typeface="Times New Roman"/>
            </a:rPr>
            <a:t>Disbursement, interest &amp; repayment</a:t>
          </a:r>
        </a:p>
      </xdr:txBody>
    </xdr:sp>
    <xdr:clientData/>
  </xdr:twoCellAnchor>
  <xdr:twoCellAnchor>
    <xdr:from>
      <xdr:col>1</xdr:col>
      <xdr:colOff>9525</xdr:colOff>
      <xdr:row>31</xdr:row>
      <xdr:rowOff>9525</xdr:rowOff>
    </xdr:from>
    <xdr:to>
      <xdr:col>4</xdr:col>
      <xdr:colOff>438150</xdr:colOff>
      <xdr:row>33</xdr:row>
      <xdr:rowOff>85725</xdr:rowOff>
    </xdr:to>
    <xdr:sp macro="" textlink="">
      <xdr:nvSpPr>
        <xdr:cNvPr id="5" name="Text 2">
          <a:extLst>
            <a:ext uri="{FF2B5EF4-FFF2-40B4-BE49-F238E27FC236}">
              <a16:creationId xmlns:a16="http://schemas.microsoft.com/office/drawing/2014/main" id="{C536CF38-653F-4D92-9CF2-BE6C852BA3D0}"/>
            </a:ext>
          </a:extLst>
        </xdr:cNvPr>
        <xdr:cNvSpPr txBox="1">
          <a:spLocks noChangeArrowheads="1"/>
        </xdr:cNvSpPr>
      </xdr:nvSpPr>
      <xdr:spPr bwMode="auto">
        <a:xfrm>
          <a:off x="758825" y="5159375"/>
          <a:ext cx="4422775" cy="2952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GB" sz="1600" b="1" i="1" strike="noStrike">
              <a:solidFill>
                <a:srgbClr val="000000"/>
              </a:solidFill>
              <a:latin typeface="Times New Roman"/>
              <a:cs typeface="Times New Roman"/>
            </a:rPr>
            <a:t>Disbursement, interest &amp; repayment</a:t>
          </a:r>
        </a:p>
      </xdr:txBody>
    </xdr:sp>
    <xdr:clientData/>
  </xdr:twoCellAnchor>
  <xdr:twoCellAnchor>
    <xdr:from>
      <xdr:col>1</xdr:col>
      <xdr:colOff>9525</xdr:colOff>
      <xdr:row>18</xdr:row>
      <xdr:rowOff>0</xdr:rowOff>
    </xdr:from>
    <xdr:to>
      <xdr:col>1</xdr:col>
      <xdr:colOff>1352550</xdr:colOff>
      <xdr:row>20</xdr:row>
      <xdr:rowOff>76200</xdr:rowOff>
    </xdr:to>
    <xdr:sp macro="" textlink="">
      <xdr:nvSpPr>
        <xdr:cNvPr id="6" name="Text 3">
          <a:extLst>
            <a:ext uri="{FF2B5EF4-FFF2-40B4-BE49-F238E27FC236}">
              <a16:creationId xmlns:a16="http://schemas.microsoft.com/office/drawing/2014/main" id="{A6282AF9-3ACE-424B-A03A-7A675098209E}"/>
            </a:ext>
          </a:extLst>
        </xdr:cNvPr>
        <xdr:cNvSpPr txBox="1">
          <a:spLocks noChangeArrowheads="1"/>
        </xdr:cNvSpPr>
      </xdr:nvSpPr>
      <xdr:spPr bwMode="auto">
        <a:xfrm>
          <a:off x="758825" y="3124200"/>
          <a:ext cx="1346200" cy="2952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GB" sz="1800" b="1" i="1" strike="noStrike">
              <a:solidFill>
                <a:srgbClr val="000000"/>
              </a:solidFill>
              <a:latin typeface="Times New Roman"/>
              <a:cs typeface="Times New Roman"/>
            </a:rPr>
            <a:t>Loan data</a:t>
          </a:r>
        </a:p>
      </xdr:txBody>
    </xdr:sp>
    <xdr:clientData/>
  </xdr:twoCellAnchor>
  <xdr:twoCellAnchor editAs="oneCell">
    <xdr:from>
      <xdr:col>1</xdr:col>
      <xdr:colOff>1295400</xdr:colOff>
      <xdr:row>0</xdr:row>
      <xdr:rowOff>9525</xdr:rowOff>
    </xdr:from>
    <xdr:to>
      <xdr:col>3</xdr:col>
      <xdr:colOff>746124</xdr:colOff>
      <xdr:row>4</xdr:row>
      <xdr:rowOff>95249</xdr:rowOff>
    </xdr:to>
    <xdr:pic>
      <xdr:nvPicPr>
        <xdr:cNvPr id="7" name="Picture 6" descr="C:\Users\Sari\AppData\Local\Microsoft\Windows\Temporary Internet Files\Content.Outlook\JN3DZGOE\Norsad logo (2).jpg">
          <a:extLst>
            <a:ext uri="{FF2B5EF4-FFF2-40B4-BE49-F238E27FC236}">
              <a16:creationId xmlns:a16="http://schemas.microsoft.com/office/drawing/2014/main" id="{B11B7799-26C5-471E-BDE1-57EB676289F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6350"/>
          <a:ext cx="2212974" cy="755649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1790472</xdr:colOff>
      <xdr:row>0</xdr:row>
      <xdr:rowOff>47625</xdr:rowOff>
    </xdr:from>
    <xdr:ext cx="2030144" cy="792549"/>
    <xdr:pic>
      <xdr:nvPicPr>
        <xdr:cNvPr id="8" name="Picture 7">
          <a:extLst>
            <a:ext uri="{FF2B5EF4-FFF2-40B4-BE49-F238E27FC236}">
              <a16:creationId xmlns:a16="http://schemas.microsoft.com/office/drawing/2014/main" id="{B2E5BAE8-B4E2-4BAA-A1A9-0E7A79810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3272" y="47625"/>
          <a:ext cx="2030144" cy="79254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30</xdr:row>
      <xdr:rowOff>47625</xdr:rowOff>
    </xdr:from>
    <xdr:to>
      <xdr:col>4</xdr:col>
      <xdr:colOff>600075</xdr:colOff>
      <xdr:row>30</xdr:row>
      <xdr:rowOff>76200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46018BB8-7687-43DF-887F-CB3347CBF514}"/>
            </a:ext>
          </a:extLst>
        </xdr:cNvPr>
        <xdr:cNvSpPr txBox="1">
          <a:spLocks noChangeArrowheads="1"/>
        </xdr:cNvSpPr>
      </xdr:nvSpPr>
      <xdr:spPr bwMode="auto">
        <a:xfrm flipH="1" flipV="1">
          <a:off x="5314950" y="5035550"/>
          <a:ext cx="25400" cy="317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GB" sz="1600" b="1" i="1" strike="noStrike">
              <a:solidFill>
                <a:srgbClr val="000000"/>
              </a:solidFill>
              <a:latin typeface="Times New Roman"/>
              <a:cs typeface="Times New Roman"/>
            </a:rPr>
            <a:t>Repayment Schedule</a:t>
          </a:r>
        </a:p>
        <a:p>
          <a:pPr algn="ctr" rtl="0">
            <a:defRPr sz="1000"/>
          </a:pPr>
          <a:endParaRPr lang="en-GB" sz="1600" b="1" i="1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581025</xdr:colOff>
      <xdr:row>16</xdr:row>
      <xdr:rowOff>57150</xdr:rowOff>
    </xdr:from>
    <xdr:to>
      <xdr:col>1</xdr:col>
      <xdr:colOff>9525</xdr:colOff>
      <xdr:row>16</xdr:row>
      <xdr:rowOff>123825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id="{7C7A88E5-532D-46ED-AC79-8EC1D39D415F}"/>
            </a:ext>
          </a:extLst>
        </xdr:cNvPr>
        <xdr:cNvSpPr txBox="1">
          <a:spLocks noChangeArrowheads="1"/>
        </xdr:cNvSpPr>
      </xdr:nvSpPr>
      <xdr:spPr bwMode="auto">
        <a:xfrm flipH="1" flipV="1">
          <a:off x="577850" y="2857500"/>
          <a:ext cx="180975" cy="635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GB" sz="1800" b="1" i="1" strike="noStrike">
              <a:solidFill>
                <a:srgbClr val="000000"/>
              </a:solidFill>
              <a:latin typeface="Times New Roman"/>
              <a:cs typeface="Times New Roman"/>
            </a:rPr>
            <a:t>Loan data</a:t>
          </a:r>
        </a:p>
      </xdr:txBody>
    </xdr:sp>
    <xdr:clientData/>
  </xdr:twoCellAnchor>
  <xdr:twoCellAnchor>
    <xdr:from>
      <xdr:col>4</xdr:col>
      <xdr:colOff>361950</xdr:colOff>
      <xdr:row>30</xdr:row>
      <xdr:rowOff>85725</xdr:rowOff>
    </xdr:from>
    <xdr:to>
      <xdr:col>4</xdr:col>
      <xdr:colOff>438150</xdr:colOff>
      <xdr:row>30</xdr:row>
      <xdr:rowOff>133350</xdr:rowOff>
    </xdr:to>
    <xdr:sp macro="" textlink="">
      <xdr:nvSpPr>
        <xdr:cNvPr id="4" name="Text 2">
          <a:extLst>
            <a:ext uri="{FF2B5EF4-FFF2-40B4-BE49-F238E27FC236}">
              <a16:creationId xmlns:a16="http://schemas.microsoft.com/office/drawing/2014/main" id="{E51539B2-B3F7-4FF0-8B2D-A076BDE64FE3}"/>
            </a:ext>
          </a:extLst>
        </xdr:cNvPr>
        <xdr:cNvSpPr txBox="1">
          <a:spLocks noChangeArrowheads="1"/>
        </xdr:cNvSpPr>
      </xdr:nvSpPr>
      <xdr:spPr bwMode="auto">
        <a:xfrm flipV="1">
          <a:off x="5105400" y="5073650"/>
          <a:ext cx="76200" cy="508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GB" sz="1600" b="1" i="1" strike="noStrike">
              <a:solidFill>
                <a:srgbClr val="000000"/>
              </a:solidFill>
              <a:latin typeface="Times New Roman"/>
              <a:cs typeface="Times New Roman"/>
            </a:rPr>
            <a:t>Disbursement, interest &amp; repayment</a:t>
          </a:r>
        </a:p>
      </xdr:txBody>
    </xdr:sp>
    <xdr:clientData/>
  </xdr:twoCellAnchor>
  <xdr:twoCellAnchor>
    <xdr:from>
      <xdr:col>1</xdr:col>
      <xdr:colOff>9525</xdr:colOff>
      <xdr:row>31</xdr:row>
      <xdr:rowOff>9525</xdr:rowOff>
    </xdr:from>
    <xdr:to>
      <xdr:col>4</xdr:col>
      <xdr:colOff>438150</xdr:colOff>
      <xdr:row>33</xdr:row>
      <xdr:rowOff>85725</xdr:rowOff>
    </xdr:to>
    <xdr:sp macro="" textlink="">
      <xdr:nvSpPr>
        <xdr:cNvPr id="5" name="Text 2">
          <a:extLst>
            <a:ext uri="{FF2B5EF4-FFF2-40B4-BE49-F238E27FC236}">
              <a16:creationId xmlns:a16="http://schemas.microsoft.com/office/drawing/2014/main" id="{089AF5EE-381A-44BB-A429-C1C60E30942F}"/>
            </a:ext>
          </a:extLst>
        </xdr:cNvPr>
        <xdr:cNvSpPr txBox="1">
          <a:spLocks noChangeArrowheads="1"/>
        </xdr:cNvSpPr>
      </xdr:nvSpPr>
      <xdr:spPr bwMode="auto">
        <a:xfrm>
          <a:off x="758825" y="5159375"/>
          <a:ext cx="4422775" cy="2952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GB" sz="1600" b="1" i="1" strike="noStrike">
              <a:solidFill>
                <a:srgbClr val="000000"/>
              </a:solidFill>
              <a:latin typeface="Times New Roman"/>
              <a:cs typeface="Times New Roman"/>
            </a:rPr>
            <a:t>Disbursement, interest &amp; repayment</a:t>
          </a:r>
        </a:p>
      </xdr:txBody>
    </xdr:sp>
    <xdr:clientData/>
  </xdr:twoCellAnchor>
  <xdr:twoCellAnchor>
    <xdr:from>
      <xdr:col>1</xdr:col>
      <xdr:colOff>9525</xdr:colOff>
      <xdr:row>18</xdr:row>
      <xdr:rowOff>0</xdr:rowOff>
    </xdr:from>
    <xdr:to>
      <xdr:col>1</xdr:col>
      <xdr:colOff>1352550</xdr:colOff>
      <xdr:row>20</xdr:row>
      <xdr:rowOff>76200</xdr:rowOff>
    </xdr:to>
    <xdr:sp macro="" textlink="">
      <xdr:nvSpPr>
        <xdr:cNvPr id="6" name="Text 3">
          <a:extLst>
            <a:ext uri="{FF2B5EF4-FFF2-40B4-BE49-F238E27FC236}">
              <a16:creationId xmlns:a16="http://schemas.microsoft.com/office/drawing/2014/main" id="{A229B654-E2F2-4700-A3B4-2C3F2EC0A87E}"/>
            </a:ext>
          </a:extLst>
        </xdr:cNvPr>
        <xdr:cNvSpPr txBox="1">
          <a:spLocks noChangeArrowheads="1"/>
        </xdr:cNvSpPr>
      </xdr:nvSpPr>
      <xdr:spPr bwMode="auto">
        <a:xfrm>
          <a:off x="758825" y="3124200"/>
          <a:ext cx="1346200" cy="2952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GB" sz="1800" b="1" i="1" strike="noStrike">
              <a:solidFill>
                <a:srgbClr val="000000"/>
              </a:solidFill>
              <a:latin typeface="Times New Roman"/>
              <a:cs typeface="Times New Roman"/>
            </a:rPr>
            <a:t>Loan data</a:t>
          </a:r>
        </a:p>
      </xdr:txBody>
    </xdr:sp>
    <xdr:clientData/>
  </xdr:twoCellAnchor>
  <xdr:twoCellAnchor editAs="oneCell">
    <xdr:from>
      <xdr:col>1</xdr:col>
      <xdr:colOff>1295400</xdr:colOff>
      <xdr:row>0</xdr:row>
      <xdr:rowOff>9525</xdr:rowOff>
    </xdr:from>
    <xdr:to>
      <xdr:col>3</xdr:col>
      <xdr:colOff>393699</xdr:colOff>
      <xdr:row>5</xdr:row>
      <xdr:rowOff>57149</xdr:rowOff>
    </xdr:to>
    <xdr:pic>
      <xdr:nvPicPr>
        <xdr:cNvPr id="7" name="Picture 6" descr="C:\Users\Sari\AppData\Local\Microsoft\Windows\Temporary Internet Files\Content.Outlook\JN3DZGOE\Norsad logo (2).jpg">
          <a:extLst>
            <a:ext uri="{FF2B5EF4-FFF2-40B4-BE49-F238E27FC236}">
              <a16:creationId xmlns:a16="http://schemas.microsoft.com/office/drawing/2014/main" id="{8BF279CF-085B-48E3-BAB8-F2F3B229C44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6350"/>
          <a:ext cx="2212974" cy="7556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orsadcapital.sharepoint.com/Financial%20Management/02.%20Back%20Office/Portfolio%20Related/2.%20Loan%20Amortisation%20Statements/1.%20Current/Bayport.xlsx" TargetMode="External"/><Relationship Id="rId1" Type="http://schemas.openxmlformats.org/officeDocument/2006/relationships/externalLinkPath" Target="/Financial%20Management/02.%20Back%20Office/Portfolio%20Related/2.%20Loan%20Amortisation%20Statements/1.%20Current/Bay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mn statement"/>
      <sheetName val="3mn statement"/>
      <sheetName val="IFRS9"/>
    </sheetNames>
    <sheetDataSet>
      <sheetData sheetId="0"/>
      <sheetData sheetId="1">
        <row r="40">
          <cell r="C40">
            <v>-500000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rynos.Kufazvinei@fbc.co.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Q77"/>
  <sheetViews>
    <sheetView topLeftCell="A21" workbookViewId="0">
      <selection activeCell="A21" sqref="A21"/>
    </sheetView>
  </sheetViews>
  <sheetFormatPr defaultColWidth="9.140625" defaultRowHeight="12.95"/>
  <cols>
    <col min="1" max="1" width="15.28515625" style="3" customWidth="1"/>
    <col min="2" max="2" width="26.7109375" style="20" bestFit="1" customWidth="1"/>
    <col min="3" max="3" width="18.42578125" style="1" customWidth="1"/>
    <col min="4" max="4" width="12.5703125" style="1" customWidth="1"/>
    <col min="5" max="5" width="15.7109375" style="1" customWidth="1"/>
    <col min="6" max="6" width="9.85546875" style="1" customWidth="1"/>
    <col min="7" max="7" width="15.85546875" style="1" customWidth="1"/>
    <col min="8" max="8" width="27.140625" style="1" bestFit="1" customWidth="1"/>
    <col min="9" max="9" width="19.42578125" style="2" bestFit="1" customWidth="1"/>
    <col min="10" max="10" width="9.140625" style="2"/>
    <col min="11" max="11" width="15.28515625" style="2" customWidth="1"/>
    <col min="12" max="12" width="7.5703125" style="2" customWidth="1"/>
    <col min="13" max="16" width="9.140625" style="2"/>
    <col min="17" max="17" width="2.42578125" style="2" customWidth="1"/>
    <col min="18" max="18" width="9.140625" style="2"/>
    <col min="19" max="19" width="14.42578125" style="2" customWidth="1"/>
    <col min="20" max="20" width="22.5703125" style="2" customWidth="1"/>
    <col min="21" max="21" width="9.140625" style="2"/>
    <col min="22" max="22" width="11.5703125" style="2" customWidth="1"/>
    <col min="23" max="23" width="14" style="2" customWidth="1"/>
    <col min="24" max="24" width="14.28515625" style="2" customWidth="1"/>
    <col min="25" max="16384" width="9.140625" style="2"/>
  </cols>
  <sheetData>
    <row r="3" spans="1:8" ht="13.5" thickBot="1">
      <c r="H3" s="2"/>
    </row>
    <row r="4" spans="1:8" ht="3.75" customHeight="1" thickTop="1">
      <c r="A4" s="7"/>
      <c r="B4" s="40"/>
      <c r="C4" s="8"/>
      <c r="D4" s="8"/>
      <c r="E4" s="8"/>
      <c r="F4" s="8"/>
      <c r="G4" s="8"/>
      <c r="H4" s="2"/>
    </row>
    <row r="7" spans="1:8" ht="18">
      <c r="A7" s="21" t="s">
        <v>0</v>
      </c>
      <c r="B7" s="22"/>
      <c r="C7" s="23"/>
      <c r="D7" s="23"/>
      <c r="E7" s="23"/>
      <c r="F7" s="23"/>
      <c r="G7" s="24"/>
      <c r="H7" s="2"/>
    </row>
    <row r="8" spans="1:8" ht="18">
      <c r="A8" s="25" t="s">
        <v>1</v>
      </c>
      <c r="B8" s="26"/>
      <c r="C8" s="27"/>
      <c r="D8" s="27"/>
      <c r="E8" s="27"/>
      <c r="F8" s="27"/>
      <c r="G8" s="28"/>
      <c r="H8" s="2"/>
    </row>
    <row r="9" spans="1:8">
      <c r="A9" s="4"/>
      <c r="C9" s="2"/>
      <c r="D9" s="2"/>
      <c r="E9" s="2"/>
      <c r="F9" s="2"/>
      <c r="G9" s="2"/>
      <c r="H9" s="2"/>
    </row>
    <row r="10" spans="1:8">
      <c r="A10" s="4"/>
      <c r="D10" s="2"/>
      <c r="E10" s="2"/>
      <c r="F10" s="2"/>
      <c r="G10" s="2"/>
      <c r="H10" s="2"/>
    </row>
    <row r="11" spans="1:8">
      <c r="A11" s="29" t="s">
        <v>2</v>
      </c>
      <c r="B11" s="30"/>
      <c r="C11" s="31"/>
      <c r="D11" s="31"/>
      <c r="E11" s="31"/>
      <c r="F11" s="31"/>
      <c r="G11" s="32"/>
      <c r="H11" s="2"/>
    </row>
    <row r="12" spans="1:8">
      <c r="A12" s="144" t="s">
        <v>3</v>
      </c>
      <c r="B12" s="33"/>
      <c r="C12" s="6"/>
      <c r="D12" s="6" t="s">
        <v>4</v>
      </c>
      <c r="E12" s="34"/>
      <c r="F12" s="34"/>
      <c r="G12" s="35"/>
      <c r="H12" s="2"/>
    </row>
    <row r="13" spans="1:8">
      <c r="A13" s="145"/>
      <c r="B13" s="33"/>
      <c r="C13" s="6"/>
      <c r="D13" s="6" t="s">
        <v>5</v>
      </c>
      <c r="E13" s="34"/>
      <c r="F13" s="34"/>
      <c r="G13" s="35"/>
      <c r="H13" s="2"/>
    </row>
    <row r="14" spans="1:8">
      <c r="A14" s="145"/>
      <c r="B14" s="33"/>
      <c r="C14" s="6"/>
      <c r="D14" s="6" t="s">
        <v>6</v>
      </c>
      <c r="E14" s="146"/>
      <c r="F14" s="146"/>
      <c r="G14" s="35"/>
      <c r="H14" s="2"/>
    </row>
    <row r="15" spans="1:8">
      <c r="A15" s="144"/>
      <c r="B15" s="33"/>
      <c r="C15" s="6"/>
      <c r="D15" s="6"/>
      <c r="E15" s="6"/>
      <c r="F15" s="6"/>
      <c r="G15" s="35"/>
      <c r="H15" s="2"/>
    </row>
    <row r="16" spans="1:8">
      <c r="A16" s="144"/>
      <c r="B16" s="33"/>
      <c r="C16" s="6"/>
      <c r="D16" s="6"/>
      <c r="E16" s="6"/>
      <c r="F16" s="6"/>
      <c r="G16" s="35"/>
      <c r="H16" s="2"/>
    </row>
    <row r="17" spans="1:17">
      <c r="A17" s="36"/>
      <c r="B17" s="37"/>
      <c r="C17" s="38"/>
      <c r="D17" s="38"/>
      <c r="E17" s="38"/>
      <c r="F17" s="38"/>
      <c r="G17" s="39"/>
      <c r="H17" s="2"/>
    </row>
    <row r="18" spans="1:17">
      <c r="A18" s="147"/>
      <c r="B18" s="41"/>
      <c r="C18" s="2"/>
      <c r="D18" s="2"/>
      <c r="E18" s="2"/>
      <c r="F18" s="2"/>
      <c r="G18" s="2"/>
      <c r="H18" s="2"/>
    </row>
    <row r="19" spans="1:17" ht="13.5" thickBot="1">
      <c r="A19" s="4"/>
      <c r="C19" s="2"/>
      <c r="D19" s="2"/>
      <c r="E19" s="2"/>
      <c r="F19" s="2"/>
      <c r="G19" s="2"/>
      <c r="H19" s="2"/>
    </row>
    <row r="20" spans="1:17" ht="3.75" customHeight="1" thickTop="1">
      <c r="A20" s="7"/>
      <c r="B20" s="40"/>
      <c r="C20" s="8"/>
      <c r="D20" s="9"/>
      <c r="E20" s="8"/>
      <c r="F20" s="8"/>
      <c r="G20" s="8"/>
      <c r="H20" s="2"/>
    </row>
    <row r="21" spans="1:17" ht="14.45" thickBot="1">
      <c r="C21" s="10"/>
      <c r="H21" s="2"/>
      <c r="I21" s="148"/>
    </row>
    <row r="22" spans="1:17">
      <c r="B22" s="68" t="s">
        <v>7</v>
      </c>
      <c r="C22" s="69" t="s">
        <v>8</v>
      </c>
      <c r="D22" s="70"/>
      <c r="H22" s="2"/>
      <c r="J22" s="149"/>
      <c r="K22" s="213"/>
      <c r="L22" s="213"/>
      <c r="M22" s="213"/>
      <c r="N22" s="213"/>
      <c r="O22" s="213"/>
      <c r="P22" s="213"/>
      <c r="Q22" s="213"/>
    </row>
    <row r="23" spans="1:17">
      <c r="B23" s="71" t="s">
        <v>9</v>
      </c>
      <c r="C23" s="72">
        <v>10000000</v>
      </c>
      <c r="D23" s="73"/>
      <c r="H23" s="2"/>
      <c r="J23" s="149"/>
      <c r="K23" s="213"/>
      <c r="L23" s="213"/>
      <c r="M23" s="213"/>
      <c r="N23" s="213"/>
      <c r="O23" s="213"/>
      <c r="P23" s="213"/>
      <c r="Q23" s="213"/>
    </row>
    <row r="24" spans="1:17">
      <c r="B24" s="71" t="s">
        <v>10</v>
      </c>
      <c r="C24" s="72">
        <v>7000000</v>
      </c>
      <c r="D24" s="73"/>
      <c r="H24" s="2"/>
      <c r="J24" s="149"/>
      <c r="K24" s="217"/>
      <c r="L24" s="217"/>
      <c r="M24" s="217"/>
      <c r="N24" s="217"/>
      <c r="O24" s="217"/>
      <c r="P24" s="217"/>
      <c r="Q24" s="217"/>
    </row>
    <row r="25" spans="1:17">
      <c r="B25" s="71" t="s">
        <v>11</v>
      </c>
      <c r="C25" s="82">
        <v>45134</v>
      </c>
      <c r="D25" s="73"/>
      <c r="H25" s="2"/>
      <c r="J25" s="149"/>
      <c r="K25" s="213"/>
      <c r="L25" s="213"/>
      <c r="M25" s="213"/>
      <c r="N25" s="213"/>
      <c r="O25" s="213"/>
      <c r="P25" s="213"/>
      <c r="Q25" s="213"/>
    </row>
    <row r="26" spans="1:17">
      <c r="B26" s="71" t="s">
        <v>12</v>
      </c>
      <c r="C26" s="74" t="s">
        <v>13</v>
      </c>
      <c r="D26" s="73"/>
      <c r="H26" s="2"/>
      <c r="J26" s="150"/>
      <c r="K26" s="213"/>
      <c r="L26" s="213"/>
      <c r="M26" s="213"/>
      <c r="N26" s="213"/>
      <c r="O26" s="213"/>
      <c r="P26" s="213"/>
      <c r="Q26" s="213"/>
    </row>
    <row r="27" spans="1:17" ht="14.25" customHeight="1">
      <c r="B27" s="151" t="s">
        <v>14</v>
      </c>
      <c r="C27" s="152">
        <v>0</v>
      </c>
      <c r="D27" s="73"/>
      <c r="F27" s="153"/>
      <c r="H27" s="2"/>
      <c r="J27" s="150"/>
      <c r="K27" s="213"/>
      <c r="L27" s="213"/>
      <c r="M27" s="213"/>
      <c r="N27" s="213"/>
      <c r="O27" s="213"/>
      <c r="P27" s="213"/>
      <c r="Q27" s="213"/>
    </row>
    <row r="28" spans="1:17">
      <c r="B28" s="71" t="s">
        <v>15</v>
      </c>
      <c r="C28" s="72">
        <v>2</v>
      </c>
      <c r="D28" s="73"/>
      <c r="H28" s="2"/>
      <c r="J28" s="149"/>
      <c r="K28" s="213"/>
      <c r="L28" s="213"/>
      <c r="M28" s="213"/>
      <c r="N28" s="213"/>
      <c r="O28" s="213"/>
      <c r="P28" s="213"/>
      <c r="Q28" s="213"/>
    </row>
    <row r="29" spans="1:17">
      <c r="B29" s="71" t="s">
        <v>16</v>
      </c>
      <c r="C29" s="75">
        <v>3</v>
      </c>
      <c r="D29" s="73"/>
      <c r="H29" s="2"/>
      <c r="J29" s="149"/>
      <c r="K29" s="213"/>
      <c r="L29" s="213"/>
      <c r="M29" s="213"/>
      <c r="N29" s="213"/>
      <c r="O29" s="213"/>
      <c r="P29" s="213"/>
      <c r="Q29" s="213"/>
    </row>
    <row r="30" spans="1:17">
      <c r="B30" s="71" t="s">
        <v>17</v>
      </c>
      <c r="C30" s="154">
        <v>0</v>
      </c>
      <c r="D30" s="73"/>
      <c r="H30" s="2"/>
    </row>
    <row r="31" spans="1:17" ht="13.5" thickBot="1">
      <c r="B31" s="79" t="s">
        <v>18</v>
      </c>
      <c r="C31" s="77" t="s">
        <v>8</v>
      </c>
      <c r="D31" s="78"/>
      <c r="H31" s="2"/>
    </row>
    <row r="32" spans="1:17" ht="13.5" thickBot="1">
      <c r="B32" s="43"/>
      <c r="C32" s="11"/>
      <c r="E32" s="11"/>
      <c r="F32" s="11"/>
      <c r="H32" s="1">
        <f>360-183</f>
        <v>177</v>
      </c>
    </row>
    <row r="33" spans="1:11" ht="4.5" customHeight="1" thickTop="1">
      <c r="A33" s="7"/>
      <c r="B33" s="40"/>
      <c r="C33" s="8"/>
      <c r="D33" s="9"/>
      <c r="E33" s="8"/>
      <c r="F33" s="8"/>
      <c r="G33" s="8"/>
    </row>
    <row r="35" spans="1:11" ht="13.5" thickBot="1">
      <c r="A35" s="44"/>
      <c r="B35" s="45"/>
      <c r="C35" s="46"/>
      <c r="D35" s="46"/>
      <c r="E35" s="46"/>
      <c r="F35" s="46"/>
      <c r="G35" s="46"/>
    </row>
    <row r="36" spans="1:11" ht="14.1" thickTop="1" thickBot="1">
      <c r="A36" s="47"/>
      <c r="B36" s="48"/>
      <c r="C36" s="214" t="s">
        <v>8</v>
      </c>
      <c r="D36" s="215"/>
      <c r="E36" s="215"/>
      <c r="F36" s="215"/>
      <c r="G36" s="216"/>
    </row>
    <row r="37" spans="1:11" ht="14.1" thickTop="1" thickBot="1">
      <c r="A37" s="52" t="s">
        <v>19</v>
      </c>
      <c r="B37" s="53" t="s">
        <v>20</v>
      </c>
      <c r="C37" s="54" t="s">
        <v>21</v>
      </c>
      <c r="D37" s="54" t="s">
        <v>22</v>
      </c>
      <c r="E37" s="55" t="s">
        <v>23</v>
      </c>
      <c r="F37" s="55" t="s">
        <v>24</v>
      </c>
      <c r="G37" s="56" t="s">
        <v>25</v>
      </c>
    </row>
    <row r="38" spans="1:11" ht="13.5" thickTop="1">
      <c r="A38" s="12"/>
      <c r="B38" s="57"/>
      <c r="C38" s="14"/>
      <c r="D38" s="14"/>
      <c r="E38" s="15"/>
      <c r="F38" s="15"/>
      <c r="G38" s="13"/>
      <c r="H38" s="1">
        <f>-C39</f>
        <v>-7000000</v>
      </c>
    </row>
    <row r="39" spans="1:11">
      <c r="A39" s="12">
        <v>45134</v>
      </c>
      <c r="B39" s="57" t="s">
        <v>26</v>
      </c>
      <c r="C39" s="14">
        <v>7000000</v>
      </c>
      <c r="D39" s="155">
        <v>0</v>
      </c>
      <c r="E39" s="156">
        <f>C39</f>
        <v>7000000</v>
      </c>
      <c r="F39" s="156">
        <f>0</f>
        <v>0</v>
      </c>
      <c r="G39" s="16">
        <f>G38-D39+E39+F39</f>
        <v>7000000</v>
      </c>
      <c r="H39" s="1">
        <f>-SUM(E40:E41)</f>
        <v>1680178.6458333335</v>
      </c>
      <c r="I39" s="2">
        <f>360/2</f>
        <v>180</v>
      </c>
    </row>
    <row r="40" spans="1:11">
      <c r="A40" s="12">
        <v>45317</v>
      </c>
      <c r="B40" s="57" t="s">
        <v>27</v>
      </c>
      <c r="C40" s="14">
        <f>-C39/6</f>
        <v>-1166666.6666666667</v>
      </c>
      <c r="D40" s="155">
        <f>-G39*E52*(183/360)</f>
        <v>-513511.97916666669</v>
      </c>
      <c r="E40" s="156">
        <f>C40+D40-F40</f>
        <v>-1680178.6458333335</v>
      </c>
      <c r="F40" s="156">
        <f>D40*$C$27</f>
        <v>0</v>
      </c>
      <c r="G40" s="157">
        <f>G39-D40+E40-F40</f>
        <v>5833333.333333334</v>
      </c>
      <c r="H40" s="1">
        <f>-SUM(E42:E43)</f>
        <v>2842377.1220833333</v>
      </c>
    </row>
    <row r="41" spans="1:11">
      <c r="A41" s="158">
        <v>45499</v>
      </c>
      <c r="B41" s="159" t="s">
        <v>28</v>
      </c>
      <c r="C41" s="160">
        <f>C40</f>
        <v>-1166666.6666666667</v>
      </c>
      <c r="D41" s="161">
        <f>-G40*E53*(177/360)</f>
        <v>-406042.09722222225</v>
      </c>
      <c r="E41" s="162"/>
      <c r="F41" s="162">
        <f t="shared" ref="F41:F45" si="0">D41*$C$27</f>
        <v>0</v>
      </c>
      <c r="G41" s="191">
        <f t="shared" ref="G41:G45" si="1">G40-D41+E41-F41</f>
        <v>6239375.430555556</v>
      </c>
      <c r="H41" s="1">
        <f>-SUM(E44:E45)</f>
        <v>2632377.1220833333</v>
      </c>
      <c r="I41" s="2">
        <f>412924.17</f>
        <v>412924.17</v>
      </c>
      <c r="J41" s="84">
        <f>I41+D41</f>
        <v>6882.0727777777356</v>
      </c>
    </row>
    <row r="42" spans="1:11">
      <c r="A42" s="12">
        <v>45683</v>
      </c>
      <c r="B42" s="57" t="s">
        <v>29</v>
      </c>
      <c r="C42" s="14">
        <f t="shared" ref="C42:C45" si="2">C41</f>
        <v>-1166666.6666666667</v>
      </c>
      <c r="D42" s="155">
        <f>-G41*E54*(180/360)</f>
        <v>-280771.89437500003</v>
      </c>
      <c r="E42" s="156">
        <f t="shared" ref="E42:E45" si="3">C42+D42-F42</f>
        <v>-1447438.5610416667</v>
      </c>
      <c r="F42" s="156">
        <f t="shared" si="0"/>
        <v>0</v>
      </c>
      <c r="G42" s="16">
        <f t="shared" si="1"/>
        <v>5072708.7638888899</v>
      </c>
      <c r="H42" s="212">
        <f>IRR(H38:H41,10%)</f>
        <v>1.0330514748438713E-2</v>
      </c>
    </row>
    <row r="43" spans="1:11">
      <c r="A43" s="12">
        <v>45864</v>
      </c>
      <c r="B43" s="57" t="s">
        <v>30</v>
      </c>
      <c r="C43" s="14">
        <f t="shared" si="2"/>
        <v>-1166666.6666666667</v>
      </c>
      <c r="D43" s="155">
        <f>-G42*E55*(180/360)</f>
        <v>-228271.89437500003</v>
      </c>
      <c r="E43" s="156">
        <f t="shared" si="3"/>
        <v>-1394938.5610416667</v>
      </c>
      <c r="F43" s="156">
        <f t="shared" si="0"/>
        <v>0</v>
      </c>
      <c r="G43" s="16">
        <f t="shared" si="1"/>
        <v>3906042.0972222234</v>
      </c>
      <c r="I43" s="1"/>
    </row>
    <row r="44" spans="1:11">
      <c r="A44" s="12">
        <v>46048</v>
      </c>
      <c r="B44" s="57" t="s">
        <v>31</v>
      </c>
      <c r="C44" s="14">
        <f t="shared" si="2"/>
        <v>-1166666.6666666667</v>
      </c>
      <c r="D44" s="155">
        <f>-G43*E56*(180/360)</f>
        <v>-175771.89437500003</v>
      </c>
      <c r="E44" s="156">
        <f t="shared" si="3"/>
        <v>-1342438.5610416667</v>
      </c>
      <c r="F44" s="156">
        <f t="shared" si="0"/>
        <v>0</v>
      </c>
      <c r="G44" s="16">
        <f t="shared" si="1"/>
        <v>2739375.4305555569</v>
      </c>
      <c r="I44" s="1"/>
    </row>
    <row r="45" spans="1:11">
      <c r="A45" s="12">
        <v>46229</v>
      </c>
      <c r="B45" s="57" t="s">
        <v>32</v>
      </c>
      <c r="C45" s="14">
        <f t="shared" si="2"/>
        <v>-1166666.6666666667</v>
      </c>
      <c r="D45" s="155">
        <f>-G44*E57*(180/360)</f>
        <v>-123271.89437500006</v>
      </c>
      <c r="E45" s="156">
        <f t="shared" si="3"/>
        <v>-1289938.5610416669</v>
      </c>
      <c r="F45" s="156">
        <f t="shared" si="0"/>
        <v>0</v>
      </c>
      <c r="G45" s="16">
        <f t="shared" si="1"/>
        <v>1572708.7638888902</v>
      </c>
      <c r="I45" s="1"/>
    </row>
    <row r="46" spans="1:11">
      <c r="A46" s="12"/>
      <c r="B46" s="57"/>
      <c r="C46" s="14"/>
      <c r="D46" s="14"/>
      <c r="E46" s="15"/>
      <c r="F46" s="15"/>
      <c r="G46" s="16"/>
      <c r="J46" s="89"/>
      <c r="K46" s="163"/>
    </row>
    <row r="47" spans="1:11" ht="4.5" customHeight="1" thickBot="1">
      <c r="A47" s="65"/>
      <c r="B47" s="66"/>
      <c r="C47" s="67"/>
      <c r="D47" s="67"/>
      <c r="E47" s="67"/>
      <c r="F47" s="67"/>
      <c r="G47" s="67"/>
      <c r="H47" s="2"/>
    </row>
    <row r="48" spans="1:11" ht="13.5" thickTop="1">
      <c r="E48" s="164"/>
      <c r="H48" s="2" t="s">
        <v>33</v>
      </c>
      <c r="K48" s="165"/>
    </row>
    <row r="49" spans="1:11">
      <c r="E49" s="164"/>
      <c r="H49" s="2"/>
      <c r="K49" s="165"/>
    </row>
    <row r="50" spans="1:11">
      <c r="H50" s="2"/>
      <c r="K50" s="165"/>
    </row>
    <row r="51" spans="1:11" s="173" customFormat="1" ht="26.1">
      <c r="A51" s="166"/>
      <c r="B51" s="167" t="s">
        <v>34</v>
      </c>
      <c r="C51" s="168" t="s">
        <v>35</v>
      </c>
      <c r="D51" s="169" t="s">
        <v>36</v>
      </c>
      <c r="E51" s="170" t="s">
        <v>37</v>
      </c>
      <c r="F51" s="171" t="s">
        <v>38</v>
      </c>
      <c r="G51" s="172"/>
      <c r="K51" s="174"/>
    </row>
    <row r="52" spans="1:11">
      <c r="A52" s="175">
        <v>45134</v>
      </c>
      <c r="B52" s="176">
        <v>5.43125E-2</v>
      </c>
      <c r="C52" s="177">
        <v>0.09</v>
      </c>
      <c r="D52" s="178">
        <f>B52+C52</f>
        <v>0.14431250000000001</v>
      </c>
      <c r="E52" s="178">
        <f>D52/(1-$C$27)</f>
        <v>0.14431250000000001</v>
      </c>
      <c r="H52" s="1">
        <f>C40+'[1]3mn statement'!C40</f>
        <v>-1666666.6666666667</v>
      </c>
      <c r="K52" s="165"/>
    </row>
    <row r="53" spans="1:11">
      <c r="A53" s="179">
        <v>45318</v>
      </c>
      <c r="B53" s="180">
        <v>5.1574000000000002E-2</v>
      </c>
      <c r="C53" s="181">
        <f>C52</f>
        <v>0.09</v>
      </c>
      <c r="D53" s="182">
        <f t="shared" ref="D53:D58" si="4">B53+C53</f>
        <v>0.14157400000000001</v>
      </c>
      <c r="E53" s="182">
        <f t="shared" ref="E53:E58" si="5">D53/(1-$C$27)</f>
        <v>0.14157400000000001</v>
      </c>
      <c r="H53" s="2"/>
      <c r="K53" s="165"/>
    </row>
    <row r="54" spans="1:11">
      <c r="A54" s="179">
        <v>45500</v>
      </c>
      <c r="B54" s="183"/>
      <c r="C54" s="184">
        <f t="shared" ref="C54:C58" si="6">C53</f>
        <v>0.09</v>
      </c>
      <c r="D54" s="185">
        <f t="shared" si="4"/>
        <v>0.09</v>
      </c>
      <c r="E54" s="185">
        <f t="shared" si="5"/>
        <v>0.09</v>
      </c>
      <c r="H54" s="2"/>
      <c r="K54" s="165"/>
    </row>
    <row r="55" spans="1:11">
      <c r="A55" s="179">
        <v>45684</v>
      </c>
      <c r="B55" s="183"/>
      <c r="C55" s="184">
        <f t="shared" si="6"/>
        <v>0.09</v>
      </c>
      <c r="D55" s="185">
        <f t="shared" si="4"/>
        <v>0.09</v>
      </c>
      <c r="E55" s="185">
        <f t="shared" si="5"/>
        <v>0.09</v>
      </c>
      <c r="H55" s="2"/>
      <c r="K55" s="165"/>
    </row>
    <row r="56" spans="1:11">
      <c r="A56" s="179">
        <v>45865</v>
      </c>
      <c r="B56" s="186"/>
      <c r="C56" s="184">
        <f t="shared" si="6"/>
        <v>0.09</v>
      </c>
      <c r="D56" s="185">
        <f t="shared" si="4"/>
        <v>0.09</v>
      </c>
      <c r="E56" s="185">
        <f t="shared" si="5"/>
        <v>0.09</v>
      </c>
      <c r="H56" s="2"/>
      <c r="K56" s="165"/>
    </row>
    <row r="57" spans="1:11">
      <c r="A57" s="179">
        <v>46049</v>
      </c>
      <c r="B57" s="186"/>
      <c r="C57" s="184">
        <f t="shared" si="6"/>
        <v>0.09</v>
      </c>
      <c r="D57" s="185">
        <f t="shared" si="4"/>
        <v>0.09</v>
      </c>
      <c r="E57" s="185">
        <f t="shared" si="5"/>
        <v>0.09</v>
      </c>
      <c r="H57" s="2"/>
      <c r="K57" s="165"/>
    </row>
    <row r="58" spans="1:11">
      <c r="A58" s="187">
        <v>46230</v>
      </c>
      <c r="B58" s="188"/>
      <c r="C58" s="189">
        <f t="shared" si="6"/>
        <v>0.09</v>
      </c>
      <c r="D58" s="190">
        <f t="shared" si="4"/>
        <v>0.09</v>
      </c>
      <c r="E58" s="190">
        <f t="shared" si="5"/>
        <v>0.09</v>
      </c>
      <c r="H58" s="2"/>
      <c r="K58" s="165"/>
    </row>
    <row r="59" spans="1:11">
      <c r="H59" s="2"/>
      <c r="K59" s="165"/>
    </row>
    <row r="60" spans="1:11">
      <c r="H60" s="2"/>
      <c r="K60" s="165"/>
    </row>
    <row r="61" spans="1:11">
      <c r="H61" s="2"/>
      <c r="K61" s="165"/>
    </row>
    <row r="62" spans="1:11">
      <c r="H62" s="2"/>
      <c r="K62" s="165"/>
    </row>
    <row r="63" spans="1:11">
      <c r="H63" s="2"/>
      <c r="K63" s="165"/>
    </row>
    <row r="64" spans="1:11">
      <c r="H64" s="2"/>
      <c r="K64" s="165"/>
    </row>
    <row r="65" spans="8:11">
      <c r="H65" s="2"/>
      <c r="K65" s="165"/>
    </row>
    <row r="66" spans="8:11">
      <c r="H66" s="2"/>
      <c r="K66" s="165"/>
    </row>
    <row r="67" spans="8:11">
      <c r="H67" s="2"/>
      <c r="K67" s="165"/>
    </row>
    <row r="68" spans="8:11">
      <c r="H68" s="2"/>
      <c r="K68" s="165"/>
    </row>
    <row r="69" spans="8:11">
      <c r="H69" s="2"/>
      <c r="K69" s="165"/>
    </row>
    <row r="70" spans="8:11">
      <c r="H70" s="2"/>
      <c r="K70" s="165"/>
    </row>
    <row r="71" spans="8:11">
      <c r="H71" s="2"/>
      <c r="K71" s="165"/>
    </row>
    <row r="72" spans="8:11">
      <c r="H72" s="2"/>
      <c r="K72" s="165"/>
    </row>
    <row r="73" spans="8:11">
      <c r="H73" s="2"/>
    </row>
    <row r="74" spans="8:11">
      <c r="H74" s="2"/>
    </row>
    <row r="75" spans="8:11">
      <c r="H75" s="2"/>
    </row>
    <row r="76" spans="8:11">
      <c r="H76" s="2"/>
    </row>
    <row r="77" spans="8:11">
      <c r="H77" s="2"/>
    </row>
  </sheetData>
  <mergeCells count="9">
    <mergeCell ref="K28:Q28"/>
    <mergeCell ref="K29:Q29"/>
    <mergeCell ref="C36:G36"/>
    <mergeCell ref="K22:Q22"/>
    <mergeCell ref="K23:Q23"/>
    <mergeCell ref="K24:Q24"/>
    <mergeCell ref="K25:Q25"/>
    <mergeCell ref="K26:Q26"/>
    <mergeCell ref="K27:Q27"/>
  </mergeCells>
  <phoneticPr fontId="0" type="noConversion"/>
  <printOptions horizontalCentered="1"/>
  <pageMargins left="0.59055118110236227" right="0.59055118110236227" top="0.59055118110236227" bottom="0.59055118110236227" header="0.51181102362204722" footer="0.51181102362204722"/>
  <pageSetup paperSize="9" scale="75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8EE7-9A33-45E6-89B1-8D842AAF47DA}">
  <sheetPr>
    <pageSetUpPr fitToPage="1"/>
  </sheetPr>
  <dimension ref="A1:P47"/>
  <sheetViews>
    <sheetView tabSelected="1" topLeftCell="D8" workbookViewId="0">
      <selection activeCell="P12" sqref="P12"/>
    </sheetView>
  </sheetViews>
  <sheetFormatPr defaultRowHeight="12.6"/>
  <cols>
    <col min="1" max="1" width="13.28515625" customWidth="1"/>
    <col min="2" max="3" width="16.85546875" customWidth="1"/>
    <col min="4" max="4" width="18.85546875" customWidth="1"/>
    <col min="5" max="10" width="16.85546875" customWidth="1"/>
    <col min="11" max="11" width="16" customWidth="1"/>
    <col min="12" max="12" width="12.85546875" customWidth="1"/>
  </cols>
  <sheetData>
    <row r="1" spans="1:16" ht="14.1">
      <c r="A1" s="90" t="s">
        <v>39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6" ht="14.1">
      <c r="A2" s="90" t="s">
        <v>40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16" ht="14.1">
      <c r="A3" s="90" t="s">
        <v>41</v>
      </c>
      <c r="B3" s="91"/>
      <c r="C3" s="91"/>
      <c r="D3" s="91"/>
      <c r="E3" s="91"/>
      <c r="F3" s="91"/>
      <c r="G3" s="91"/>
      <c r="H3" s="91"/>
      <c r="I3" s="91"/>
      <c r="J3" s="91"/>
      <c r="K3" s="91"/>
    </row>
    <row r="4" spans="1:16">
      <c r="A4" s="91"/>
      <c r="B4" s="91"/>
      <c r="C4" s="91"/>
      <c r="D4" s="91"/>
      <c r="E4" s="91"/>
      <c r="F4" s="104" t="s">
        <v>42</v>
      </c>
      <c r="G4" s="91"/>
      <c r="H4" s="91"/>
      <c r="J4" s="91"/>
      <c r="K4" s="91"/>
    </row>
    <row r="5" spans="1:16">
      <c r="A5" s="91"/>
      <c r="B5" s="91"/>
      <c r="C5" s="91"/>
      <c r="D5" s="91"/>
      <c r="E5" s="91"/>
      <c r="F5" s="128">
        <v>0.01</v>
      </c>
      <c r="G5" s="91"/>
      <c r="H5" s="91"/>
      <c r="J5" s="91"/>
      <c r="K5" s="91"/>
    </row>
    <row r="6" spans="1:16">
      <c r="A6" s="91"/>
      <c r="B6" s="92"/>
      <c r="C6" s="92"/>
      <c r="D6" s="91"/>
      <c r="E6" s="91"/>
      <c r="F6" s="91"/>
      <c r="G6" s="91"/>
      <c r="H6" s="91"/>
      <c r="I6" s="91"/>
      <c r="J6" s="91"/>
      <c r="K6" s="91"/>
    </row>
    <row r="7" spans="1:16" ht="26.1">
      <c r="A7" s="93"/>
      <c r="B7" s="94" t="s">
        <v>43</v>
      </c>
      <c r="C7" s="94" t="s">
        <v>44</v>
      </c>
      <c r="D7" s="95" t="s">
        <v>45</v>
      </c>
      <c r="E7" s="95" t="s">
        <v>46</v>
      </c>
      <c r="F7" s="134" t="s">
        <v>47</v>
      </c>
      <c r="G7" s="95" t="s">
        <v>48</v>
      </c>
      <c r="H7" s="134" t="s">
        <v>49</v>
      </c>
      <c r="I7" s="95" t="s">
        <v>50</v>
      </c>
      <c r="J7" s="96" t="s">
        <v>51</v>
      </c>
      <c r="K7" s="95" t="s">
        <v>52</v>
      </c>
    </row>
    <row r="8" spans="1:16">
      <c r="A8" s="119">
        <v>45382</v>
      </c>
      <c r="B8" s="97">
        <v>1</v>
      </c>
      <c r="C8" s="92"/>
      <c r="D8" s="98">
        <f>'7mn Statement'!G41</f>
        <v>6239375.430555556</v>
      </c>
      <c r="E8" s="98"/>
      <c r="F8" s="91"/>
      <c r="G8" s="91"/>
      <c r="H8" s="91"/>
      <c r="I8" s="91"/>
      <c r="J8" s="91"/>
      <c r="K8" s="91"/>
    </row>
    <row r="9" spans="1:16">
      <c r="A9" s="99">
        <v>1</v>
      </c>
      <c r="B9" s="100">
        <f>B8-C9</f>
        <v>0.95232234950191774</v>
      </c>
      <c r="C9" s="101">
        <f>B8*$C$20</f>
        <v>4.7677650498082258E-2</v>
      </c>
      <c r="D9" s="102">
        <f>'7mn Statement'!G41-'7mn Statement'!D42</f>
        <v>6520147.3249305561</v>
      </c>
      <c r="E9" s="102">
        <f>$I$41</f>
        <v>0</v>
      </c>
      <c r="F9" s="103">
        <f>MAX(($F$5),(D9-E9)/D9)</f>
        <v>1</v>
      </c>
      <c r="G9" s="127">
        <f>$E$45</f>
        <v>0.5</v>
      </c>
      <c r="H9" s="127">
        <f>$E$47</f>
        <v>0.2707</v>
      </c>
      <c r="I9" s="127">
        <f>$E$46</f>
        <v>0.5</v>
      </c>
      <c r="J9" s="102">
        <f>C9*D9*((F9*G9)+(H9*I9))</f>
        <v>197508.2717566925</v>
      </c>
      <c r="K9" s="102">
        <f>J9/(1+$C$21)^(A9/4)</f>
        <v>197001.44935934065</v>
      </c>
    </row>
    <row r="10" spans="1:16">
      <c r="A10" s="99">
        <v>2</v>
      </c>
      <c r="B10" s="100">
        <f t="shared" ref="B10:B13" si="0">B9-C10</f>
        <v>0.90691785736085273</v>
      </c>
      <c r="C10" s="101">
        <f>B9*$C$20</f>
        <v>4.5404492141064977E-2</v>
      </c>
      <c r="D10" s="102">
        <f>'7mn Statement'!G42-'7mn Statement'!D43</f>
        <v>5300980.6582638901</v>
      </c>
      <c r="E10" s="102">
        <f>$I$41</f>
        <v>0</v>
      </c>
      <c r="F10" s="103">
        <f>MAX(($F$5),(D10-E10)/D10)</f>
        <v>1</v>
      </c>
      <c r="G10" s="127">
        <f>$E$45</f>
        <v>0.5</v>
      </c>
      <c r="H10" s="127">
        <f>$E$47</f>
        <v>0.2707</v>
      </c>
      <c r="I10" s="127">
        <f>$E$46</f>
        <v>0.5</v>
      </c>
      <c r="J10" s="102">
        <f t="shared" ref="J10:J13" si="1">C10*D10*((F10*G10)+(H10*I10))</f>
        <v>152921.33341230426</v>
      </c>
      <c r="K10" s="102">
        <f>J10/(1+$C$21)^(A10/4)</f>
        <v>152137.52303952133</v>
      </c>
    </row>
    <row r="11" spans="1:16">
      <c r="A11" s="99">
        <v>3</v>
      </c>
      <c r="B11" s="100">
        <f t="shared" si="0"/>
        <v>0.86367814472713234</v>
      </c>
      <c r="C11" s="101">
        <f>B10*$C$20</f>
        <v>4.3239712633720354E-2</v>
      </c>
      <c r="D11" s="102">
        <f>'7mn Statement'!G43-'7mn Statement'!D44</f>
        <v>4081813.9915972236</v>
      </c>
      <c r="E11" s="102">
        <f>$I$41</f>
        <v>0</v>
      </c>
      <c r="F11" s="103">
        <f t="shared" ref="F11:F13" si="2">MAX(($F$5),(D11-E11)/D11)</f>
        <v>1</v>
      </c>
      <c r="G11" s="127">
        <f>$E$45</f>
        <v>0.5</v>
      </c>
      <c r="H11" s="127">
        <f>$E$47</f>
        <v>0.2707</v>
      </c>
      <c r="I11" s="127">
        <f>$E$46</f>
        <v>0.5</v>
      </c>
      <c r="J11" s="102">
        <f t="shared" si="1"/>
        <v>112137.02841571881</v>
      </c>
      <c r="K11" s="102">
        <f>J11/(1+$C$21)^(A11/4)</f>
        <v>111275.98332248027</v>
      </c>
      <c r="P11" s="218">
        <f>K20+'IFRS9-Restructure'!K20</f>
        <v>818736.32311247115</v>
      </c>
    </row>
    <row r="12" spans="1:16">
      <c r="A12" s="99">
        <v>4</v>
      </c>
      <c r="B12" s="100">
        <f t="shared" si="0"/>
        <v>0.82250000000000001</v>
      </c>
      <c r="C12" s="101">
        <f>B11*$C$20</f>
        <v>4.1178144727132319E-2</v>
      </c>
      <c r="D12" s="102">
        <f>'7mn Statement'!G44-'7mn Statement'!D45</f>
        <v>2862647.324930557</v>
      </c>
      <c r="E12" s="102">
        <f>$I$41</f>
        <v>0</v>
      </c>
      <c r="F12" s="103">
        <f t="shared" si="2"/>
        <v>1</v>
      </c>
      <c r="G12" s="127">
        <f>$E$45</f>
        <v>0.5</v>
      </c>
      <c r="H12" s="127">
        <f>$E$47</f>
        <v>0.2707</v>
      </c>
      <c r="I12" s="127">
        <f>$E$46</f>
        <v>0.5</v>
      </c>
      <c r="J12" s="102">
        <f t="shared" si="1"/>
        <v>74894.108690989757</v>
      </c>
      <c r="K12" s="102">
        <f>J12/(1+$C$21)^(A12/4)</f>
        <v>74128.324936951525</v>
      </c>
    </row>
    <row r="13" spans="1:16" ht="12.95" thickBot="1">
      <c r="A13" s="104">
        <v>5</v>
      </c>
      <c r="B13" s="105">
        <f t="shared" si="0"/>
        <v>0.78328513246532738</v>
      </c>
      <c r="C13" s="106">
        <f>B12*$C$20</f>
        <v>3.9214867534672661E-2</v>
      </c>
      <c r="D13" s="102">
        <f>'7mn Statement'!G45-'7mn Statement'!D46</f>
        <v>1572708.7638888902</v>
      </c>
      <c r="E13" s="107">
        <f>$I$41</f>
        <v>0</v>
      </c>
      <c r="F13" s="108">
        <f t="shared" si="2"/>
        <v>1</v>
      </c>
      <c r="G13" s="97">
        <f>$E$45</f>
        <v>0.5</v>
      </c>
      <c r="H13" s="97">
        <f>$E$47</f>
        <v>0.2707</v>
      </c>
      <c r="I13" s="97">
        <f>$E$46</f>
        <v>0.5</v>
      </c>
      <c r="J13" s="107">
        <f t="shared" si="1"/>
        <v>39184.300060587506</v>
      </c>
      <c r="K13" s="107">
        <f>J13/(1+$C$21)^(A13/4)</f>
        <v>38684.12303467215</v>
      </c>
    </row>
    <row r="14" spans="1:16" ht="13.5" thickBot="1">
      <c r="A14" s="104"/>
      <c r="B14" s="105"/>
      <c r="C14" s="106"/>
      <c r="D14" s="107"/>
      <c r="E14" s="107"/>
      <c r="F14" s="108"/>
      <c r="J14" s="107"/>
      <c r="K14" s="109">
        <f>SUM(K9:K13)</f>
        <v>573227.40369296598</v>
      </c>
    </row>
    <row r="15" spans="1:16">
      <c r="A15" s="91"/>
      <c r="B15" s="91"/>
      <c r="C15" s="91"/>
      <c r="D15" s="91"/>
      <c r="E15" s="91"/>
      <c r="F15" s="91"/>
      <c r="G15" s="107"/>
      <c r="H15" s="107"/>
      <c r="I15" s="107"/>
      <c r="J15" s="91"/>
    </row>
    <row r="16" spans="1:16">
      <c r="A16" s="91"/>
      <c r="B16" s="91"/>
      <c r="C16" s="91"/>
      <c r="D16" s="91"/>
      <c r="E16" s="91"/>
      <c r="F16" s="91"/>
      <c r="G16" s="91"/>
      <c r="H16" s="91"/>
      <c r="I16" s="91"/>
      <c r="J16" s="110"/>
      <c r="K16" s="91"/>
    </row>
    <row r="17" spans="1:14" ht="14.1">
      <c r="A17" s="90" t="s">
        <v>53</v>
      </c>
      <c r="B17" s="91"/>
      <c r="C17" s="91"/>
      <c r="D17" s="91"/>
      <c r="E17" s="91"/>
      <c r="F17" s="91"/>
      <c r="K17" s="91"/>
    </row>
    <row r="18" spans="1:14" ht="14.45" thickBot="1">
      <c r="A18" s="91" t="s">
        <v>54</v>
      </c>
      <c r="B18" s="91"/>
      <c r="C18" s="104" t="s">
        <v>55</v>
      </c>
      <c r="D18" s="104"/>
      <c r="E18" s="91"/>
      <c r="F18" s="91"/>
      <c r="H18" s="90" t="s">
        <v>56</v>
      </c>
      <c r="J18" s="91"/>
      <c r="K18" s="91"/>
    </row>
    <row r="19" spans="1:14" ht="13.5" thickBot="1">
      <c r="A19" s="112" t="s">
        <v>57</v>
      </c>
      <c r="B19" s="92"/>
      <c r="C19" s="121">
        <v>0.17749999999999999</v>
      </c>
      <c r="D19" s="91"/>
      <c r="E19" s="112"/>
      <c r="F19" s="91"/>
      <c r="I19" s="112" t="s">
        <v>58</v>
      </c>
      <c r="K19" s="109">
        <f>SUM(K9:K12)</f>
        <v>534543.28065829386</v>
      </c>
    </row>
    <row r="20" spans="1:14" ht="13.5" thickBot="1">
      <c r="A20" s="112" t="s">
        <v>59</v>
      </c>
      <c r="B20" s="92"/>
      <c r="C20" s="113">
        <f>1-(1-C19)^(1/4)</f>
        <v>4.7677650498082258E-2</v>
      </c>
      <c r="D20" s="91"/>
      <c r="E20" s="112"/>
      <c r="F20" s="91"/>
      <c r="I20" s="112" t="s">
        <v>60</v>
      </c>
      <c r="K20" s="137">
        <f>K14</f>
        <v>573227.40369296598</v>
      </c>
    </row>
    <row r="21" spans="1:14" ht="12.95">
      <c r="A21" s="112" t="s">
        <v>61</v>
      </c>
      <c r="B21" s="92"/>
      <c r="C21" s="122">
        <f>B37</f>
        <v>1.0330514748438713E-2</v>
      </c>
      <c r="D21" s="91"/>
      <c r="E21" s="112"/>
      <c r="F21" s="91"/>
      <c r="G21" s="91"/>
      <c r="H21" s="91"/>
      <c r="I21" s="91"/>
      <c r="J21" s="91"/>
      <c r="K21" s="91"/>
    </row>
    <row r="22" spans="1:14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</row>
    <row r="23" spans="1:14">
      <c r="A23" s="91"/>
      <c r="B23" s="91"/>
      <c r="C23" s="91"/>
      <c r="D23" s="91"/>
      <c r="E23" s="91"/>
      <c r="F23" s="91"/>
      <c r="G23" s="111"/>
      <c r="H23" s="111"/>
      <c r="I23" s="111"/>
      <c r="J23" s="98"/>
      <c r="K23" s="91"/>
    </row>
    <row r="24" spans="1:14">
      <c r="A24" s="91"/>
      <c r="B24" s="91"/>
      <c r="C24" s="91"/>
      <c r="D24" s="91"/>
      <c r="E24" s="91"/>
      <c r="F24" s="91"/>
      <c r="G24" s="111"/>
      <c r="H24" s="111"/>
      <c r="I24" s="111"/>
      <c r="J24" s="98"/>
      <c r="K24" s="91"/>
    </row>
    <row r="25" spans="1:14">
      <c r="A25" s="91"/>
      <c r="B25" s="91"/>
      <c r="C25" s="91"/>
      <c r="D25" s="91"/>
      <c r="E25" s="91"/>
      <c r="F25" s="91"/>
      <c r="G25" s="111"/>
      <c r="H25" s="111"/>
      <c r="I25" s="111"/>
      <c r="J25" s="98"/>
      <c r="K25" s="91"/>
    </row>
    <row r="26" spans="1:14">
      <c r="A26" s="91"/>
      <c r="B26" s="91"/>
      <c r="C26" s="91"/>
      <c r="D26" s="91"/>
      <c r="E26" s="91"/>
      <c r="F26" s="91"/>
      <c r="G26" s="111"/>
      <c r="H26" s="111"/>
      <c r="I26" s="111"/>
      <c r="J26" s="98"/>
      <c r="K26" s="91"/>
    </row>
    <row r="27" spans="1:14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</row>
    <row r="28" spans="1:14" ht="14.1">
      <c r="A28" s="90" t="s">
        <v>62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</row>
    <row r="29" spans="1:14" ht="14.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</row>
    <row r="30" spans="1:14" ht="12.95">
      <c r="A30" s="114" t="s">
        <v>63</v>
      </c>
      <c r="B30" s="91"/>
      <c r="C30" s="91"/>
      <c r="D30" s="114" t="s">
        <v>64</v>
      </c>
      <c r="E30" s="91"/>
      <c r="F30" s="91"/>
      <c r="G30" s="91"/>
      <c r="H30" s="91"/>
      <c r="I30" s="91"/>
      <c r="J30" s="91"/>
      <c r="K30" s="91"/>
    </row>
    <row r="31" spans="1:14" ht="12.95">
      <c r="A31" s="89" t="s">
        <v>65</v>
      </c>
      <c r="B31" s="89" t="s">
        <v>66</v>
      </c>
      <c r="C31" s="91"/>
      <c r="D31" s="91"/>
      <c r="E31" s="91"/>
      <c r="F31" s="115" t="s">
        <v>67</v>
      </c>
      <c r="G31" s="115" t="s">
        <v>68</v>
      </c>
      <c r="H31" s="115" t="s">
        <v>69</v>
      </c>
      <c r="I31" s="115" t="s">
        <v>70</v>
      </c>
      <c r="L31" s="115"/>
      <c r="M31" s="116"/>
      <c r="N31" s="116"/>
    </row>
    <row r="32" spans="1:14" ht="12.95">
      <c r="A32" s="4">
        <v>0</v>
      </c>
      <c r="B32" s="1">
        <f>'7mn Statement'!H38</f>
        <v>-7000000</v>
      </c>
      <c r="C32" s="91"/>
      <c r="D32" s="114" t="s">
        <v>71</v>
      </c>
      <c r="E32" s="91"/>
      <c r="F32" s="115" t="s">
        <v>8</v>
      </c>
      <c r="G32" s="115" t="s">
        <v>8</v>
      </c>
      <c r="H32" s="115" t="s">
        <v>8</v>
      </c>
      <c r="I32" s="115" t="s">
        <v>8</v>
      </c>
      <c r="L32" s="115"/>
      <c r="M32" s="116"/>
      <c r="N32" s="116"/>
    </row>
    <row r="33" spans="1:14" ht="12.95">
      <c r="A33" s="4">
        <v>1</v>
      </c>
      <c r="B33" s="1">
        <f>'7mn Statement'!H39</f>
        <v>1680178.6458333335</v>
      </c>
      <c r="C33" s="91"/>
      <c r="D33" s="91" t="s">
        <v>72</v>
      </c>
      <c r="E33" s="123">
        <v>0.01</v>
      </c>
      <c r="F33" s="117">
        <v>0</v>
      </c>
      <c r="G33" s="124">
        <f>-F33*E33</f>
        <v>0</v>
      </c>
      <c r="H33" s="124">
        <f>-F33*$E$43</f>
        <v>0</v>
      </c>
      <c r="I33" s="117">
        <f t="shared" ref="I33:I40" si="3">SUM(F33:H33)</f>
        <v>0</v>
      </c>
      <c r="L33" s="118"/>
      <c r="M33" s="116"/>
      <c r="N33" s="116"/>
    </row>
    <row r="34" spans="1:14" ht="12.95">
      <c r="A34" s="4">
        <v>2</v>
      </c>
      <c r="B34" s="1">
        <f>'7mn Statement'!H40</f>
        <v>2842377.1220833333</v>
      </c>
      <c r="C34" s="91"/>
      <c r="D34" s="91" t="s">
        <v>73</v>
      </c>
      <c r="E34" s="123">
        <v>0.1</v>
      </c>
      <c r="F34" s="117">
        <v>0</v>
      </c>
      <c r="G34" s="124">
        <f t="shared" ref="G34:G35" si="4">-F34*E34</f>
        <v>0</v>
      </c>
      <c r="H34" s="124">
        <v>0</v>
      </c>
      <c r="I34" s="117">
        <f t="shared" si="3"/>
        <v>0</v>
      </c>
      <c r="L34" s="116"/>
      <c r="M34" s="116"/>
      <c r="N34" s="116"/>
    </row>
    <row r="35" spans="1:14" ht="12.95">
      <c r="A35" s="4">
        <v>3</v>
      </c>
      <c r="B35" s="1">
        <f>'7mn Statement'!H41</f>
        <v>2632377.1220833333</v>
      </c>
      <c r="C35" s="91"/>
      <c r="D35" s="91" t="s">
        <v>74</v>
      </c>
      <c r="E35" s="123">
        <v>0.95</v>
      </c>
      <c r="F35" s="117">
        <v>0</v>
      </c>
      <c r="G35" s="124">
        <f t="shared" si="4"/>
        <v>0</v>
      </c>
      <c r="H35" s="124">
        <f>-F35*$E$43</f>
        <v>0</v>
      </c>
      <c r="I35" s="117">
        <f t="shared" si="3"/>
        <v>0</v>
      </c>
      <c r="M35" s="116"/>
      <c r="N35" s="116"/>
    </row>
    <row r="36" spans="1:14" ht="12.75">
      <c r="A36" s="4"/>
      <c r="B36" s="1"/>
      <c r="C36" s="91"/>
      <c r="D36" s="91"/>
      <c r="E36" s="123"/>
      <c r="F36" s="117"/>
      <c r="G36" s="124"/>
      <c r="H36" s="124"/>
      <c r="I36" s="117"/>
      <c r="M36" s="116"/>
      <c r="N36" s="116"/>
    </row>
    <row r="37" spans="1:14" ht="12.95">
      <c r="A37" s="89" t="s">
        <v>75</v>
      </c>
      <c r="B37" s="129">
        <f>IRR(B32:B35)</f>
        <v>1.0330514748438713E-2</v>
      </c>
      <c r="C37" s="91"/>
      <c r="D37" s="91" t="s">
        <v>76</v>
      </c>
      <c r="E37" s="123">
        <v>0.5</v>
      </c>
      <c r="F37" s="117">
        <v>0</v>
      </c>
      <c r="G37" s="124">
        <f>-F37*E37</f>
        <v>0</v>
      </c>
      <c r="H37" s="124">
        <f>-F37*$E$43</f>
        <v>0</v>
      </c>
      <c r="I37" s="117">
        <f t="shared" si="3"/>
        <v>0</v>
      </c>
      <c r="L37" s="116"/>
      <c r="M37" s="116"/>
      <c r="N37" s="116"/>
    </row>
    <row r="38" spans="1:14" ht="12.95">
      <c r="A38" s="4"/>
      <c r="B38" s="1"/>
      <c r="C38" s="91"/>
      <c r="D38" s="91" t="s">
        <v>77</v>
      </c>
      <c r="E38" s="123">
        <v>0.3</v>
      </c>
      <c r="F38" s="117">
        <v>0</v>
      </c>
      <c r="G38" s="124">
        <f>-F38*E38</f>
        <v>0</v>
      </c>
      <c r="H38" s="124">
        <f>-F38*$E$43</f>
        <v>0</v>
      </c>
      <c r="I38" s="117">
        <f t="shared" si="3"/>
        <v>0</v>
      </c>
      <c r="L38" s="116"/>
      <c r="M38" s="116"/>
      <c r="N38" s="116"/>
    </row>
    <row r="39" spans="1:14">
      <c r="C39" s="91"/>
      <c r="D39" s="91" t="s">
        <v>78</v>
      </c>
      <c r="E39" s="123">
        <v>0.3</v>
      </c>
      <c r="F39" s="117">
        <v>0</v>
      </c>
      <c r="G39" s="124">
        <f>-F39*E39</f>
        <v>0</v>
      </c>
      <c r="H39" s="124">
        <f>-F39*$E$43</f>
        <v>0</v>
      </c>
      <c r="I39" s="117">
        <f t="shared" si="3"/>
        <v>0</v>
      </c>
      <c r="L39" s="116"/>
      <c r="M39" s="116"/>
      <c r="N39" s="116"/>
    </row>
    <row r="40" spans="1:14" ht="12.95" thickBot="1">
      <c r="C40" s="91"/>
      <c r="D40" s="91" t="s">
        <v>79</v>
      </c>
      <c r="E40" s="123">
        <v>0.85</v>
      </c>
      <c r="F40" s="117">
        <v>0</v>
      </c>
      <c r="G40" s="124">
        <f>-F40*E40</f>
        <v>0</v>
      </c>
      <c r="H40" s="124">
        <v>0</v>
      </c>
      <c r="I40" s="117">
        <f t="shared" si="3"/>
        <v>0</v>
      </c>
      <c r="L40" s="116"/>
      <c r="M40" s="116"/>
      <c r="N40" s="116"/>
    </row>
    <row r="41" spans="1:14" ht="13.5" thickBot="1">
      <c r="A41" s="115"/>
      <c r="B41" s="98"/>
      <c r="C41" s="91"/>
      <c r="D41" s="91"/>
      <c r="E41" s="91"/>
      <c r="F41" s="125">
        <f>SUM(F33:F40)</f>
        <v>0</v>
      </c>
      <c r="G41" s="126">
        <f>SUM(G33:G40)</f>
        <v>0</v>
      </c>
      <c r="H41" s="126">
        <f>SUM(H33:H40)</f>
        <v>0</v>
      </c>
      <c r="I41" s="125">
        <f>SUM(I33:I40)</f>
        <v>0</v>
      </c>
      <c r="L41" s="116"/>
      <c r="M41" s="116"/>
      <c r="N41" s="116"/>
    </row>
    <row r="42" spans="1:14">
      <c r="A42" s="104"/>
      <c r="B42" s="117"/>
      <c r="C42" s="91"/>
      <c r="D42" s="91"/>
      <c r="E42" s="91"/>
      <c r="F42" s="91"/>
      <c r="G42" s="91"/>
      <c r="H42" s="91"/>
      <c r="I42" s="91"/>
      <c r="J42" s="111"/>
      <c r="K42" s="91"/>
    </row>
    <row r="43" spans="1:14">
      <c r="A43" s="104"/>
      <c r="B43" s="117"/>
      <c r="C43" s="91"/>
      <c r="D43" s="91" t="s">
        <v>80</v>
      </c>
      <c r="E43" s="97">
        <v>1.2999999999999999E-2</v>
      </c>
      <c r="F43" s="91"/>
      <c r="G43" s="91"/>
      <c r="H43" s="91"/>
      <c r="I43" s="91"/>
      <c r="J43" s="91"/>
      <c r="K43" s="91"/>
    </row>
    <row r="44" spans="1:14">
      <c r="A44" s="91"/>
      <c r="B44" s="91"/>
      <c r="C44" s="91"/>
      <c r="D44" s="91" t="s">
        <v>81</v>
      </c>
      <c r="E44" s="110">
        <f>AVERAGE(D8:D13)</f>
        <v>4429612.2490277784</v>
      </c>
      <c r="F44" s="91"/>
      <c r="G44" s="91"/>
      <c r="H44" s="91"/>
      <c r="I44" s="91"/>
      <c r="J44" s="91"/>
      <c r="K44" s="91"/>
    </row>
    <row r="45" spans="1:14">
      <c r="A45" s="91"/>
      <c r="B45" s="91"/>
      <c r="C45" s="91"/>
      <c r="D45" s="120" t="s">
        <v>82</v>
      </c>
      <c r="E45" s="135">
        <v>0.5</v>
      </c>
      <c r="F45" s="91"/>
      <c r="G45" s="91"/>
      <c r="H45" s="91"/>
      <c r="I45" s="91"/>
      <c r="J45" s="91"/>
      <c r="K45" s="91"/>
    </row>
    <row r="46" spans="1:14">
      <c r="D46" s="120" t="s">
        <v>83</v>
      </c>
      <c r="E46" s="135">
        <v>0.5</v>
      </c>
    </row>
    <row r="47" spans="1:14">
      <c r="D47" s="91" t="s">
        <v>84</v>
      </c>
      <c r="E47" s="136">
        <v>0.2707</v>
      </c>
    </row>
  </sheetData>
  <pageMargins left="0.7" right="0.7" top="0.75" bottom="0.75" header="0.3" footer="0.3"/>
  <pageSetup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538E-647C-420E-9442-5E2605FE6D1A}">
  <sheetPr>
    <pageSetUpPr fitToPage="1"/>
  </sheetPr>
  <dimension ref="A1:J58"/>
  <sheetViews>
    <sheetView topLeftCell="A36" workbookViewId="0">
      <selection activeCell="J46" sqref="J46"/>
    </sheetView>
  </sheetViews>
  <sheetFormatPr defaultRowHeight="12.6"/>
  <cols>
    <col min="1" max="1" width="11.5703125" customWidth="1"/>
    <col min="2" max="2" width="26.7109375" bestFit="1" customWidth="1"/>
    <col min="3" max="3" width="12.7109375" customWidth="1"/>
    <col min="4" max="4" width="12.28515625" bestFit="1" customWidth="1"/>
    <col min="5" max="5" width="13.7109375" customWidth="1"/>
    <col min="6" max="6" width="8.85546875" customWidth="1"/>
    <col min="7" max="7" width="9" bestFit="1" customWidth="1"/>
    <col min="10" max="10" width="10.85546875" customWidth="1"/>
  </cols>
  <sheetData>
    <row r="1" spans="1:7" ht="12.95">
      <c r="A1" s="3"/>
      <c r="B1" s="20"/>
      <c r="C1" s="1"/>
      <c r="D1" s="1"/>
      <c r="E1" s="1"/>
      <c r="F1" s="1"/>
      <c r="G1" s="1"/>
    </row>
    <row r="2" spans="1:7" ht="12.95">
      <c r="A2" s="3"/>
      <c r="B2" s="20"/>
      <c r="C2" s="1"/>
      <c r="D2" s="1"/>
      <c r="E2" s="1"/>
      <c r="F2" s="1"/>
      <c r="G2" s="1"/>
    </row>
    <row r="3" spans="1:7" ht="13.5" thickBot="1">
      <c r="A3" s="3"/>
      <c r="B3" s="20"/>
      <c r="C3" s="1"/>
      <c r="D3" s="1"/>
      <c r="E3" s="1"/>
      <c r="F3" s="1"/>
      <c r="G3" s="1"/>
    </row>
    <row r="4" spans="1:7" ht="13.5" thickTop="1">
      <c r="A4" s="7"/>
      <c r="B4" s="40"/>
      <c r="C4" s="8"/>
      <c r="D4" s="8"/>
      <c r="E4" s="8"/>
      <c r="F4" s="8"/>
      <c r="G4" s="8"/>
    </row>
    <row r="5" spans="1:7" ht="12.95">
      <c r="A5" s="3"/>
      <c r="B5" s="20"/>
      <c r="C5" s="1"/>
      <c r="D5" s="1"/>
      <c r="E5" s="1"/>
      <c r="F5" s="1"/>
      <c r="G5" s="1"/>
    </row>
    <row r="6" spans="1:7" ht="12.95">
      <c r="A6" s="3"/>
      <c r="B6" s="20"/>
      <c r="C6" s="1"/>
      <c r="D6" s="1"/>
      <c r="E6" s="1"/>
      <c r="F6" s="1"/>
      <c r="G6" s="1"/>
    </row>
    <row r="7" spans="1:7" ht="18">
      <c r="A7" s="21" t="s">
        <v>0</v>
      </c>
      <c r="B7" s="22"/>
      <c r="C7" s="23"/>
      <c r="D7" s="23"/>
      <c r="E7" s="23"/>
      <c r="F7" s="23"/>
      <c r="G7" s="24"/>
    </row>
    <row r="8" spans="1:7" ht="18">
      <c r="A8" s="25" t="s">
        <v>1</v>
      </c>
      <c r="B8" s="26"/>
      <c r="C8" s="27"/>
      <c r="D8" s="27"/>
      <c r="E8" s="27"/>
      <c r="F8" s="27"/>
      <c r="G8" s="28"/>
    </row>
    <row r="9" spans="1:7" ht="12.95">
      <c r="A9" s="4"/>
      <c r="B9" s="20"/>
      <c r="C9" s="2"/>
      <c r="D9" s="2"/>
      <c r="E9" s="2"/>
      <c r="F9" s="2"/>
      <c r="G9" s="2"/>
    </row>
    <row r="10" spans="1:7" ht="12.95">
      <c r="A10" s="4"/>
      <c r="B10" s="20"/>
      <c r="C10" s="1"/>
      <c r="D10" s="2"/>
      <c r="E10" s="2"/>
      <c r="F10" s="2"/>
      <c r="G10" s="2"/>
    </row>
    <row r="11" spans="1:7" ht="12.95">
      <c r="A11" s="29" t="s">
        <v>2</v>
      </c>
      <c r="B11" s="30"/>
      <c r="C11" s="31"/>
      <c r="D11" s="31"/>
      <c r="E11" s="31"/>
      <c r="F11" s="31"/>
      <c r="G11" s="32"/>
    </row>
    <row r="12" spans="1:7" ht="12.95">
      <c r="A12" s="144" t="s">
        <v>3</v>
      </c>
      <c r="B12" s="33"/>
      <c r="C12" s="6"/>
      <c r="D12" s="6" t="s">
        <v>4</v>
      </c>
      <c r="E12" s="34"/>
      <c r="F12" s="34"/>
      <c r="G12" s="35"/>
    </row>
    <row r="13" spans="1:7" ht="12.95">
      <c r="A13" s="145"/>
      <c r="B13" s="33"/>
      <c r="C13" s="6"/>
      <c r="D13" s="6" t="s">
        <v>5</v>
      </c>
      <c r="E13" s="34"/>
      <c r="F13" s="34"/>
      <c r="G13" s="35"/>
    </row>
    <row r="14" spans="1:7" ht="12.95">
      <c r="A14" s="145"/>
      <c r="B14" s="33"/>
      <c r="C14" s="6"/>
      <c r="D14" s="6" t="s">
        <v>6</v>
      </c>
      <c r="E14" s="146"/>
      <c r="F14" s="146"/>
      <c r="G14" s="35"/>
    </row>
    <row r="15" spans="1:7" ht="12.95">
      <c r="A15" s="144"/>
      <c r="B15" s="33"/>
      <c r="C15" s="6"/>
      <c r="D15" s="6"/>
      <c r="E15" s="6"/>
      <c r="F15" s="6"/>
      <c r="G15" s="35"/>
    </row>
    <row r="16" spans="1:7" ht="12.95">
      <c r="A16" s="144"/>
      <c r="B16" s="33"/>
      <c r="C16" s="6"/>
      <c r="D16" s="6"/>
      <c r="E16" s="6"/>
      <c r="F16" s="6"/>
      <c r="G16" s="35"/>
    </row>
    <row r="17" spans="1:7" ht="12.95">
      <c r="A17" s="36"/>
      <c r="B17" s="37"/>
      <c r="C17" s="38"/>
      <c r="D17" s="38"/>
      <c r="E17" s="38"/>
      <c r="F17" s="38"/>
      <c r="G17" s="39"/>
    </row>
    <row r="18" spans="1:7" ht="12.95">
      <c r="A18" s="147"/>
      <c r="B18" s="41"/>
      <c r="C18" s="2"/>
      <c r="D18" s="2"/>
      <c r="E18" s="2"/>
      <c r="F18" s="2"/>
      <c r="G18" s="2"/>
    </row>
    <row r="19" spans="1:7" ht="13.5" thickBot="1">
      <c r="A19" s="4"/>
      <c r="B19" s="20"/>
      <c r="C19" s="2"/>
      <c r="D19" s="2"/>
      <c r="E19" s="2"/>
      <c r="F19" s="2"/>
      <c r="G19" s="2"/>
    </row>
    <row r="20" spans="1:7" ht="13.5" thickTop="1">
      <c r="A20" s="7"/>
      <c r="B20" s="40"/>
      <c r="C20" s="8"/>
      <c r="D20" s="9"/>
      <c r="E20" s="8"/>
      <c r="F20" s="8"/>
      <c r="G20" s="8"/>
    </row>
    <row r="21" spans="1:7" ht="14.45" thickBot="1">
      <c r="A21" s="3"/>
      <c r="B21" s="20"/>
      <c r="C21" s="10"/>
      <c r="D21" s="1"/>
      <c r="E21" s="1"/>
      <c r="F21" s="1"/>
      <c r="G21" s="1"/>
    </row>
    <row r="22" spans="1:7" ht="12.95">
      <c r="A22" s="3"/>
      <c r="B22" s="68" t="s">
        <v>7</v>
      </c>
      <c r="C22" s="69" t="s">
        <v>8</v>
      </c>
      <c r="D22" s="70"/>
      <c r="E22" s="1"/>
      <c r="F22" s="1"/>
      <c r="G22" s="1"/>
    </row>
    <row r="23" spans="1:7" ht="12.95">
      <c r="A23" s="3"/>
      <c r="B23" s="71" t="s">
        <v>9</v>
      </c>
      <c r="C23" s="72">
        <v>10000000</v>
      </c>
      <c r="D23" s="73"/>
      <c r="E23" s="1"/>
      <c r="F23" s="1"/>
      <c r="G23" s="1"/>
    </row>
    <row r="24" spans="1:7" ht="12.95">
      <c r="A24" s="3"/>
      <c r="B24" s="71" t="s">
        <v>10</v>
      </c>
      <c r="C24" s="72">
        <v>3000000</v>
      </c>
      <c r="D24" s="73"/>
      <c r="E24" s="1"/>
      <c r="F24" s="1"/>
      <c r="G24" s="1"/>
    </row>
    <row r="25" spans="1:7" ht="12.95">
      <c r="A25" s="3"/>
      <c r="B25" s="71" t="s">
        <v>11</v>
      </c>
      <c r="C25" s="82">
        <v>45154</v>
      </c>
      <c r="D25" s="73"/>
      <c r="E25" s="1"/>
      <c r="F25" s="1"/>
      <c r="G25" s="1"/>
    </row>
    <row r="26" spans="1:7" ht="12.95">
      <c r="A26" s="3"/>
      <c r="B26" s="71" t="s">
        <v>12</v>
      </c>
      <c r="C26" s="74" t="s">
        <v>13</v>
      </c>
      <c r="D26" s="73"/>
      <c r="E26" s="1"/>
      <c r="F26" s="1"/>
      <c r="G26" s="1"/>
    </row>
    <row r="27" spans="1:7" ht="20.100000000000001">
      <c r="A27" s="3"/>
      <c r="B27" s="151" t="s">
        <v>14</v>
      </c>
      <c r="C27" s="152">
        <v>0</v>
      </c>
      <c r="D27" s="73"/>
      <c r="E27" s="1"/>
      <c r="F27" s="153"/>
      <c r="G27" s="1"/>
    </row>
    <row r="28" spans="1:7" ht="12.95">
      <c r="A28" s="3"/>
      <c r="B28" s="71" t="s">
        <v>15</v>
      </c>
      <c r="C28" s="72">
        <v>1</v>
      </c>
      <c r="D28" s="73"/>
      <c r="E28" s="1"/>
      <c r="F28" s="1"/>
      <c r="G28" s="1"/>
    </row>
    <row r="29" spans="1:7" ht="12.95">
      <c r="A29" s="3"/>
      <c r="B29" s="71" t="s">
        <v>16</v>
      </c>
      <c r="C29" s="75">
        <v>3</v>
      </c>
      <c r="D29" s="73"/>
      <c r="E29" s="1"/>
      <c r="F29" s="1"/>
      <c r="G29" s="1"/>
    </row>
    <row r="30" spans="1:7" ht="12.95">
      <c r="A30" s="3"/>
      <c r="B30" s="71" t="s">
        <v>17</v>
      </c>
      <c r="C30" s="154">
        <v>0</v>
      </c>
      <c r="D30" s="73"/>
      <c r="E30" s="1"/>
      <c r="F30" s="1"/>
      <c r="G30" s="1"/>
    </row>
    <row r="31" spans="1:7" ht="13.5" thickBot="1">
      <c r="A31" s="3"/>
      <c r="B31" s="79" t="s">
        <v>18</v>
      </c>
      <c r="C31" s="77" t="s">
        <v>8</v>
      </c>
      <c r="D31" s="78"/>
      <c r="E31" s="1"/>
      <c r="F31" s="1"/>
      <c r="G31" s="1"/>
    </row>
    <row r="32" spans="1:7" ht="13.5" thickBot="1">
      <c r="A32" s="3"/>
      <c r="B32" s="43"/>
      <c r="C32" s="11"/>
      <c r="D32" s="1"/>
      <c r="E32" s="11"/>
      <c r="F32" s="11"/>
      <c r="G32" s="1"/>
    </row>
    <row r="33" spans="1:10" ht="3.75" customHeight="1" thickTop="1">
      <c r="A33" s="7"/>
      <c r="B33" s="40"/>
      <c r="C33" s="8"/>
      <c r="D33" s="9"/>
      <c r="E33" s="8"/>
      <c r="F33" s="8"/>
      <c r="G33" s="8"/>
    </row>
    <row r="34" spans="1:10" ht="12.95">
      <c r="A34" s="3"/>
      <c r="B34" s="20"/>
      <c r="C34" s="1"/>
      <c r="D34" s="1"/>
      <c r="E34" s="1"/>
      <c r="F34" s="1"/>
      <c r="G34" s="1"/>
    </row>
    <row r="35" spans="1:10" ht="13.5" thickBot="1">
      <c r="A35" s="44"/>
      <c r="B35" s="45"/>
      <c r="C35" s="46"/>
      <c r="D35" s="46"/>
      <c r="E35" s="46"/>
      <c r="F35" s="46"/>
      <c r="G35" s="46"/>
    </row>
    <row r="36" spans="1:10" ht="14.1" thickTop="1" thickBot="1">
      <c r="A36" s="47"/>
      <c r="B36" s="48"/>
      <c r="C36" s="214" t="s">
        <v>8</v>
      </c>
      <c r="D36" s="215"/>
      <c r="E36" s="215"/>
      <c r="F36" s="215"/>
      <c r="G36" s="216"/>
    </row>
    <row r="37" spans="1:10" ht="14.1" thickTop="1" thickBot="1">
      <c r="A37" s="52" t="s">
        <v>19</v>
      </c>
      <c r="B37" s="53" t="s">
        <v>20</v>
      </c>
      <c r="C37" s="54" t="s">
        <v>85</v>
      </c>
      <c r="D37" s="54" t="s">
        <v>22</v>
      </c>
      <c r="E37" s="55" t="s">
        <v>23</v>
      </c>
      <c r="F37" s="55" t="s">
        <v>24</v>
      </c>
      <c r="G37" s="56" t="s">
        <v>25</v>
      </c>
    </row>
    <row r="38" spans="1:10" ht="13.5" thickTop="1">
      <c r="A38" s="12"/>
      <c r="B38" s="57"/>
      <c r="C38" s="14"/>
      <c r="D38" s="14"/>
      <c r="E38" s="15"/>
      <c r="F38" s="15"/>
      <c r="G38" s="13"/>
      <c r="J38" s="210">
        <f>-SUM(C39)</f>
        <v>-3000000</v>
      </c>
    </row>
    <row r="39" spans="1:10" ht="12.95">
      <c r="A39" s="12">
        <f>C25</f>
        <v>45154</v>
      </c>
      <c r="B39" s="57" t="s">
        <v>26</v>
      </c>
      <c r="C39" s="14">
        <f>C24</f>
        <v>3000000</v>
      </c>
      <c r="D39" s="14">
        <v>0</v>
      </c>
      <c r="E39" s="156">
        <f>C39</f>
        <v>3000000</v>
      </c>
      <c r="F39" s="156">
        <v>0</v>
      </c>
      <c r="G39" s="16">
        <f>G38-D39+E39+F39</f>
        <v>3000000</v>
      </c>
      <c r="J39" s="210">
        <f>-SUM(E40:E41)</f>
        <v>721290.05333333334</v>
      </c>
    </row>
    <row r="40" spans="1:10" ht="12.95">
      <c r="A40" s="12">
        <v>45337</v>
      </c>
      <c r="B40" s="57" t="s">
        <v>27</v>
      </c>
      <c r="C40" s="14">
        <f>-C39/6</f>
        <v>-500000</v>
      </c>
      <c r="D40" s="14">
        <f>-G39*E53*(184/360)</f>
        <v>-221290.05333333332</v>
      </c>
      <c r="E40" s="156">
        <f>C40+D40-F40</f>
        <v>-721290.05333333334</v>
      </c>
      <c r="F40" s="156">
        <f>D40*$C$27</f>
        <v>0</v>
      </c>
      <c r="G40" s="16">
        <f>G39-D40+E40-F40</f>
        <v>2500000</v>
      </c>
      <c r="J40" s="210">
        <f>-SUM(E42:E44)</f>
        <v>1793501.8574999999</v>
      </c>
    </row>
    <row r="41" spans="1:10" ht="12.95">
      <c r="A41" s="158">
        <v>45519</v>
      </c>
      <c r="B41" s="159" t="s">
        <v>28</v>
      </c>
      <c r="C41" s="160">
        <f>C40</f>
        <v>-500000</v>
      </c>
      <c r="D41" s="192">
        <f>-G40*E54*(176/360)</f>
        <v>-174087.83333333331</v>
      </c>
      <c r="E41" s="162"/>
      <c r="F41" s="162">
        <f t="shared" ref="F41:F45" si="0">D41*$C$27</f>
        <v>0</v>
      </c>
      <c r="G41" s="191">
        <f t="shared" ref="G41:G45" si="1">G40-D41+E41-F41</f>
        <v>2674087.8333333335</v>
      </c>
      <c r="J41" s="193">
        <f>-SUM(E45)</f>
        <v>552833.95250000001</v>
      </c>
    </row>
    <row r="42" spans="1:10" ht="12.95">
      <c r="A42" s="12">
        <v>45703</v>
      </c>
      <c r="B42" s="57" t="s">
        <v>29</v>
      </c>
      <c r="C42" s="14">
        <f t="shared" ref="C42:C45" si="2">C41</f>
        <v>-500000</v>
      </c>
      <c r="D42" s="14">
        <f>-G41*E55*(180/360)</f>
        <v>-120333.9525</v>
      </c>
      <c r="E42" s="156">
        <f t="shared" ref="E42:E45" si="3">C42+D42-F42</f>
        <v>-620333.95250000001</v>
      </c>
      <c r="F42" s="156">
        <f t="shared" si="0"/>
        <v>0</v>
      </c>
      <c r="G42" s="16">
        <f t="shared" si="1"/>
        <v>2174087.8333333335</v>
      </c>
      <c r="J42" s="211">
        <f>IRR(J38:J41)</f>
        <v>1.1540528819189211E-2</v>
      </c>
    </row>
    <row r="43" spans="1:10" ht="12.95">
      <c r="A43" s="12">
        <v>45884</v>
      </c>
      <c r="B43" s="57" t="s">
        <v>30</v>
      </c>
      <c r="C43" s="14">
        <f t="shared" si="2"/>
        <v>-500000</v>
      </c>
      <c r="D43" s="14">
        <f>-G42*E56*(180/360)</f>
        <v>-97833.952499999999</v>
      </c>
      <c r="E43" s="156">
        <f t="shared" si="3"/>
        <v>-597833.95250000001</v>
      </c>
      <c r="F43" s="156">
        <f t="shared" si="0"/>
        <v>0</v>
      </c>
      <c r="G43" s="16">
        <f t="shared" si="1"/>
        <v>1674087.8333333335</v>
      </c>
    </row>
    <row r="44" spans="1:10" ht="12.95">
      <c r="A44" s="12">
        <v>46249</v>
      </c>
      <c r="B44" s="57" t="s">
        <v>31</v>
      </c>
      <c r="C44" s="14">
        <f t="shared" si="2"/>
        <v>-500000</v>
      </c>
      <c r="D44" s="14">
        <f>-G43*E57*(180/360)</f>
        <v>-75333.952499999999</v>
      </c>
      <c r="E44" s="156">
        <f t="shared" si="3"/>
        <v>-575333.95250000001</v>
      </c>
      <c r="F44" s="156">
        <f t="shared" si="0"/>
        <v>0</v>
      </c>
      <c r="G44" s="16">
        <f t="shared" si="1"/>
        <v>1174087.8333333335</v>
      </c>
    </row>
    <row r="45" spans="1:10" ht="12.95">
      <c r="A45" s="12">
        <v>46068</v>
      </c>
      <c r="B45" s="57" t="s">
        <v>32</v>
      </c>
      <c r="C45" s="14">
        <f t="shared" si="2"/>
        <v>-500000</v>
      </c>
      <c r="D45" s="14">
        <f>-G44*E58*(180/360)</f>
        <v>-52833.952500000007</v>
      </c>
      <c r="E45" s="156">
        <f t="shared" si="3"/>
        <v>-552833.95250000001</v>
      </c>
      <c r="F45" s="156">
        <f t="shared" si="0"/>
        <v>0</v>
      </c>
      <c r="G45" s="16">
        <f t="shared" si="1"/>
        <v>674087.83333333337</v>
      </c>
    </row>
    <row r="46" spans="1:10" ht="12.95">
      <c r="A46" s="12"/>
      <c r="B46" s="57"/>
      <c r="C46" s="14"/>
      <c r="D46" s="14"/>
      <c r="E46" s="15"/>
      <c r="F46" s="15"/>
      <c r="G46" s="194"/>
    </row>
    <row r="47" spans="1:10" ht="13.5" thickBot="1">
      <c r="A47" s="65"/>
      <c r="B47" s="66"/>
      <c r="C47" s="67"/>
      <c r="D47" s="67"/>
      <c r="E47" s="67"/>
      <c r="F47" s="67"/>
      <c r="G47" s="67"/>
    </row>
    <row r="48" spans="1:10" ht="13.5" thickTop="1">
      <c r="A48" s="3"/>
      <c r="B48" s="20"/>
      <c r="C48" s="1"/>
      <c r="D48" s="1"/>
      <c r="E48" s="164"/>
      <c r="F48" s="1"/>
      <c r="G48" s="1"/>
    </row>
    <row r="49" spans="1:7" ht="12.95">
      <c r="A49" s="3"/>
      <c r="B49" s="20"/>
      <c r="C49" s="1"/>
      <c r="D49" s="1"/>
      <c r="E49" s="164"/>
      <c r="F49" s="1"/>
      <c r="G49" s="1"/>
    </row>
    <row r="50" spans="1:7" ht="12.95">
      <c r="A50" s="3"/>
      <c r="B50" s="20"/>
      <c r="C50" s="1"/>
      <c r="D50" s="1"/>
      <c r="E50" s="1"/>
      <c r="F50" s="1"/>
      <c r="G50" s="1"/>
    </row>
    <row r="51" spans="1:7" ht="12.95">
      <c r="A51" s="3"/>
      <c r="B51" s="20"/>
      <c r="C51" s="1"/>
      <c r="D51" s="1"/>
      <c r="E51" s="1"/>
      <c r="F51" s="1"/>
      <c r="G51" s="1"/>
    </row>
    <row r="52" spans="1:7" ht="26.1">
      <c r="A52" s="166"/>
      <c r="B52" s="195" t="s">
        <v>34</v>
      </c>
      <c r="C52" s="196" t="s">
        <v>35</v>
      </c>
      <c r="D52" s="197" t="s">
        <v>36</v>
      </c>
      <c r="E52" s="198" t="s">
        <v>37</v>
      </c>
      <c r="F52" s="199"/>
      <c r="G52" s="171" t="s">
        <v>38</v>
      </c>
    </row>
    <row r="53" spans="1:7" ht="3.75" customHeight="1">
      <c r="A53" s="175">
        <v>45154</v>
      </c>
      <c r="B53" s="200">
        <v>5.4319600000000003E-2</v>
      </c>
      <c r="C53" s="201">
        <v>0.09</v>
      </c>
      <c r="D53" s="202">
        <f>B53+C53</f>
        <v>0.14431959999999999</v>
      </c>
      <c r="E53" s="203">
        <f>D53/(1-$C$27)</f>
        <v>0.14431959999999999</v>
      </c>
      <c r="F53" s="1"/>
      <c r="G53" s="1"/>
    </row>
    <row r="54" spans="1:7" ht="12.95">
      <c r="A54" s="175">
        <v>45337</v>
      </c>
      <c r="B54" s="204">
        <v>5.2435500000000003E-2</v>
      </c>
      <c r="C54" s="201">
        <f>C53</f>
        <v>0.09</v>
      </c>
      <c r="D54" s="202">
        <f t="shared" ref="D54:D58" si="4">B54+C54</f>
        <v>0.14243549999999999</v>
      </c>
      <c r="E54" s="203">
        <f t="shared" ref="E54:E58" si="5">D54/(1-$C$27)</f>
        <v>0.14243549999999999</v>
      </c>
      <c r="F54" s="1"/>
      <c r="G54" s="1"/>
    </row>
    <row r="55" spans="1:7" ht="12.95">
      <c r="A55" s="179">
        <v>45519</v>
      </c>
      <c r="B55" s="204"/>
      <c r="C55" s="201">
        <f t="shared" ref="C55:C58" si="6">C54</f>
        <v>0.09</v>
      </c>
      <c r="D55" s="202">
        <f t="shared" si="4"/>
        <v>0.09</v>
      </c>
      <c r="E55" s="203">
        <f t="shared" si="5"/>
        <v>0.09</v>
      </c>
      <c r="F55" s="1"/>
      <c r="G55" s="1"/>
    </row>
    <row r="56" spans="1:7" ht="12.95">
      <c r="A56" s="179">
        <v>45703</v>
      </c>
      <c r="B56" s="205"/>
      <c r="C56" s="201">
        <f t="shared" si="6"/>
        <v>0.09</v>
      </c>
      <c r="D56" s="202">
        <f t="shared" si="4"/>
        <v>0.09</v>
      </c>
      <c r="E56" s="203">
        <f t="shared" si="5"/>
        <v>0.09</v>
      </c>
      <c r="F56" s="1"/>
      <c r="G56" s="1"/>
    </row>
    <row r="57" spans="1:7" ht="12.95">
      <c r="A57" s="179">
        <v>45884</v>
      </c>
      <c r="C57" s="201">
        <f t="shared" si="6"/>
        <v>0.09</v>
      </c>
      <c r="D57" s="202">
        <f t="shared" si="4"/>
        <v>0.09</v>
      </c>
      <c r="E57" s="203">
        <f t="shared" si="5"/>
        <v>0.09</v>
      </c>
    </row>
    <row r="58" spans="1:7" ht="12.95">
      <c r="A58" s="187">
        <v>46249</v>
      </c>
      <c r="B58" s="206"/>
      <c r="C58" s="207">
        <f t="shared" si="6"/>
        <v>0.09</v>
      </c>
      <c r="D58" s="208">
        <f t="shared" si="4"/>
        <v>0.09</v>
      </c>
      <c r="E58" s="209">
        <f t="shared" si="5"/>
        <v>0.09</v>
      </c>
    </row>
  </sheetData>
  <mergeCells count="1">
    <mergeCell ref="C36:G36"/>
  </mergeCells>
  <printOptions horizontalCentered="1"/>
  <pageMargins left="0.59055118110236227" right="0.59055118110236227" top="0.59055118110236227" bottom="0.59055118110236227" header="0.51181102362204722" footer="0.51181102362204722"/>
  <pageSetup paperSize="9" scale="75"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C51A-4C8B-469C-9A04-F03BB39CB4E7}">
  <sheetPr>
    <pageSetUpPr fitToPage="1"/>
  </sheetPr>
  <dimension ref="A1:N47"/>
  <sheetViews>
    <sheetView topLeftCell="A11" workbookViewId="0">
      <selection activeCell="A20" sqref="A20"/>
    </sheetView>
  </sheetViews>
  <sheetFormatPr defaultRowHeight="12.6"/>
  <cols>
    <col min="1" max="1" width="13.28515625" customWidth="1"/>
    <col min="2" max="3" width="16.85546875" customWidth="1"/>
    <col min="4" max="4" width="18.85546875" customWidth="1"/>
    <col min="5" max="10" width="16.85546875" customWidth="1"/>
    <col min="11" max="11" width="16" customWidth="1"/>
    <col min="12" max="12" width="12.85546875" customWidth="1"/>
  </cols>
  <sheetData>
    <row r="1" spans="1:11" ht="14.1">
      <c r="A1" s="90" t="s">
        <v>39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1" ht="14.1">
      <c r="A2" s="90" t="s">
        <v>40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11" ht="14.1">
      <c r="A3" s="90" t="s">
        <v>86</v>
      </c>
      <c r="B3" s="91"/>
      <c r="C3" s="91"/>
      <c r="D3" s="91"/>
      <c r="E3" s="91"/>
      <c r="F3" s="91"/>
      <c r="G3" s="91"/>
      <c r="H3" s="91"/>
      <c r="I3" s="91"/>
      <c r="J3" s="91"/>
      <c r="K3" s="91"/>
    </row>
    <row r="4" spans="1:11">
      <c r="A4" s="91"/>
      <c r="B4" s="91"/>
      <c r="C4" s="91"/>
      <c r="D4" s="91"/>
      <c r="E4" s="91"/>
      <c r="F4" s="104" t="s">
        <v>42</v>
      </c>
      <c r="G4" s="91"/>
      <c r="H4" s="91"/>
      <c r="J4" s="91"/>
      <c r="K4" s="91"/>
    </row>
    <row r="5" spans="1:11">
      <c r="A5" s="91"/>
      <c r="B5" s="91"/>
      <c r="C5" s="91"/>
      <c r="D5" s="110">
        <f>D8+IFRS9!D8</f>
        <v>8913463.2638888899</v>
      </c>
      <c r="E5" s="91"/>
      <c r="F5" s="128">
        <v>0.01</v>
      </c>
      <c r="G5" s="91"/>
      <c r="H5" s="91"/>
      <c r="J5" s="91"/>
      <c r="K5" s="91"/>
    </row>
    <row r="6" spans="1:11">
      <c r="A6" s="91"/>
      <c r="B6" s="92"/>
      <c r="C6" s="92"/>
      <c r="D6" s="91"/>
      <c r="E6" s="91"/>
      <c r="F6" s="91"/>
      <c r="G6" s="91"/>
      <c r="H6" s="91"/>
      <c r="I6" s="91"/>
      <c r="J6" s="91"/>
      <c r="K6" s="91"/>
    </row>
    <row r="7" spans="1:11" ht="26.1">
      <c r="A7" s="93"/>
      <c r="B7" s="94" t="s">
        <v>43</v>
      </c>
      <c r="C7" s="94" t="s">
        <v>44</v>
      </c>
      <c r="D7" s="95" t="s">
        <v>45</v>
      </c>
      <c r="E7" s="95" t="s">
        <v>46</v>
      </c>
      <c r="F7" s="134" t="s">
        <v>47</v>
      </c>
      <c r="G7" s="95" t="s">
        <v>48</v>
      </c>
      <c r="H7" s="134" t="s">
        <v>49</v>
      </c>
      <c r="I7" s="95" t="s">
        <v>50</v>
      </c>
      <c r="J7" s="96" t="s">
        <v>51</v>
      </c>
      <c r="K7" s="95" t="s">
        <v>52</v>
      </c>
    </row>
    <row r="8" spans="1:11">
      <c r="A8" s="119">
        <v>45473</v>
      </c>
      <c r="B8" s="97">
        <v>1</v>
      </c>
      <c r="C8" s="92"/>
      <c r="D8" s="98">
        <f>'3mn Statement'!G41</f>
        <v>2674087.8333333335</v>
      </c>
      <c r="E8" s="98"/>
      <c r="F8" s="91"/>
      <c r="G8" s="91"/>
      <c r="H8" s="91"/>
      <c r="I8" s="91"/>
      <c r="J8" s="91"/>
      <c r="K8" s="91"/>
    </row>
    <row r="9" spans="1:11">
      <c r="A9" s="99">
        <v>1</v>
      </c>
      <c r="B9" s="100">
        <f>B8-C9</f>
        <v>0.95232234950191774</v>
      </c>
      <c r="C9" s="101">
        <f>B8*$C$20</f>
        <v>4.7677650498082258E-2</v>
      </c>
      <c r="D9" s="102">
        <f>'3mn Statement'!G41-'3mn Statement'!D42</f>
        <v>2794421.7858333336</v>
      </c>
      <c r="E9" s="102">
        <f>$I$40</f>
        <v>0</v>
      </c>
      <c r="F9" s="103">
        <f>MAX(($F$5),(D9-E9)/D9)</f>
        <v>1</v>
      </c>
      <c r="G9" s="127">
        <f>$E$44</f>
        <v>0.5</v>
      </c>
      <c r="H9" s="127">
        <f>$E$46</f>
        <v>0.2707</v>
      </c>
      <c r="I9" s="127">
        <f>$E$45</f>
        <v>0.5</v>
      </c>
      <c r="J9" s="102">
        <f>C9*D9*((F9*G9)+(H9*I9))</f>
        <v>84648.611446071955</v>
      </c>
      <c r="K9" s="102">
        <f>J9/(1+$C$21)^(A9/4)</f>
        <v>84406.135440919694</v>
      </c>
    </row>
    <row r="10" spans="1:11">
      <c r="A10" s="99">
        <v>2</v>
      </c>
      <c r="B10" s="100">
        <f t="shared" ref="B10:B13" si="0">B9-C10</f>
        <v>0.90691785736085273</v>
      </c>
      <c r="C10" s="101">
        <f>B9*$C$20</f>
        <v>4.5404492141064977E-2</v>
      </c>
      <c r="D10" s="102">
        <f>'3mn Statement'!G42-'3mn Statement'!D43</f>
        <v>2271921.7858333336</v>
      </c>
      <c r="E10" s="102">
        <f>$I$40</f>
        <v>0</v>
      </c>
      <c r="F10" s="103">
        <f>MAX(($F$5),(D10-E10)/D10)</f>
        <v>1</v>
      </c>
      <c r="G10" s="127">
        <f>$E$44</f>
        <v>0.5</v>
      </c>
      <c r="H10" s="127">
        <f>$E$46</f>
        <v>0.2707</v>
      </c>
      <c r="I10" s="127">
        <f>$E$45</f>
        <v>0.5</v>
      </c>
      <c r="J10" s="102">
        <f t="shared" ref="J10:J13" si="1">C10*D10*((F10*G10)+(H10*I10))</f>
        <v>65539.818251644276</v>
      </c>
      <c r="K10" s="102">
        <f>J10/(1+$C$21)^(A10/4)</f>
        <v>65164.878321660792</v>
      </c>
    </row>
    <row r="11" spans="1:11">
      <c r="A11" s="99">
        <v>3</v>
      </c>
      <c r="B11" s="100">
        <f t="shared" si="0"/>
        <v>0.86367814472713234</v>
      </c>
      <c r="C11" s="101">
        <f>B10*$C$20</f>
        <v>4.3239712633720354E-2</v>
      </c>
      <c r="D11" s="102">
        <f>'3mn Statement'!G43-'3mn Statement'!D44</f>
        <v>1749421.7858333334</v>
      </c>
      <c r="E11" s="102">
        <f>$I$40</f>
        <v>0</v>
      </c>
      <c r="F11" s="103">
        <f t="shared" ref="F11:F13" si="2">MAX(($F$5),(D11-E11)/D11)</f>
        <v>1</v>
      </c>
      <c r="G11" s="127">
        <f>$E$44</f>
        <v>0.5</v>
      </c>
      <c r="H11" s="127">
        <f>$E$46</f>
        <v>0.2707</v>
      </c>
      <c r="I11" s="127">
        <f>$E$45</f>
        <v>0.5</v>
      </c>
      <c r="J11" s="102">
        <f t="shared" si="1"/>
        <v>48060.730085426148</v>
      </c>
      <c r="K11" s="102">
        <f>J11/(1+$C$21)^(A11/4)</f>
        <v>47648.902040959096</v>
      </c>
    </row>
    <row r="12" spans="1:11">
      <c r="A12" s="99">
        <v>4</v>
      </c>
      <c r="B12" s="100">
        <f t="shared" si="0"/>
        <v>0.82250000000000001</v>
      </c>
      <c r="C12" s="101">
        <f>B11*$C$20</f>
        <v>4.1178144727132319E-2</v>
      </c>
      <c r="D12" s="102">
        <f>'3mn Statement'!G44-'3mn Statement'!D45</f>
        <v>1226921.7858333334</v>
      </c>
      <c r="E12" s="102">
        <f>$I$40</f>
        <v>0</v>
      </c>
      <c r="F12" s="103">
        <f t="shared" si="2"/>
        <v>1</v>
      </c>
      <c r="G12" s="127">
        <f>$E$44</f>
        <v>0.5</v>
      </c>
      <c r="H12" s="127">
        <f>$E$46</f>
        <v>0.2707</v>
      </c>
      <c r="I12" s="127">
        <f>$E$45</f>
        <v>0.5</v>
      </c>
      <c r="J12" s="102">
        <f t="shared" si="1"/>
        <v>32099.383246860143</v>
      </c>
      <c r="K12" s="102">
        <f>J12/(1+$C$21)^(A12/4)</f>
        <v>31733.165733192131</v>
      </c>
    </row>
    <row r="13" spans="1:11">
      <c r="A13" s="104">
        <v>5</v>
      </c>
      <c r="B13" s="105">
        <f t="shared" si="0"/>
        <v>0.78328513246532738</v>
      </c>
      <c r="C13" s="106">
        <f>B12*$C$20</f>
        <v>3.9214867534672661E-2</v>
      </c>
      <c r="D13" s="102">
        <f>'3mn Statement'!G45-'3mn Statement'!D46</f>
        <v>674087.83333333337</v>
      </c>
      <c r="E13" s="107">
        <f>$I$40</f>
        <v>0</v>
      </c>
      <c r="F13" s="108">
        <f t="shared" si="2"/>
        <v>1</v>
      </c>
      <c r="G13" s="97">
        <f>$E$44</f>
        <v>0.5</v>
      </c>
      <c r="H13" s="97">
        <f>$E$46</f>
        <v>0.2707</v>
      </c>
      <c r="I13" s="97">
        <f>$E$45</f>
        <v>0.5</v>
      </c>
      <c r="J13" s="107">
        <f t="shared" si="1"/>
        <v>16795.010325504059</v>
      </c>
      <c r="K13" s="107">
        <f>J13/(1+$C$21)^(A13/4)</f>
        <v>16555.837882773456</v>
      </c>
    </row>
    <row r="14" spans="1:11" ht="13.5" thickBot="1">
      <c r="A14" s="104"/>
      <c r="B14" s="105"/>
      <c r="C14" s="106"/>
      <c r="D14" s="107"/>
      <c r="E14" s="107"/>
      <c r="F14" s="108"/>
      <c r="J14" s="107"/>
      <c r="K14" s="109">
        <f>SUM(K9:K13)</f>
        <v>245508.9194195052</v>
      </c>
    </row>
    <row r="15" spans="1:11">
      <c r="A15" s="91"/>
      <c r="B15" s="91"/>
      <c r="C15" s="91"/>
      <c r="D15" s="91"/>
      <c r="E15" s="91"/>
      <c r="F15" s="91"/>
      <c r="G15" s="107"/>
      <c r="H15" s="107"/>
      <c r="I15" s="107"/>
      <c r="J15" s="91"/>
    </row>
    <row r="16" spans="1:11">
      <c r="A16" s="91"/>
      <c r="B16" s="91"/>
      <c r="C16" s="91"/>
      <c r="D16" s="91"/>
      <c r="E16" s="91"/>
      <c r="F16" s="91"/>
      <c r="G16" s="91"/>
      <c r="H16" s="91"/>
      <c r="I16" s="91"/>
      <c r="J16" s="110"/>
      <c r="K16" s="91"/>
    </row>
    <row r="17" spans="1:14" ht="14.1">
      <c r="A17" s="90" t="s">
        <v>53</v>
      </c>
      <c r="B17" s="91"/>
      <c r="C17" s="91"/>
      <c r="D17" s="91"/>
      <c r="E17" s="91"/>
      <c r="F17" s="91"/>
      <c r="K17" s="91"/>
    </row>
    <row r="18" spans="1:14" ht="14.45" thickBot="1">
      <c r="A18" s="91" t="s">
        <v>54</v>
      </c>
      <c r="B18" s="91"/>
      <c r="C18" s="104" t="s">
        <v>55</v>
      </c>
      <c r="D18" s="104"/>
      <c r="E18" s="91"/>
      <c r="F18" s="91"/>
      <c r="H18" s="90" t="s">
        <v>56</v>
      </c>
      <c r="J18" s="91"/>
      <c r="K18" s="91"/>
    </row>
    <row r="19" spans="1:14" ht="13.5" thickBot="1">
      <c r="A19" s="112" t="s">
        <v>57</v>
      </c>
      <c r="B19" s="92"/>
      <c r="C19" s="121">
        <v>0.17749999999999999</v>
      </c>
      <c r="D19" s="91"/>
      <c r="E19" s="112"/>
      <c r="F19" s="91"/>
      <c r="I19" s="112" t="s">
        <v>58</v>
      </c>
      <c r="K19" s="109">
        <f>SUM(K9:K12)</f>
        <v>228953.08153673174</v>
      </c>
    </row>
    <row r="20" spans="1:14" ht="13.5" thickBot="1">
      <c r="A20" s="112" t="s">
        <v>59</v>
      </c>
      <c r="B20" s="92"/>
      <c r="C20" s="113">
        <f>1-(1-C19)^(1/4)</f>
        <v>4.7677650498082258E-2</v>
      </c>
      <c r="D20" s="91"/>
      <c r="E20" s="112"/>
      <c r="F20" s="91"/>
      <c r="I20" s="112" t="s">
        <v>60</v>
      </c>
      <c r="K20" s="137">
        <f>K14</f>
        <v>245508.9194195052</v>
      </c>
    </row>
    <row r="21" spans="1:14" ht="12.95">
      <c r="A21" s="112" t="s">
        <v>61</v>
      </c>
      <c r="B21" s="92"/>
      <c r="C21" s="122">
        <f>B37</f>
        <v>1.1540528819189211E-2</v>
      </c>
      <c r="D21" s="91"/>
      <c r="E21" s="112"/>
      <c r="F21" s="91"/>
      <c r="G21" s="91"/>
      <c r="H21" s="91"/>
      <c r="I21" s="91"/>
      <c r="J21" s="91"/>
      <c r="K21" s="91"/>
    </row>
    <row r="22" spans="1:14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</row>
    <row r="23" spans="1:14">
      <c r="A23" s="91"/>
      <c r="B23" s="91"/>
      <c r="C23" s="91"/>
      <c r="D23" s="91"/>
      <c r="E23" s="91"/>
      <c r="F23" s="91"/>
      <c r="G23" s="111"/>
      <c r="H23" s="111"/>
      <c r="I23" s="111"/>
      <c r="J23" s="98"/>
      <c r="K23" s="91"/>
    </row>
    <row r="24" spans="1:14">
      <c r="A24" s="91"/>
      <c r="B24" s="91"/>
      <c r="C24" s="91"/>
      <c r="D24" s="91"/>
      <c r="E24" s="91"/>
      <c r="F24" s="91"/>
      <c r="G24" s="111"/>
      <c r="H24" s="111"/>
      <c r="I24" s="111"/>
      <c r="J24" s="98"/>
      <c r="K24" s="91"/>
    </row>
    <row r="25" spans="1:14">
      <c r="A25" s="91"/>
      <c r="B25" s="91"/>
      <c r="C25" s="91"/>
      <c r="D25" s="91"/>
      <c r="E25" s="91"/>
      <c r="F25" s="91"/>
      <c r="G25" s="111"/>
      <c r="H25" s="111"/>
      <c r="I25" s="111"/>
      <c r="J25" s="98"/>
      <c r="K25" s="91"/>
    </row>
    <row r="26" spans="1:14">
      <c r="A26" s="91"/>
      <c r="B26" s="91"/>
      <c r="C26" s="91"/>
      <c r="D26" s="91"/>
      <c r="E26" s="91"/>
      <c r="F26" s="91"/>
      <c r="G26" s="111"/>
      <c r="H26" s="111"/>
      <c r="I26" s="111"/>
      <c r="J26" s="98"/>
      <c r="K26" s="91"/>
    </row>
    <row r="27" spans="1:14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</row>
    <row r="28" spans="1:14" ht="14.1">
      <c r="A28" s="90" t="s">
        <v>62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</row>
    <row r="29" spans="1:14" ht="14.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</row>
    <row r="30" spans="1:14" ht="12.95">
      <c r="A30" s="114" t="s">
        <v>63</v>
      </c>
      <c r="B30" s="91"/>
      <c r="C30" s="91"/>
      <c r="D30" s="114" t="s">
        <v>64</v>
      </c>
      <c r="E30" s="91"/>
      <c r="F30" s="91"/>
      <c r="G30" s="91"/>
      <c r="H30" s="91"/>
      <c r="I30" s="91"/>
      <c r="J30" s="91"/>
      <c r="K30" s="91"/>
    </row>
    <row r="31" spans="1:14" ht="12.95">
      <c r="A31" s="89" t="s">
        <v>65</v>
      </c>
      <c r="B31" s="89" t="s">
        <v>66</v>
      </c>
      <c r="C31" s="91"/>
      <c r="D31" s="91"/>
      <c r="E31" s="91"/>
      <c r="F31" s="115" t="s">
        <v>67</v>
      </c>
      <c r="G31" s="115" t="s">
        <v>68</v>
      </c>
      <c r="H31" s="115" t="s">
        <v>69</v>
      </c>
      <c r="I31" s="115" t="s">
        <v>70</v>
      </c>
      <c r="L31" s="115"/>
      <c r="M31" s="116"/>
      <c r="N31" s="116"/>
    </row>
    <row r="32" spans="1:14" ht="12.95">
      <c r="A32" s="4">
        <v>0</v>
      </c>
      <c r="B32" s="1">
        <f>'3mn Statement'!J38</f>
        <v>-3000000</v>
      </c>
      <c r="C32" s="91"/>
      <c r="D32" s="114" t="s">
        <v>71</v>
      </c>
      <c r="E32" s="91"/>
      <c r="F32" s="115" t="s">
        <v>8</v>
      </c>
      <c r="G32" s="115" t="s">
        <v>8</v>
      </c>
      <c r="H32" s="115" t="s">
        <v>8</v>
      </c>
      <c r="I32" s="115" t="s">
        <v>8</v>
      </c>
      <c r="L32" s="115"/>
      <c r="M32" s="116"/>
      <c r="N32" s="116"/>
    </row>
    <row r="33" spans="1:14" ht="12.95">
      <c r="A33" s="4">
        <v>1</v>
      </c>
      <c r="B33" s="1">
        <f>'3mn Statement'!J39</f>
        <v>721290.05333333334</v>
      </c>
      <c r="C33" s="91"/>
      <c r="D33" s="91" t="s">
        <v>72</v>
      </c>
      <c r="E33" s="123">
        <v>0.01</v>
      </c>
      <c r="F33" s="117">
        <v>0</v>
      </c>
      <c r="G33" s="124">
        <f>-F33*E33</f>
        <v>0</v>
      </c>
      <c r="H33" s="124">
        <f>-F33*$E$42</f>
        <v>0</v>
      </c>
      <c r="I33" s="117">
        <f t="shared" ref="I33:I39" si="3">SUM(F33:H33)</f>
        <v>0</v>
      </c>
      <c r="L33" s="118"/>
      <c r="M33" s="116"/>
      <c r="N33" s="116"/>
    </row>
    <row r="34" spans="1:14" ht="12.95">
      <c r="A34" s="4">
        <v>2</v>
      </c>
      <c r="B34" s="1">
        <f>'3mn Statement'!J40</f>
        <v>1793501.8574999999</v>
      </c>
      <c r="C34" s="91"/>
      <c r="D34" s="91" t="s">
        <v>73</v>
      </c>
      <c r="E34" s="123">
        <v>0.1</v>
      </c>
      <c r="F34" s="117">
        <v>0</v>
      </c>
      <c r="G34" s="124">
        <f t="shared" ref="G34:G35" si="4">-F34*E34</f>
        <v>0</v>
      </c>
      <c r="H34" s="124">
        <v>0</v>
      </c>
      <c r="I34" s="117">
        <f t="shared" si="3"/>
        <v>0</v>
      </c>
      <c r="L34" s="116"/>
      <c r="M34" s="116"/>
      <c r="N34" s="116"/>
    </row>
    <row r="35" spans="1:14" ht="12.95">
      <c r="A35" s="4">
        <v>3</v>
      </c>
      <c r="B35" s="1">
        <f>'3mn Statement'!J41</f>
        <v>552833.95250000001</v>
      </c>
      <c r="C35" s="91"/>
      <c r="D35" s="91" t="s">
        <v>74</v>
      </c>
      <c r="E35" s="123">
        <v>0.95</v>
      </c>
      <c r="F35" s="117">
        <v>0</v>
      </c>
      <c r="G35" s="124">
        <f t="shared" si="4"/>
        <v>0</v>
      </c>
      <c r="H35" s="124">
        <f>-F35*$E$42</f>
        <v>0</v>
      </c>
      <c r="I35" s="117">
        <f t="shared" si="3"/>
        <v>0</v>
      </c>
      <c r="M35" s="116"/>
      <c r="N35" s="116"/>
    </row>
    <row r="36" spans="1:14" ht="12.95">
      <c r="A36" s="4">
        <v>4</v>
      </c>
      <c r="B36" s="1">
        <f>'3mn Statement'!J42</f>
        <v>1.1540528819189211E-2</v>
      </c>
      <c r="C36" s="91"/>
      <c r="D36" s="91" t="s">
        <v>76</v>
      </c>
      <c r="E36" s="123">
        <v>0.5</v>
      </c>
      <c r="F36" s="117">
        <v>0</v>
      </c>
      <c r="G36" s="124">
        <f>-F36*E36</f>
        <v>0</v>
      </c>
      <c r="H36" s="124">
        <f>-F36*$E$42</f>
        <v>0</v>
      </c>
      <c r="I36" s="117">
        <f t="shared" si="3"/>
        <v>0</v>
      </c>
      <c r="L36" s="116"/>
      <c r="M36" s="116"/>
      <c r="N36" s="116"/>
    </row>
    <row r="37" spans="1:14" ht="12.95">
      <c r="A37" s="89" t="s">
        <v>75</v>
      </c>
      <c r="B37" s="129">
        <f>IRR(B32:B35)</f>
        <v>1.1540528819189211E-2</v>
      </c>
      <c r="C37" s="91"/>
      <c r="D37" s="91" t="s">
        <v>77</v>
      </c>
      <c r="E37" s="123">
        <v>0.3</v>
      </c>
      <c r="F37" s="117">
        <v>0</v>
      </c>
      <c r="G37" s="124">
        <f>-F37*E37</f>
        <v>0</v>
      </c>
      <c r="H37" s="124">
        <f>-F37*$E$42</f>
        <v>0</v>
      </c>
      <c r="I37" s="117">
        <f t="shared" si="3"/>
        <v>0</v>
      </c>
      <c r="L37" s="116"/>
      <c r="M37" s="116"/>
      <c r="N37" s="116"/>
    </row>
    <row r="38" spans="1:14">
      <c r="C38" s="91"/>
      <c r="D38" s="91" t="s">
        <v>78</v>
      </c>
      <c r="E38" s="123">
        <v>0.3</v>
      </c>
      <c r="F38" s="117">
        <v>0</v>
      </c>
      <c r="G38" s="124">
        <f>-F38*E38</f>
        <v>0</v>
      </c>
      <c r="H38" s="124">
        <f>-F38*$E$42</f>
        <v>0</v>
      </c>
      <c r="I38" s="117">
        <f t="shared" si="3"/>
        <v>0</v>
      </c>
      <c r="L38" s="116"/>
      <c r="M38" s="116"/>
      <c r="N38" s="116"/>
    </row>
    <row r="39" spans="1:14" ht="12.95" thickBot="1">
      <c r="C39" s="91"/>
      <c r="D39" s="91" t="s">
        <v>79</v>
      </c>
      <c r="E39" s="123">
        <v>0.85</v>
      </c>
      <c r="F39" s="117">
        <v>0</v>
      </c>
      <c r="G39" s="124">
        <f>-F39*E39</f>
        <v>0</v>
      </c>
      <c r="H39" s="124">
        <v>0</v>
      </c>
      <c r="I39" s="117">
        <f t="shared" si="3"/>
        <v>0</v>
      </c>
      <c r="L39" s="116"/>
      <c r="M39" s="116"/>
      <c r="N39" s="116"/>
    </row>
    <row r="40" spans="1:14" ht="13.5" thickBot="1">
      <c r="A40" s="115"/>
      <c r="B40" s="98"/>
      <c r="C40" s="91"/>
      <c r="D40" s="91"/>
      <c r="E40" s="91"/>
      <c r="F40" s="125">
        <f>SUM(F33:F39)</f>
        <v>0</v>
      </c>
      <c r="G40" s="126">
        <f>SUM(G33:G39)</f>
        <v>0</v>
      </c>
      <c r="H40" s="126">
        <f>SUM(H33:H39)</f>
        <v>0</v>
      </c>
      <c r="I40" s="125">
        <f>SUM(I33:I39)</f>
        <v>0</v>
      </c>
      <c r="L40" s="116"/>
      <c r="M40" s="116"/>
      <c r="N40" s="116"/>
    </row>
    <row r="41" spans="1:14">
      <c r="A41" s="104"/>
      <c r="B41" s="117"/>
      <c r="C41" s="91"/>
      <c r="D41" s="91"/>
      <c r="E41" s="91"/>
      <c r="F41" s="91"/>
      <c r="G41" s="91"/>
      <c r="H41" s="91"/>
      <c r="I41" s="91"/>
      <c r="J41" s="111"/>
      <c r="K41" s="91"/>
    </row>
    <row r="42" spans="1:14">
      <c r="A42" s="104"/>
      <c r="B42" s="117"/>
      <c r="C42" s="91"/>
      <c r="D42" s="91" t="s">
        <v>80</v>
      </c>
      <c r="E42" s="97">
        <v>1.2999999999999999E-2</v>
      </c>
      <c r="F42" s="91"/>
      <c r="G42" s="91"/>
      <c r="H42" s="91"/>
      <c r="I42" s="91"/>
      <c r="J42" s="91"/>
      <c r="K42" s="91"/>
    </row>
    <row r="43" spans="1:14">
      <c r="A43" s="91"/>
      <c r="B43" s="91"/>
      <c r="C43" s="91"/>
      <c r="D43" s="91" t="s">
        <v>81</v>
      </c>
      <c r="E43" s="110">
        <f>AVERAGE(D8:D13)</f>
        <v>1898477.135</v>
      </c>
      <c r="F43" s="91"/>
      <c r="G43" s="91"/>
      <c r="H43" s="91"/>
      <c r="I43" s="91"/>
      <c r="J43" s="91"/>
      <c r="K43" s="91"/>
    </row>
    <row r="44" spans="1:14">
      <c r="A44" s="91"/>
      <c r="B44" s="91"/>
      <c r="C44" s="91"/>
      <c r="D44" s="120" t="s">
        <v>82</v>
      </c>
      <c r="E44" s="135">
        <v>0.5</v>
      </c>
      <c r="F44" s="91"/>
      <c r="G44" s="91"/>
      <c r="H44" s="91"/>
      <c r="I44" s="91"/>
      <c r="J44" s="91"/>
      <c r="K44" s="91"/>
    </row>
    <row r="45" spans="1:14">
      <c r="D45" s="120" t="s">
        <v>83</v>
      </c>
      <c r="E45" s="135">
        <v>0.5</v>
      </c>
    </row>
    <row r="46" spans="1:14">
      <c r="D46" s="91" t="s">
        <v>84</v>
      </c>
      <c r="E46" s="136">
        <v>0.2707</v>
      </c>
    </row>
    <row r="47" spans="1:14" ht="12.75"/>
  </sheetData>
  <pageMargins left="0.7" right="0.7" top="0.75" bottom="0.75" header="0.3" footer="0.3"/>
  <pageSetup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BE66-178E-4982-89E5-BAD22CA163E7}">
  <sheetPr>
    <pageSetUpPr fitToPage="1"/>
  </sheetPr>
  <dimension ref="A2:X62"/>
  <sheetViews>
    <sheetView topLeftCell="A34" workbookViewId="0">
      <selection activeCell="B50" sqref="B50"/>
    </sheetView>
  </sheetViews>
  <sheetFormatPr defaultColWidth="9.140625" defaultRowHeight="12.95"/>
  <cols>
    <col min="1" max="1" width="10.85546875" style="3" customWidth="1"/>
    <col min="2" max="2" width="31.7109375" style="20" customWidth="1"/>
    <col min="3" max="3" width="12.85546875" style="1" customWidth="1"/>
    <col min="4" max="4" width="12.5703125" style="1" customWidth="1"/>
    <col min="5" max="5" width="12.7109375" style="1" customWidth="1"/>
    <col min="6" max="6" width="14.28515625" style="1" customWidth="1"/>
    <col min="7" max="7" width="11" style="1" hidden="1" customWidth="1"/>
    <col min="8" max="8" width="5" style="2" customWidth="1"/>
    <col min="9" max="9" width="11.140625" style="2" bestFit="1" customWidth="1"/>
    <col min="10" max="10" width="11.42578125" style="2" customWidth="1"/>
    <col min="11" max="11" width="10.7109375" style="2" customWidth="1"/>
    <col min="12" max="18" width="9.140625" style="2"/>
    <col min="19" max="19" width="14.42578125" style="2" customWidth="1"/>
    <col min="20" max="20" width="22.5703125" style="2" customWidth="1"/>
    <col min="21" max="21" width="9.140625" style="2"/>
    <col min="22" max="22" width="11.5703125" style="2" customWidth="1"/>
    <col min="23" max="23" width="14" style="2" customWidth="1"/>
    <col min="24" max="24" width="14.28515625" style="2" customWidth="1"/>
    <col min="25" max="16384" width="9.140625" style="2"/>
  </cols>
  <sheetData>
    <row r="2" spans="1:6" ht="13.5" thickBot="1"/>
    <row r="3" spans="1:6" ht="3.75" customHeight="1" thickTop="1">
      <c r="A3" s="7"/>
      <c r="B3" s="40"/>
      <c r="C3" s="8"/>
      <c r="D3" s="8"/>
      <c r="E3" s="8"/>
      <c r="F3" s="8"/>
    </row>
    <row r="7" spans="1:6" ht="18">
      <c r="A7" s="21" t="s">
        <v>0</v>
      </c>
      <c r="B7" s="22"/>
      <c r="C7" s="23"/>
      <c r="D7" s="23"/>
      <c r="E7" s="23"/>
      <c r="F7" s="24"/>
    </row>
    <row r="8" spans="1:6" ht="18">
      <c r="A8" s="25" t="s">
        <v>87</v>
      </c>
      <c r="B8" s="26"/>
      <c r="C8" s="27"/>
      <c r="D8" s="27"/>
      <c r="E8" s="27"/>
      <c r="F8" s="28"/>
    </row>
    <row r="9" spans="1:6">
      <c r="A9" s="4"/>
      <c r="C9" s="2"/>
      <c r="D9" s="2"/>
      <c r="E9" s="2"/>
      <c r="F9" s="2"/>
    </row>
    <row r="10" spans="1:6">
      <c r="A10" s="4"/>
      <c r="D10" s="2"/>
      <c r="E10" s="2"/>
      <c r="F10" s="2"/>
    </row>
    <row r="11" spans="1:6">
      <c r="A11" s="29" t="s">
        <v>2</v>
      </c>
      <c r="B11" s="30"/>
      <c r="C11" s="31"/>
      <c r="D11" s="31"/>
      <c r="E11" s="31"/>
      <c r="F11" s="32"/>
    </row>
    <row r="12" spans="1:6" ht="15">
      <c r="A12" s="81" t="s">
        <v>88</v>
      </c>
      <c r="B12" s="33"/>
      <c r="C12" s="6"/>
      <c r="D12" s="6" t="s">
        <v>4</v>
      </c>
      <c r="E12" s="34" t="s">
        <v>89</v>
      </c>
      <c r="F12" s="35"/>
    </row>
    <row r="13" spans="1:6" ht="15.6">
      <c r="A13" s="87"/>
      <c r="B13" s="33"/>
      <c r="C13" s="6"/>
      <c r="D13" s="6" t="s">
        <v>5</v>
      </c>
      <c r="E13" s="34" t="s">
        <v>90</v>
      </c>
      <c r="F13" s="35"/>
    </row>
    <row r="14" spans="1:6" ht="15.6">
      <c r="A14" s="87"/>
      <c r="B14" s="33"/>
      <c r="C14" s="6"/>
      <c r="D14" s="6" t="s">
        <v>6</v>
      </c>
      <c r="E14" s="86" t="s">
        <v>91</v>
      </c>
      <c r="F14" s="35"/>
    </row>
    <row r="15" spans="1:6" ht="15.6">
      <c r="A15" s="87"/>
      <c r="B15" s="33"/>
      <c r="C15" s="6"/>
      <c r="D15" s="6"/>
      <c r="E15" s="6"/>
      <c r="F15" s="35"/>
    </row>
    <row r="16" spans="1:6" ht="15.6">
      <c r="A16" s="87"/>
      <c r="B16" s="33"/>
      <c r="C16" s="6"/>
      <c r="D16" s="6"/>
      <c r="E16" s="6"/>
      <c r="F16" s="35"/>
    </row>
    <row r="17" spans="1:11">
      <c r="A17" s="36"/>
      <c r="B17" s="37"/>
      <c r="C17" s="38"/>
      <c r="D17" s="38"/>
      <c r="E17" s="38"/>
      <c r="F17" s="39"/>
    </row>
    <row r="18" spans="1:11">
      <c r="A18" s="5"/>
      <c r="B18" s="33"/>
      <c r="C18" s="6"/>
      <c r="D18" s="6"/>
      <c r="E18" s="6"/>
      <c r="F18" s="6"/>
    </row>
    <row r="19" spans="1:11" ht="13.5" thickBot="1">
      <c r="A19" s="4"/>
      <c r="C19" s="2"/>
      <c r="D19" s="2"/>
      <c r="E19" s="2"/>
      <c r="F19" s="2"/>
    </row>
    <row r="20" spans="1:11" ht="3.75" customHeight="1" thickTop="1">
      <c r="A20" s="7"/>
      <c r="B20" s="40"/>
      <c r="C20" s="8"/>
      <c r="D20" s="9"/>
      <c r="E20" s="8"/>
      <c r="F20" s="8"/>
    </row>
    <row r="21" spans="1:11" ht="14.45" thickBot="1">
      <c r="C21" s="10"/>
    </row>
    <row r="22" spans="1:11">
      <c r="B22" s="68" t="s">
        <v>7</v>
      </c>
      <c r="C22" s="69" t="s">
        <v>8</v>
      </c>
      <c r="D22" s="70"/>
    </row>
    <row r="23" spans="1:11">
      <c r="B23" s="71" t="s">
        <v>92</v>
      </c>
      <c r="C23" s="72">
        <v>10000000</v>
      </c>
      <c r="D23" s="73"/>
    </row>
    <row r="24" spans="1:11">
      <c r="B24" s="71" t="s">
        <v>93</v>
      </c>
      <c r="C24" s="82">
        <v>44559</v>
      </c>
      <c r="D24" s="73"/>
    </row>
    <row r="25" spans="1:11">
      <c r="B25" s="71" t="s">
        <v>94</v>
      </c>
      <c r="C25" s="74" t="s">
        <v>95</v>
      </c>
      <c r="D25" s="73"/>
    </row>
    <row r="26" spans="1:11">
      <c r="B26" s="71" t="s">
        <v>96</v>
      </c>
      <c r="C26" s="72">
        <v>4</v>
      </c>
      <c r="D26" s="73"/>
    </row>
    <row r="27" spans="1:11">
      <c r="B27" s="71" t="s">
        <v>16</v>
      </c>
      <c r="C27" s="75">
        <v>5</v>
      </c>
      <c r="D27" s="73"/>
    </row>
    <row r="28" spans="1:11">
      <c r="B28" s="71" t="s">
        <v>17</v>
      </c>
      <c r="C28" s="76">
        <v>5</v>
      </c>
      <c r="D28" s="73"/>
    </row>
    <row r="29" spans="1:11" ht="13.5" thickBot="1">
      <c r="B29" s="79" t="s">
        <v>18</v>
      </c>
      <c r="C29" s="77" t="s">
        <v>8</v>
      </c>
      <c r="D29" s="78"/>
      <c r="H29" s="1"/>
      <c r="I29" s="1"/>
      <c r="J29" s="1"/>
      <c r="K29" s="1"/>
    </row>
    <row r="30" spans="1:11">
      <c r="B30" s="41"/>
      <c r="C30" s="42"/>
      <c r="H30" s="1"/>
      <c r="I30" s="1"/>
      <c r="J30" s="1"/>
      <c r="K30" s="1"/>
    </row>
    <row r="31" spans="1:11">
      <c r="B31" s="43"/>
    </row>
    <row r="32" spans="1:11" ht="13.5" thickBot="1">
      <c r="B32" s="43"/>
      <c r="C32" s="11"/>
      <c r="E32" s="11"/>
    </row>
    <row r="33" spans="1:24" ht="3.75" customHeight="1" thickTop="1">
      <c r="A33" s="7"/>
      <c r="B33" s="40"/>
      <c r="C33" s="8"/>
      <c r="D33" s="9"/>
      <c r="E33" s="8"/>
      <c r="F33" s="8"/>
    </row>
    <row r="34" spans="1:24" ht="15.6">
      <c r="S34" s="64"/>
      <c r="T34" s="64"/>
    </row>
    <row r="35" spans="1:24" ht="15.95" thickBot="1">
      <c r="A35" s="44"/>
      <c r="B35" s="45"/>
      <c r="C35" s="46"/>
      <c r="D35" s="46"/>
      <c r="E35" s="46"/>
      <c r="F35" s="46"/>
      <c r="G35" s="11"/>
      <c r="S35" s="64"/>
      <c r="T35" s="64"/>
    </row>
    <row r="36" spans="1:24" ht="14.1" thickTop="1" thickBot="1">
      <c r="A36" s="47"/>
      <c r="B36" s="48"/>
      <c r="C36" s="49" t="s">
        <v>8</v>
      </c>
      <c r="D36" s="50"/>
      <c r="E36" s="50"/>
      <c r="F36" s="51"/>
      <c r="G36" s="11"/>
    </row>
    <row r="37" spans="1:24" ht="14.1" thickTop="1" thickBot="1">
      <c r="A37" s="52" t="s">
        <v>19</v>
      </c>
      <c r="B37" s="53" t="s">
        <v>20</v>
      </c>
      <c r="C37" s="54" t="s">
        <v>97</v>
      </c>
      <c r="D37" s="54" t="s">
        <v>22</v>
      </c>
      <c r="E37" s="55" t="s">
        <v>23</v>
      </c>
      <c r="F37" s="56" t="s">
        <v>25</v>
      </c>
      <c r="G37" s="11"/>
    </row>
    <row r="38" spans="1:24" ht="13.5" thickTop="1">
      <c r="A38" s="12"/>
      <c r="B38" s="57"/>
      <c r="C38" s="14"/>
      <c r="D38" s="14"/>
      <c r="E38" s="15"/>
      <c r="F38" s="13"/>
      <c r="G38" s="11"/>
      <c r="S38" s="4"/>
      <c r="T38" s="4"/>
      <c r="X38" s="4"/>
    </row>
    <row r="39" spans="1:24">
      <c r="A39" s="12">
        <v>45135</v>
      </c>
      <c r="B39" s="57" t="s">
        <v>98</v>
      </c>
      <c r="C39" s="14">
        <v>7000000</v>
      </c>
      <c r="D39" s="14">
        <v>0</v>
      </c>
      <c r="E39" s="15">
        <v>7000000</v>
      </c>
      <c r="F39" s="16">
        <v>7000000</v>
      </c>
    </row>
    <row r="40" spans="1:24">
      <c r="A40" s="12">
        <v>45153</v>
      </c>
      <c r="B40" s="57" t="s">
        <v>98</v>
      </c>
      <c r="C40" s="14">
        <v>3000000</v>
      </c>
      <c r="D40" s="14">
        <v>0</v>
      </c>
      <c r="E40" s="15">
        <v>3000000</v>
      </c>
      <c r="F40" s="16">
        <v>10000000</v>
      </c>
    </row>
    <row r="41" spans="1:24" ht="13.5" thickBot="1">
      <c r="A41" s="138">
        <v>45199</v>
      </c>
      <c r="B41" s="139" t="s">
        <v>99</v>
      </c>
      <c r="C41" s="140">
        <v>0</v>
      </c>
      <c r="D41" s="141">
        <f>-(F39*($F$60/100)/360*90)</f>
        <v>-254544.5</v>
      </c>
      <c r="E41" s="142">
        <f t="shared" ref="E41:E53" si="0">C41+D41</f>
        <v>-254544.5</v>
      </c>
      <c r="F41" s="143">
        <f>F40-D41+E41</f>
        <v>10000000</v>
      </c>
      <c r="H41" s="2">
        <v>40</v>
      </c>
      <c r="S41" s="44"/>
      <c r="T41" s="62"/>
      <c r="U41" s="46"/>
      <c r="V41" s="46"/>
      <c r="W41" s="61"/>
      <c r="X41" s="63"/>
    </row>
    <row r="42" spans="1:24">
      <c r="A42" s="12">
        <v>45291</v>
      </c>
      <c r="B42" s="57" t="s">
        <v>99</v>
      </c>
      <c r="C42" s="80">
        <v>0</v>
      </c>
      <c r="D42" s="14">
        <f>-(F41*($F$60/100)/360*90)</f>
        <v>-363635</v>
      </c>
      <c r="E42" s="15">
        <f t="shared" si="0"/>
        <v>-363635</v>
      </c>
      <c r="F42" s="16">
        <f t="shared" ref="F42:F53" si="1">F41-D42+E42</f>
        <v>10000000</v>
      </c>
      <c r="H42" s="2">
        <v>41</v>
      </c>
      <c r="S42" s="44"/>
      <c r="T42" s="62"/>
      <c r="U42" s="46"/>
      <c r="V42" s="46"/>
      <c r="W42" s="61"/>
      <c r="X42" s="63"/>
    </row>
    <row r="43" spans="1:24">
      <c r="A43" s="12">
        <v>45382</v>
      </c>
      <c r="B43" s="57" t="s">
        <v>99</v>
      </c>
      <c r="C43" s="80">
        <v>0</v>
      </c>
      <c r="D43" s="14">
        <v>-236082</v>
      </c>
      <c r="E43" s="15">
        <f t="shared" si="0"/>
        <v>-236082</v>
      </c>
      <c r="F43" s="16">
        <f t="shared" si="1"/>
        <v>10000000</v>
      </c>
      <c r="H43" s="2">
        <v>42</v>
      </c>
      <c r="S43" s="44"/>
      <c r="T43" s="62"/>
      <c r="U43" s="46"/>
      <c r="V43" s="46"/>
      <c r="W43" s="61"/>
      <c r="X43" s="63"/>
    </row>
    <row r="44" spans="1:24">
      <c r="A44" s="12">
        <v>45473</v>
      </c>
      <c r="B44" s="57" t="s">
        <v>99</v>
      </c>
      <c r="C44" s="80">
        <v>0</v>
      </c>
      <c r="D44" s="14">
        <f t="shared" ref="D44:D53" si="2">-(F43*($F$60/100)/360*90)</f>
        <v>-363635</v>
      </c>
      <c r="E44" s="15">
        <f t="shared" si="0"/>
        <v>-363635</v>
      </c>
      <c r="F44" s="16">
        <f t="shared" si="1"/>
        <v>10000000</v>
      </c>
      <c r="H44" s="2">
        <v>43</v>
      </c>
    </row>
    <row r="45" spans="1:24">
      <c r="A45" s="12">
        <v>45565</v>
      </c>
      <c r="B45" s="57" t="s">
        <v>99</v>
      </c>
      <c r="C45" s="80">
        <v>0</v>
      </c>
      <c r="D45" s="14">
        <f t="shared" si="2"/>
        <v>-363635</v>
      </c>
      <c r="E45" s="15">
        <f t="shared" si="0"/>
        <v>-363635</v>
      </c>
      <c r="F45" s="16">
        <f t="shared" si="1"/>
        <v>10000000</v>
      </c>
      <c r="H45" s="2">
        <v>44</v>
      </c>
      <c r="I45" s="89" t="s">
        <v>65</v>
      </c>
      <c r="J45" s="89" t="s">
        <v>66</v>
      </c>
    </row>
    <row r="46" spans="1:24">
      <c r="A46" s="12">
        <v>45657</v>
      </c>
      <c r="B46" s="57" t="s">
        <v>99</v>
      </c>
      <c r="C46" s="131">
        <v>0</v>
      </c>
      <c r="D46" s="14">
        <f t="shared" si="2"/>
        <v>-363635</v>
      </c>
      <c r="E46" s="15">
        <f t="shared" si="0"/>
        <v>-363635</v>
      </c>
      <c r="F46" s="16">
        <f t="shared" si="1"/>
        <v>10000000</v>
      </c>
      <c r="H46" s="2">
        <v>45</v>
      </c>
      <c r="I46" s="4">
        <v>0</v>
      </c>
      <c r="J46" s="1">
        <v>-10000000</v>
      </c>
    </row>
    <row r="47" spans="1:24">
      <c r="A47" s="12">
        <v>45747</v>
      </c>
      <c r="B47" s="57" t="s">
        <v>99</v>
      </c>
      <c r="C47" s="131">
        <v>0</v>
      </c>
      <c r="D47" s="14">
        <f t="shared" si="2"/>
        <v>-363635</v>
      </c>
      <c r="E47" s="15">
        <f t="shared" si="0"/>
        <v>-363635</v>
      </c>
      <c r="F47" s="16">
        <f t="shared" si="1"/>
        <v>10000000</v>
      </c>
      <c r="H47" s="2">
        <v>46</v>
      </c>
      <c r="I47" s="4">
        <v>1</v>
      </c>
      <c r="J47" s="1">
        <f>-SUM(E41:E44)</f>
        <v>1217896.5</v>
      </c>
      <c r="K47" s="1"/>
    </row>
    <row r="48" spans="1:24">
      <c r="A48" s="12">
        <v>45838</v>
      </c>
      <c r="B48" s="57" t="s">
        <v>99</v>
      </c>
      <c r="C48" s="131">
        <v>0</v>
      </c>
      <c r="D48" s="14">
        <f t="shared" si="2"/>
        <v>-363635</v>
      </c>
      <c r="E48" s="15">
        <f t="shared" si="0"/>
        <v>-363635</v>
      </c>
      <c r="F48" s="16">
        <f t="shared" si="1"/>
        <v>10000000</v>
      </c>
      <c r="H48" s="2">
        <v>47</v>
      </c>
      <c r="I48" s="4">
        <v>2</v>
      </c>
      <c r="J48" s="1">
        <f>-SUM(E45:E48)</f>
        <v>1454540</v>
      </c>
    </row>
    <row r="49" spans="1:10">
      <c r="A49" s="12">
        <v>45930</v>
      </c>
      <c r="B49" s="57" t="s">
        <v>99</v>
      </c>
      <c r="C49" s="131">
        <v>0</v>
      </c>
      <c r="D49" s="14">
        <f t="shared" si="2"/>
        <v>-363635</v>
      </c>
      <c r="E49" s="15">
        <f t="shared" si="0"/>
        <v>-363635</v>
      </c>
      <c r="F49" s="16">
        <f t="shared" si="1"/>
        <v>10000000</v>
      </c>
      <c r="H49" s="2">
        <v>48</v>
      </c>
      <c r="I49" s="4">
        <v>3</v>
      </c>
      <c r="J49" s="1">
        <f>-SUM(E49:E53)</f>
        <v>11818175</v>
      </c>
    </row>
    <row r="50" spans="1:10">
      <c r="A50" s="12">
        <v>46022</v>
      </c>
      <c r="B50" s="57" t="s">
        <v>99</v>
      </c>
      <c r="C50" s="131">
        <v>0</v>
      </c>
      <c r="D50" s="14">
        <f t="shared" si="2"/>
        <v>-363635</v>
      </c>
      <c r="E50" s="15">
        <f t="shared" si="0"/>
        <v>-363635</v>
      </c>
      <c r="F50" s="16">
        <f t="shared" si="1"/>
        <v>10000000</v>
      </c>
      <c r="H50" s="2">
        <v>49</v>
      </c>
      <c r="I50" s="89" t="s">
        <v>75</v>
      </c>
      <c r="J50" s="129">
        <f>IRR(J46:J49)</f>
        <v>0.14696515337374461</v>
      </c>
    </row>
    <row r="51" spans="1:10">
      <c r="A51" s="12">
        <v>46112</v>
      </c>
      <c r="B51" s="57" t="s">
        <v>99</v>
      </c>
      <c r="C51" s="131">
        <v>0</v>
      </c>
      <c r="D51" s="14">
        <f t="shared" si="2"/>
        <v>-363635</v>
      </c>
      <c r="E51" s="15">
        <f t="shared" si="0"/>
        <v>-363635</v>
      </c>
      <c r="F51" s="16">
        <f t="shared" si="1"/>
        <v>10000000</v>
      </c>
      <c r="H51" s="2">
        <v>50</v>
      </c>
      <c r="I51" s="4"/>
      <c r="J51" s="1"/>
    </row>
    <row r="52" spans="1:10">
      <c r="A52" s="12">
        <v>46203</v>
      </c>
      <c r="B52" s="57" t="s">
        <v>99</v>
      </c>
      <c r="C52" s="131">
        <v>0</v>
      </c>
      <c r="D52" s="14">
        <f t="shared" si="2"/>
        <v>-363635</v>
      </c>
      <c r="E52" s="15">
        <f t="shared" si="0"/>
        <v>-363635</v>
      </c>
      <c r="F52" s="16">
        <f t="shared" si="1"/>
        <v>10000000</v>
      </c>
      <c r="H52" s="2">
        <v>51</v>
      </c>
    </row>
    <row r="53" spans="1:10">
      <c r="A53" s="12">
        <v>46295</v>
      </c>
      <c r="B53" s="57" t="s">
        <v>27</v>
      </c>
      <c r="C53" s="131">
        <v>-10000000</v>
      </c>
      <c r="D53" s="14">
        <f t="shared" si="2"/>
        <v>-363635</v>
      </c>
      <c r="E53" s="15">
        <f t="shared" si="0"/>
        <v>-10363635</v>
      </c>
      <c r="F53" s="16">
        <f t="shared" si="1"/>
        <v>0</v>
      </c>
      <c r="H53" s="2">
        <v>52</v>
      </c>
    </row>
    <row r="54" spans="1:10" ht="13.5" thickBot="1">
      <c r="A54" s="58"/>
      <c r="B54" s="59"/>
      <c r="C54" s="18"/>
      <c r="D54" s="18"/>
      <c r="E54" s="19"/>
      <c r="F54" s="17"/>
    </row>
    <row r="55" spans="1:10" ht="13.5" thickTop="1">
      <c r="A55" s="44"/>
      <c r="B55" s="60"/>
      <c r="C55" s="46"/>
      <c r="D55" s="46"/>
      <c r="E55" s="46"/>
      <c r="F55" s="46"/>
    </row>
    <row r="56" spans="1:10" ht="3.75" customHeight="1" thickBot="1">
      <c r="A56" s="65"/>
      <c r="B56" s="66"/>
      <c r="C56" s="67"/>
      <c r="D56" s="67"/>
      <c r="E56" s="67"/>
      <c r="F56" s="67"/>
    </row>
    <row r="57" spans="1:10" ht="13.5" thickTop="1"/>
    <row r="59" spans="1:10">
      <c r="C59" s="83" t="s">
        <v>22</v>
      </c>
      <c r="D59" s="83" t="s">
        <v>100</v>
      </c>
      <c r="E59" s="83" t="s">
        <v>24</v>
      </c>
      <c r="F59" s="83" t="s">
        <v>101</v>
      </c>
    </row>
    <row r="60" spans="1:10" ht="15.6">
      <c r="B60" s="88" t="s">
        <v>22</v>
      </c>
      <c r="C60" s="84">
        <v>9</v>
      </c>
      <c r="D60" s="130">
        <v>5.5453999999999999</v>
      </c>
      <c r="E60" s="133">
        <v>0</v>
      </c>
      <c r="F60" s="85">
        <f>SUM(C60:E60)</f>
        <v>14.545400000000001</v>
      </c>
    </row>
    <row r="61" spans="1:10" ht="15.6">
      <c r="B61" s="20" t="s">
        <v>102</v>
      </c>
      <c r="C61" s="132">
        <v>0</v>
      </c>
      <c r="D61" s="132">
        <v>0</v>
      </c>
      <c r="E61" s="133">
        <v>0</v>
      </c>
      <c r="F61" s="85">
        <f>SUM(C61:E61)</f>
        <v>0</v>
      </c>
    </row>
    <row r="62" spans="1:10">
      <c r="C62" s="2"/>
    </row>
  </sheetData>
  <hyperlinks>
    <hyperlink ref="E14" r:id="rId1" xr:uid="{2DDEC42D-B70A-4540-9B60-A970869C23B5}"/>
  </hyperlinks>
  <printOptions horizontalCentered="1"/>
  <pageMargins left="0.59055118110236227" right="0.59055118110236227" top="0.59055118110236227" bottom="0.59055118110236227" header="0.51181102362204722" footer="0.51181102362204722"/>
  <pageSetup paperSize="9" scale="75" orientation="portrait" verticalDpi="300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1722BDC663E46AE255910F3AD36F8" ma:contentTypeVersion="18" ma:contentTypeDescription="Create a new document." ma:contentTypeScope="" ma:versionID="236ecd6c7f19063c0927bed8b3871b6e">
  <xsd:schema xmlns:xsd="http://www.w3.org/2001/XMLSchema" xmlns:xs="http://www.w3.org/2001/XMLSchema" xmlns:p="http://schemas.microsoft.com/office/2006/metadata/properties" xmlns:ns2="f777c226-f5c2-403e-9185-4796a555faa4" xmlns:ns3="5be95724-fe51-4354-bba6-6ce602dd4aef" targetNamespace="http://schemas.microsoft.com/office/2006/metadata/properties" ma:root="true" ma:fieldsID="3c7a00e7660f50cc8ed4b7da5e146ef8" ns2:_="" ns3:_="">
    <xsd:import namespace="f777c226-f5c2-403e-9185-4796a555faa4"/>
    <xsd:import namespace="5be95724-fe51-4354-bba6-6ce602dd4a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7c226-f5c2-403e-9185-4796a555fa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cc7e9fb-5ed8-4181-885e-4b8b36b049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e95724-fe51-4354-bba6-6ce602dd4ae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dc115f-6b3d-494e-b970-e02bc3ef5ff6}" ma:internalName="TaxCatchAll" ma:showField="CatchAllData" ma:web="5be95724-fe51-4354-bba6-6ce602dd4a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be95724-fe51-4354-bba6-6ce602dd4aef">
      <UserInfo>
        <DisplayName/>
        <AccountId xsi:nil="true"/>
        <AccountType/>
      </UserInfo>
    </SharedWithUsers>
    <lcf76f155ced4ddcb4097134ff3c332f xmlns="f777c226-f5c2-403e-9185-4796a555faa4">
      <Terms xmlns="http://schemas.microsoft.com/office/infopath/2007/PartnerControls"/>
    </lcf76f155ced4ddcb4097134ff3c332f>
    <TaxCatchAll xmlns="5be95724-fe51-4354-bba6-6ce602dd4aef" xsi:nil="true"/>
  </documentManagement>
</p:properties>
</file>

<file path=customXml/itemProps1.xml><?xml version="1.0" encoding="utf-8"?>
<ds:datastoreItem xmlns:ds="http://schemas.openxmlformats.org/officeDocument/2006/customXml" ds:itemID="{99DB4D0A-503C-436D-B03B-EDBE97F2C7F5}"/>
</file>

<file path=customXml/itemProps2.xml><?xml version="1.0" encoding="utf-8"?>
<ds:datastoreItem xmlns:ds="http://schemas.openxmlformats.org/officeDocument/2006/customXml" ds:itemID="{4F128323-E6A9-4E39-9D49-E43E3EA466C4}"/>
</file>

<file path=customXml/itemProps3.xml><?xml version="1.0" encoding="utf-8"?>
<ds:datastoreItem xmlns:ds="http://schemas.openxmlformats.org/officeDocument/2006/customXml" ds:itemID="{07927D7E-64B1-4B81-8D81-9E0679AE0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Davies</dc:creator>
  <cp:keywords/>
  <dc:description/>
  <cp:lastModifiedBy>Prince  Matlapeng</cp:lastModifiedBy>
  <cp:revision/>
  <dcterms:created xsi:type="dcterms:W3CDTF">2000-11-30T15:25:31Z</dcterms:created>
  <dcterms:modified xsi:type="dcterms:W3CDTF">2024-08-13T18:23:58Z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0x01010035A1722BDC663E46AE255910F3AD36F8</vt:lpwstr>
  </property>
  <property fmtid="{D5CDD505-2E9C-101B-9397-08002B2CF9AE}" pid="3" name="Order">
    <vt:r8>5785800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MediaServiceImageTags">
    <vt:lpwstr/>
  </property>
</Properties>
</file>