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https://bayergroup-my.sharepoint.com/personal/mangesh_bore_bayer_com/Documents/Private/2021-/SPI/Development/WashU/Modules/Module1/Crowd_Funding_Analysis/"/>
    </mc:Choice>
  </mc:AlternateContent>
  <xr:revisionPtr revIDLastSave="684" documentId="8_{40ACF39B-8459-4BAF-8B22-DF60AB177A76}" xr6:coauthVersionLast="47" xr6:coauthVersionMax="47" xr10:uidLastSave="{1CF71682-128C-4DEA-A977-2E02A9632F4F}"/>
  <bookViews>
    <workbookView xWindow="-120" yWindow="-120" windowWidth="29040" windowHeight="15840" xr2:uid="{00000000-000D-0000-FFFF-FFFF00000000}"/>
  </bookViews>
  <sheets>
    <sheet name="Theater Outcomes by Launch Date" sheetId="10" r:id="rId1"/>
    <sheet name="Theater_Outcomes_vs_Launch_Char" sheetId="11" r:id="rId2"/>
    <sheet name="Outcomes Based on Goals" sheetId="12" r:id="rId3"/>
    <sheet name="Outcomes Based on Goal-Chart" sheetId="13" r:id="rId4"/>
    <sheet name="Kickstarter" sheetId="1" r:id="rId5"/>
    <sheet name="Category Statistics" sheetId="2" r:id="rId6"/>
    <sheet name="Subcategory Statistics" sheetId="3" r:id="rId7"/>
    <sheet name="Outcomes Based on Launch Date" sheetId="4" r:id="rId8"/>
    <sheet name="Edinburgh Research" sheetId="5" r:id="rId9"/>
  </sheets>
  <definedNames>
    <definedName name="_xlnm._FilterDatabase" localSheetId="4" hidden="1">Kickstarter!$A$1:$U$4115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3" i="12" l="1"/>
  <c r="G13" i="12"/>
  <c r="F13" i="12"/>
  <c r="H12" i="12"/>
  <c r="G12" i="12"/>
  <c r="F12" i="12"/>
  <c r="H11" i="12"/>
  <c r="G11" i="12"/>
  <c r="F11" i="12"/>
  <c r="H10" i="12"/>
  <c r="G10" i="12"/>
  <c r="F10" i="12"/>
  <c r="H9" i="12"/>
  <c r="G9" i="12"/>
  <c r="F9" i="12"/>
  <c r="H8" i="12"/>
  <c r="G8" i="12"/>
  <c r="F8" i="12"/>
  <c r="H7" i="12"/>
  <c r="G7" i="12"/>
  <c r="F7" i="12"/>
  <c r="H6" i="12"/>
  <c r="G6" i="12"/>
  <c r="F6" i="12"/>
  <c r="H5" i="12"/>
  <c r="G5" i="12"/>
  <c r="F5" i="12"/>
  <c r="H4" i="12"/>
  <c r="G4" i="12"/>
  <c r="F4" i="12"/>
  <c r="H3" i="12"/>
  <c r="G3" i="12"/>
  <c r="F3" i="12"/>
  <c r="H2" i="12"/>
  <c r="G2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C13" i="12"/>
  <c r="C12" i="12"/>
  <c r="C11" i="12"/>
  <c r="C10" i="12"/>
  <c r="C9" i="12"/>
  <c r="C8" i="12"/>
  <c r="C7" i="12"/>
  <c r="C6" i="12"/>
  <c r="C5" i="12"/>
  <c r="D4" i="12"/>
  <c r="C4" i="12"/>
  <c r="B4" i="12"/>
  <c r="C3" i="12"/>
  <c r="B3" i="12"/>
  <c r="D3" i="12"/>
  <c r="B13" i="12"/>
  <c r="B2" i="12"/>
  <c r="B12" i="12"/>
  <c r="B11" i="12"/>
  <c r="B10" i="12"/>
  <c r="B9" i="12"/>
  <c r="B8" i="12"/>
  <c r="B7" i="12"/>
  <c r="B6" i="12"/>
  <c r="B5" i="12"/>
  <c r="D2" i="12"/>
  <c r="C2" i="12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F6" i="5"/>
  <c r="F5" i="5"/>
  <c r="F4" i="5"/>
  <c r="F3" i="5"/>
  <c r="F2" i="5"/>
  <c r="C2" i="5"/>
  <c r="D6" i="5"/>
  <c r="C6" i="5"/>
  <c r="D5" i="5"/>
  <c r="C5" i="5"/>
  <c r="D4" i="5"/>
  <c r="C4" i="5"/>
  <c r="D3" i="5"/>
  <c r="C3" i="5"/>
  <c r="D2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<sst xmlns="http://schemas.openxmlformats.org/spreadsheetml/2006/main" count="33036" uniqueCount="8402">
  <si>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</si>
  <si>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</si>
  <si>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</si>
  <si>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</si>
  <si>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</si>
  <si>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</si>
  <si>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</si>
  <si>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</si>
  <si>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</si>
  <si>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</si>
  <si>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</si>
  <si>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</si>
  <si>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</si>
  <si>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</si>
  <si>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</si>
  <si>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</si>
  <si>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</si>
  <si>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</si>
  <si>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</si>
  <si>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</si>
  <si>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</si>
  <si>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</si>
  <si>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</si>
  <si>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</si>
  <si>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</si>
  <si>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</si>
  <si>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</si>
  <si>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</si>
  <si>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</si>
  <si>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</si>
  <si>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</si>
  <si>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</si>
  <si>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</si>
  <si>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</si>
  <si>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</si>
  <si>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</si>
  <si>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</si>
  <si>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</si>
  <si>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</si>
  <si>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</si>
  <si>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</si>
  <si>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</si>
  <si>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</si>
  <si>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</si>
  <si>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</si>
  <si>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</si>
  <si>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</si>
  <si>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</si>
  <si>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</si>
  <si>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</si>
  <si>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</si>
  <si>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</si>
  <si>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</si>
  <si>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</si>
  <si>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</si>
  <si>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</si>
  <si>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</si>
  <si>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</si>
  <si>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</si>
  <si>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</si>
  <si>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</si>
  <si>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</si>
  <si>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</si>
  <si>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</si>
  <si>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</si>
  <si>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</si>
  <si>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</si>
  <si>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</si>
  <si>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</si>
  <si>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</si>
  <si>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</si>
  <si>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</si>
  <si>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</si>
  <si>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</si>
  <si>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</si>
  <si>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</si>
  <si>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</si>
  <si>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</si>
  <si>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</si>
  <si>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</si>
  <si>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</si>
  <si>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</si>
  <si>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</si>
  <si>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</si>
  <si>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</si>
  <si>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</si>
  <si>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</si>
  <si>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</si>
  <si>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</si>
  <si>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</si>
  <si>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</si>
  <si>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</si>
  <si>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</si>
  <si>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</si>
  <si>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</si>
  <si>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</si>
  <si>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</si>
  <si>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</si>
  <si>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</si>
  <si>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</si>
  <si>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</si>
  <si>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</si>
  <si>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</si>
  <si>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</si>
  <si>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</si>
  <si>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</si>
  <si>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</si>
  <si>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</si>
  <si>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</si>
  <si>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</si>
  <si>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</si>
  <si>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</si>
  <si>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</si>
  <si>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</si>
  <si>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</si>
  <si>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</si>
  <si>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</si>
  <si>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</si>
  <si>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</si>
  <si>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</si>
  <si>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</si>
  <si>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</si>
  <si>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</si>
  <si>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</si>
  <si>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</si>
  <si>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</si>
  <si>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</si>
  <si>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</si>
  <si>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</si>
  <si>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</si>
  <si>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</si>
  <si>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</si>
  <si>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</si>
  <si>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</si>
  <si>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</si>
  <si>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</si>
  <si>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</si>
  <si>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</si>
  <si>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</si>
  <si>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</si>
  <si>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</si>
  <si>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</si>
  <si>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</si>
  <si>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</si>
  <si>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</si>
  <si>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</si>
  <si>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</si>
  <si>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</si>
  <si>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</si>
  <si>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</si>
  <si>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</si>
  <si>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</si>
  <si>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</si>
  <si>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</si>
  <si>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</si>
  <si>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</si>
  <si>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</si>
  <si>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</si>
  <si>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</si>
  <si>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</si>
  <si>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</si>
  <si>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</si>
  <si>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</si>
  <si>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</si>
  <si>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</si>
  <si>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</si>
  <si>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</si>
  <si>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</si>
  <si>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</si>
  <si>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</si>
  <si>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</si>
  <si>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</si>
  <si>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</si>
  <si>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</si>
  <si>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</si>
  <si>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</si>
  <si>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</si>
  <si>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</si>
  <si>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</si>
  <si>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</si>
  <si>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</si>
  <si>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</si>
  <si>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</si>
  <si>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</si>
  <si>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</si>
  <si>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</si>
  <si>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</si>
  <si>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</si>
  <si>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</si>
  <si>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</si>
  <si>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</si>
  <si>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</si>
  <si>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</si>
  <si>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</si>
  <si>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</si>
  <si>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</si>
  <si>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</si>
  <si>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</si>
  <si>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</si>
  <si>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</si>
  <si>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</si>
  <si>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</si>
  <si>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</si>
  <si>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</si>
  <si>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</si>
  <si>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</si>
  <si>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</si>
  <si>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</si>
  <si>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</si>
  <si>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</si>
  <si>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</si>
  <si>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</si>
  <si>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</si>
  <si>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</si>
  <si>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</si>
  <si>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</si>
  <si>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</si>
  <si>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</si>
  <si>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</si>
  <si>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</si>
  <si>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</si>
  <si>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</si>
  <si>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</si>
  <si>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</si>
  <si>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</si>
  <si>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</si>
  <si>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</si>
  <si>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</si>
  <si>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</si>
  <si>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</si>
  <si>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</si>
  <si>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</si>
  <si>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</si>
  <si>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</si>
  <si>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</si>
  <si>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</si>
  <si>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</si>
  <si>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</si>
  <si>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</si>
  <si>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</si>
  <si>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</si>
  <si>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</si>
  <si>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</si>
  <si>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</si>
  <si>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</si>
  <si>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</si>
  <si>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</si>
  <si>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</si>
  <si>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</si>
  <si>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</si>
  <si>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</si>
  <si>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</si>
  <si>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</si>
  <si>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</si>
  <si>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</si>
  <si>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</si>
  <si>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</si>
  <si>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</si>
  <si>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</si>
  <si>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</si>
  <si>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</si>
  <si>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</si>
  <si>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</si>
  <si>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</si>
  <si>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</si>
  <si>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</si>
  <si>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</si>
  <si>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</si>
  <si>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</si>
  <si>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</si>
  <si>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</si>
  <si>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</si>
  <si>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</si>
  <si>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</si>
  <si>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</si>
  <si>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</si>
  <si>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</si>
  <si>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</si>
  <si>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</si>
  <si>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</si>
  <si>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</si>
  <si>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</si>
  <si>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</si>
  <si>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</si>
  <si>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</si>
  <si>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</si>
  <si>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</si>
  <si>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</si>
  <si>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</si>
  <si>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</si>
  <si>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</si>
  <si>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</si>
  <si>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</si>
  <si>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</si>
  <si>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</si>
  <si>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</si>
  <si>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</si>
  <si>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</si>
  <si>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</si>
  <si>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</si>
  <si>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</si>
  <si>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</si>
  <si>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</si>
  <si>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</si>
  <si>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</si>
  <si>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</si>
  <si>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</si>
  <si>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</si>
  <si>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</si>
  <si>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</si>
  <si>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</si>
  <si>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</si>
  <si>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</si>
  <si>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</si>
  <si>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</si>
  <si>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</si>
  <si>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</si>
  <si>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</si>
  <si>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</si>
  <si>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</si>
  <si>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</si>
  <si>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</si>
  <si>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</si>
  <si>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</si>
  <si>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</si>
  <si>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</si>
  <si>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</si>
  <si>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</si>
  <si>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</si>
  <si>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</si>
  <si>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</si>
  <si>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</si>
  <si>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</si>
  <si>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</si>
  <si>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</si>
  <si>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</si>
  <si>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</si>
  <si>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</si>
  <si>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</si>
  <si>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</si>
  <si>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</si>
  <si>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</si>
  <si>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</si>
  <si>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</si>
  <si>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</si>
  <si>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</si>
  <si>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</si>
  <si>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</si>
  <si>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</si>
  <si>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</si>
  <si>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</si>
  <si>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</si>
  <si>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</si>
  <si>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</si>
  <si>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</si>
  <si>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</si>
  <si>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</si>
  <si>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</si>
  <si>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</si>
  <si>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</si>
  <si>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</si>
  <si>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</si>
  <si>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</si>
  <si>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</si>
  <si>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</si>
  <si>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</si>
  <si>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</si>
  <si>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</si>
  <si>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</si>
  <si>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</si>
  <si>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</si>
  <si>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</si>
  <si>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</si>
  <si>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</si>
  <si>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</si>
  <si>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</si>
  <si>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</si>
  <si>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</si>
  <si>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</si>
  <si>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</si>
  <si>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</si>
  <si>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</si>
  <si>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</si>
  <si>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</si>
  <si>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</si>
  <si>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</si>
  <si>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</si>
  <si>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</si>
  <si>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</si>
  <si>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</si>
  <si>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</si>
  <si>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</si>
  <si>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</si>
  <si>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</si>
  <si>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</si>
  <si>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</si>
  <si>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</si>
  <si>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</si>
  <si>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</si>
  <si>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</si>
  <si>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</si>
  <si>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</si>
  <si>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</si>
  <si>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</si>
  <si>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</si>
  <si>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</si>
  <si>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</si>
  <si>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</si>
  <si>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</si>
  <si>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</si>
  <si>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</si>
  <si>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</si>
  <si>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</si>
  <si>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</si>
  <si>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</si>
  <si>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</si>
  <si>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</si>
  <si>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</si>
  <si>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</si>
  <si>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</si>
  <si>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</si>
  <si>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</si>
  <si>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</si>
  <si>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</si>
  <si>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</si>
  <si>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</si>
  <si>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</si>
  <si>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</si>
  <si>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</si>
  <si>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</si>
  <si>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</si>
  <si>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</si>
  <si>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</si>
  <si>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</si>
  <si>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</si>
  <si>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</si>
  <si>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</si>
  <si>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</si>
  <si>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</si>
  <si>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</si>
  <si>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</si>
  <si>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</si>
  <si>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</si>
  <si>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</si>
  <si>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</si>
  <si>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</si>
  <si>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</si>
  <si>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</si>
  <si>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</si>
  <si>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</si>
  <si>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</si>
  <si>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</si>
  <si>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</si>
  <si>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</si>
  <si>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</si>
  <si>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</si>
  <si>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</si>
  <si>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</si>
  <si>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</si>
  <si>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</si>
  <si>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</si>
  <si>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</si>
  <si>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</si>
  <si>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</si>
  <si>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</si>
  <si>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</si>
  <si>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</si>
  <si>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</si>
  <si>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</si>
  <si>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</si>
  <si>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</si>
  <si>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</si>
  <si>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</si>
  <si>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</si>
  <si>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</si>
  <si>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</si>
  <si>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</si>
  <si>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</si>
  <si>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</si>
  <si>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</si>
  <si>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</si>
  <si>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</si>
  <si>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</si>
  <si>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</si>
  <si>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</si>
  <si>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</si>
  <si>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</si>
  <si>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</si>
  <si>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</si>
  <si>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</si>
  <si>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</si>
  <si>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</si>
  <si>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</si>
  <si>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</si>
  <si>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</si>
  <si>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</si>
  <si>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</si>
  <si>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</si>
  <si>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</si>
  <si>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</si>
  <si>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</si>
  <si>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</si>
  <si>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</si>
  <si>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</si>
  <si>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</si>
  <si>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</si>
  <si>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</si>
  <si>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</si>
  <si>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</si>
  <si>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</si>
  <si>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</si>
  <si>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</si>
  <si>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</si>
  <si>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</si>
  <si>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</si>
  <si>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</si>
  <si>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</si>
  <si>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</si>
  <si>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</si>
  <si>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</si>
  <si>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</si>
  <si>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</si>
  <si>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</si>
  <si>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</si>
  <si>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</si>
  <si>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</si>
  <si>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</si>
  <si>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</si>
  <si>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</si>
  <si>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</si>
  <si>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</si>
  <si>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</si>
  <si>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</si>
  <si>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</si>
  <si>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</si>
  <si>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</si>
  <si>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</si>
  <si>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</si>
  <si>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</si>
  <si>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</si>
  <si>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</si>
  <si>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</si>
  <si>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</si>
  <si>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</si>
  <si>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</si>
  <si>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</si>
  <si>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</si>
  <si>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</si>
  <si>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</si>
  <si>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</si>
  <si>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</si>
  <si>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</si>
  <si>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</si>
  <si>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</si>
  <si>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</si>
  <si>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</si>
  <si>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</si>
  <si>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</si>
  <si>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</si>
  <si>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</si>
  <si>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</si>
  <si>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</si>
  <si>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</si>
  <si>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</si>
  <si>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</si>
  <si>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</si>
  <si>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</si>
  <si>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</si>
  <si>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</si>
  <si>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</si>
  <si>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</si>
  <si>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</si>
  <si>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</si>
  <si>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</si>
  <si>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</si>
  <si>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</si>
  <si>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</si>
  <si>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</si>
  <si>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</si>
  <si>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</si>
  <si>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</si>
  <si>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</si>
  <si>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</si>
  <si>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</si>
  <si>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</si>
  <si>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</si>
  <si>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</si>
  <si>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</si>
  <si>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</si>
  <si>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</si>
  <si>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</si>
  <si>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</si>
  <si>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</si>
  <si>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</si>
  <si>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</si>
  <si>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</si>
  <si>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</si>
  <si>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</si>
  <si>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</si>
  <si>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</si>
  <si>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</si>
  <si>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</si>
  <si>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</si>
  <si>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</si>
  <si>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</si>
  <si>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</si>
  <si>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</si>
  <si>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</si>
  <si>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</si>
  <si>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</si>
  <si>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</si>
  <si>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</si>
  <si>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</si>
  <si>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</si>
  <si>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</si>
  <si>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</si>
  <si>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</si>
  <si>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</si>
  <si>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</si>
  <si>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</si>
  <si>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</si>
  <si>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</si>
  <si>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</si>
  <si>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</si>
  <si>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</si>
  <si>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</si>
  <si>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</si>
  <si>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</si>
  <si>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</si>
  <si>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</si>
  <si>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</si>
  <si>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</si>
  <si>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</si>
  <si>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</si>
  <si>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</si>
  <si>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</si>
  <si>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</si>
  <si>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</si>
  <si>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</si>
  <si>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</si>
  <si>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</si>
  <si>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</si>
  <si>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</si>
  <si>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</si>
  <si>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</si>
  <si>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</si>
  <si>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</si>
  <si>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</si>
  <si>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</si>
  <si>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</si>
  <si>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</si>
  <si>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</si>
  <si>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</si>
  <si>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</si>
  <si>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</si>
  <si>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</si>
  <si>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</si>
  <si>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</si>
  <si>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</si>
  <si>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</si>
  <si>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</si>
  <si>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</si>
  <si>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</si>
  <si>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</si>
  <si>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</si>
  <si>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</si>
  <si>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</si>
  <si>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</si>
  <si>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</si>
  <si>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</si>
  <si>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</si>
  <si>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</si>
  <si>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</si>
  <si>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</si>
  <si>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</si>
  <si>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</si>
  <si>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</si>
  <si>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</si>
  <si>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</si>
  <si>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</si>
  <si>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</si>
  <si>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</si>
  <si>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</si>
  <si>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</si>
  <si>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</si>
  <si>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</si>
  <si>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</si>
  <si>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</si>
  <si>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</si>
  <si>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</si>
  <si>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</si>
  <si>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</si>
  <si>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</si>
  <si>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</si>
  <si>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</si>
  <si>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</si>
  <si>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</si>
  <si>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</si>
  <si>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</si>
  <si>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</si>
  <si>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</si>
  <si>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</si>
  <si>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</si>
  <si>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</si>
  <si>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</si>
  <si>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</si>
  <si>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</si>
  <si>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</si>
  <si>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</si>
  <si>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</si>
  <si>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</si>
  <si>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</si>
  <si>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</si>
  <si>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</si>
  <si>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</si>
  <si>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</si>
  <si>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</si>
  <si>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</si>
  <si>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</si>
  <si>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</si>
  <si>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</si>
  <si>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</si>
  <si>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</si>
  <si>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</si>
  <si>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</si>
  <si>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</si>
  <si>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</si>
  <si>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</si>
  <si>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</si>
  <si>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</si>
  <si>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</si>
  <si>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</si>
  <si>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</si>
  <si>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</si>
  <si>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</si>
  <si>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</si>
  <si>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</si>
  <si>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</si>
  <si>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</si>
  <si>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</si>
  <si>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</si>
  <si>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</si>
  <si>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</si>
  <si>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</si>
  <si>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</si>
  <si>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</si>
  <si>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</si>
  <si>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</si>
  <si>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</si>
  <si>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</si>
  <si>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</si>
  <si>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</si>
  <si>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</si>
  <si>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</si>
  <si>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</si>
  <si>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</si>
  <si>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</si>
  <si>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</si>
  <si>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</si>
  <si>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</si>
  <si>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</si>
  <si>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</si>
  <si>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</si>
  <si>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</si>
  <si>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</si>
  <si>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</si>
  <si>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</si>
  <si>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</si>
  <si>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</si>
  <si>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</si>
  <si>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</si>
  <si>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</si>
  <si>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</si>
  <si>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</si>
  <si>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</si>
  <si>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</si>
  <si>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</si>
  <si>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</si>
  <si>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</si>
  <si>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</si>
  <si>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</si>
  <si>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</si>
  <si>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</si>
  <si>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</si>
  <si>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</si>
  <si>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</si>
  <si>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</si>
  <si>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</si>
  <si>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</si>
  <si>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</si>
  <si>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</si>
  <si>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</si>
  <si>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</si>
  <si>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</si>
  <si>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</si>
  <si>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</si>
  <si>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</si>
  <si>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</si>
  <si>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</si>
  <si>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</si>
  <si>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</si>
  <si>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</si>
  <si>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</si>
  <si>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</si>
  <si>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</si>
  <si>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</si>
  <si>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</si>
  <si>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</si>
  <si>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</si>
  <si>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</si>
  <si>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</si>
  <si>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</si>
  <si>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</si>
  <si>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</si>
  <si>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</si>
  <si>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</si>
  <si>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</si>
  <si>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</si>
  <si>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</si>
  <si>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</si>
  <si>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</si>
  <si>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</si>
  <si>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</si>
  <si>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</si>
  <si>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</si>
  <si>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</si>
  <si>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</si>
  <si>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</si>
  <si>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</si>
  <si>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</si>
  <si>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</si>
  <si>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</si>
  <si>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</si>
  <si>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</si>
  <si>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</si>
  <si>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</si>
  <si>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</si>
  <si>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</si>
  <si>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</si>
  <si>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</si>
  <si>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</si>
  <si>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</si>
  <si>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</si>
  <si>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</si>
  <si>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</si>
  <si>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</si>
  <si>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</si>
  <si>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</si>
  <si>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</si>
  <si>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</si>
  <si>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</si>
  <si>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</si>
  <si>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</si>
  <si>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</si>
  <si>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</si>
  <si>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</si>
  <si>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</si>
  <si>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</si>
  <si>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</si>
  <si>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</si>
  <si>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</si>
  <si>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</si>
  <si>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</si>
  <si>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</si>
  <si>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</si>
  <si>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</si>
  <si>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</si>
  <si>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</si>
  <si>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</si>
  <si>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</si>
  <si>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</si>
  <si>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</si>
  <si>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</si>
  <si>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</si>
  <si>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</si>
  <si>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</si>
  <si>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</si>
  <si>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</si>
  <si>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</si>
  <si>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</si>
  <si>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</si>
  <si>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</si>
  <si>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</si>
  <si>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</si>
  <si>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</si>
  <si>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</si>
  <si>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</si>
  <si>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</si>
  <si>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</si>
  <si>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</si>
  <si>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</si>
  <si>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</si>
  <si>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</si>
  <si>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</si>
  <si>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</si>
  <si>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</si>
  <si>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</si>
  <si>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</si>
  <si>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</si>
  <si>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</si>
  <si>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</si>
  <si>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</si>
  <si>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</si>
  <si>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</si>
  <si>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</si>
  <si>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</si>
  <si>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</si>
  <si>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</si>
  <si>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</si>
  <si>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</si>
  <si>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</si>
  <si>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</si>
  <si>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</si>
  <si>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</si>
  <si>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</si>
  <si>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</si>
  <si>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</si>
  <si>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</si>
  <si>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</si>
  <si>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</si>
  <si>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</si>
  <si>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</si>
  <si>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</si>
  <si>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</si>
  <si>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</si>
  <si>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</si>
  <si>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</si>
  <si>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</si>
  <si>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</si>
  <si>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</si>
  <si>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</si>
  <si>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</si>
  <si>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</si>
  <si>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</si>
  <si>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</si>
  <si>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</si>
  <si>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</si>
  <si>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</si>
  <si>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</si>
  <si>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</si>
  <si>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</si>
  <si>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</si>
  <si>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</si>
  <si>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</si>
  <si>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</si>
  <si>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</si>
  <si>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</si>
  <si>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</si>
  <si>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</si>
  <si>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</si>
  <si>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</si>
  <si>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</si>
  <si>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</si>
  <si>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</si>
  <si>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</si>
  <si>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</si>
  <si>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</si>
  <si>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</si>
  <si>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</si>
  <si>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</si>
  <si>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</si>
  <si>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</si>
  <si>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</si>
  <si>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</si>
  <si>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</si>
  <si>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</si>
  <si>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</si>
  <si>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</si>
  <si>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</si>
  <si>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</si>
  <si>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</si>
  <si>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</si>
  <si>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</si>
  <si>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</si>
  <si>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</si>
  <si>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</si>
  <si>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</si>
  <si>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</si>
  <si>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</si>
  <si>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</si>
  <si>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</si>
  <si>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</si>
  <si>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</si>
  <si>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</si>
  <si>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</si>
  <si>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</si>
  <si>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</si>
  <si>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</si>
  <si>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</si>
  <si>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</si>
  <si>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</si>
  <si>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</si>
  <si>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</si>
  <si>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</si>
  <si>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</si>
  <si>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</si>
  <si>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</si>
  <si>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</si>
  <si>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</si>
  <si>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</si>
  <si>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</si>
  <si>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</si>
  <si>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</si>
  <si>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</si>
  <si>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</si>
  <si>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</si>
  <si>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</si>
  <si>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</si>
  <si>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</si>
  <si>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</si>
  <si>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</si>
  <si>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</si>
  <si>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</si>
  <si>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</si>
  <si>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</si>
  <si>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</si>
  <si>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</si>
  <si>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</si>
  <si>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</si>
  <si>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</si>
  <si>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</si>
  <si>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</si>
  <si>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</si>
  <si>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</si>
  <si>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</si>
  <si>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</si>
  <si>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</si>
  <si>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</si>
  <si>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</si>
  <si>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</si>
  <si>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</si>
  <si>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</si>
  <si>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</si>
  <si>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</si>
  <si>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</si>
  <si>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</si>
  <si>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</si>
  <si>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</si>
  <si>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</si>
  <si>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</si>
  <si>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</si>
  <si>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</si>
  <si>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</si>
  <si>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</si>
  <si>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</si>
  <si>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</si>
  <si>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</si>
  <si>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</si>
  <si>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</si>
  <si>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</si>
  <si>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</si>
  <si>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</si>
  <si>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</si>
  <si>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</si>
  <si>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</si>
  <si>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</si>
  <si>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</si>
  <si>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</si>
  <si>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</si>
  <si>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</si>
  <si>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</si>
  <si>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</si>
  <si>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</si>
  <si>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</si>
  <si>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</si>
  <si>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</si>
  <si>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</si>
  <si>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</si>
  <si>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</si>
  <si>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</si>
  <si>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</si>
  <si>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</si>
  <si>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</si>
  <si>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</si>
  <si>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</si>
  <si>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</si>
  <si>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</si>
  <si>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</si>
  <si>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</si>
  <si>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</si>
  <si>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</si>
  <si>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</si>
  <si>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</si>
  <si>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</si>
  <si>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</si>
  <si>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</si>
  <si>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</si>
  <si>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</si>
  <si>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</si>
  <si>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</si>
  <si>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</si>
  <si>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</si>
  <si>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</si>
  <si>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</si>
  <si>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</si>
  <si>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</si>
  <si>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</si>
  <si>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</si>
  <si>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</si>
  <si>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</si>
  <si>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</si>
  <si>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</si>
  <si>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</si>
  <si>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</si>
  <si>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</si>
  <si>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</si>
  <si>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</si>
  <si>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</si>
  <si>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</si>
  <si>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</si>
  <si>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</si>
  <si>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</si>
  <si>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</si>
  <si>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</si>
  <si>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</si>
  <si>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</si>
  <si>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</si>
  <si>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</si>
  <si>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</si>
  <si>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</si>
  <si>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</si>
  <si>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</si>
  <si>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</si>
  <si>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</si>
  <si>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</si>
  <si>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</si>
  <si>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</si>
  <si>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</si>
  <si>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</si>
  <si>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</si>
  <si>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</si>
  <si>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</si>
  <si>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</si>
  <si>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</si>
  <si>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</si>
  <si>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</si>
  <si>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</si>
  <si>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</si>
  <si>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</si>
  <si>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</si>
  <si>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</si>
  <si>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</si>
  <si>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</si>
  <si>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</si>
  <si>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</si>
  <si>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</si>
  <si>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</si>
  <si>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</si>
  <si>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</si>
  <si>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</si>
  <si>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</si>
  <si>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</si>
  <si>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</si>
  <si>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</si>
  <si>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</si>
  <si>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</si>
  <si>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</si>
  <si>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</si>
  <si>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</si>
  <si>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</si>
  <si>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</si>
  <si>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</si>
  <si>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</si>
  <si>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</si>
  <si>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</si>
  <si>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</si>
  <si>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</si>
  <si>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</si>
  <si>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</si>
  <si>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</si>
  <si>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</si>
  <si>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</si>
  <si>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</si>
  <si>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</si>
  <si>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</si>
  <si>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</si>
  <si>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</si>
  <si>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</si>
  <si>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</si>
  <si>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</si>
  <si>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</si>
  <si>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</si>
  <si>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</si>
  <si>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</si>
  <si>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</si>
  <si>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</si>
  <si>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</si>
  <si>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</si>
  <si>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</si>
  <si>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</si>
  <si>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</si>
  <si>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</si>
  <si>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</si>
  <si>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</si>
  <si>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</si>
  <si>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</si>
  <si>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</si>
  <si>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</si>
  <si>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</si>
  <si>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</si>
  <si>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</si>
  <si>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</si>
  <si>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</si>
  <si>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</si>
  <si>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</si>
  <si>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</si>
  <si>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</si>
  <si>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</si>
  <si>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</si>
  <si>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</si>
  <si>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</si>
  <si>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</si>
  <si>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</si>
  <si>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</si>
  <si>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</si>
  <si>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</si>
  <si>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</si>
  <si>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</si>
  <si>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</si>
  <si>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</si>
  <si>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</si>
  <si>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</si>
  <si>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</si>
  <si>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</si>
  <si>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</si>
  <si>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</si>
  <si>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</si>
  <si>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</si>
  <si>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</si>
  <si>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</si>
  <si>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</si>
  <si>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</si>
  <si>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</si>
  <si>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</si>
  <si>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</si>
  <si>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</si>
  <si>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</si>
  <si>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</si>
  <si>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</si>
  <si>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</si>
  <si>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</si>
  <si>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</si>
  <si>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</si>
  <si>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</si>
  <si>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</si>
  <si>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</si>
  <si>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</si>
  <si>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</si>
  <si>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</si>
  <si>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</si>
  <si>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</si>
  <si>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</si>
  <si>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</si>
  <si>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</si>
  <si>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</si>
  <si>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</si>
  <si>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</si>
  <si>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</si>
  <si>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</si>
  <si>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</si>
  <si>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</si>
  <si>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</si>
  <si>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</si>
  <si>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</si>
  <si>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</si>
  <si>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</si>
  <si>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</si>
  <si>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</si>
  <si>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</si>
  <si>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</si>
  <si>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</si>
  <si>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</si>
  <si>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</si>
  <si>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</si>
  <si>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</si>
  <si>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</si>
  <si>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</si>
  <si>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</si>
  <si>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</si>
  <si>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</si>
  <si>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</si>
  <si>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</si>
  <si>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</si>
  <si>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</si>
  <si>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</si>
  <si>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</si>
  <si>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</si>
  <si>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</si>
  <si>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</si>
  <si>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</si>
  <si>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</si>
  <si>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</si>
  <si>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</si>
  <si>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</si>
  <si>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</si>
  <si>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</si>
  <si>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</si>
  <si>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</si>
  <si>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</si>
  <si>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</si>
  <si>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</si>
  <si>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</si>
  <si>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</si>
  <si>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</si>
  <si>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</si>
  <si>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</si>
  <si>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</si>
  <si>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</si>
  <si>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</si>
  <si>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</si>
  <si>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</si>
  <si>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</si>
  <si>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</si>
  <si>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</si>
  <si>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</si>
  <si>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</si>
  <si>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</si>
  <si>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</si>
  <si>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</si>
  <si>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</si>
  <si>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</si>
  <si>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</si>
  <si>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</si>
  <si>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</si>
  <si>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</si>
  <si>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</si>
  <si>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</si>
  <si>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</si>
  <si>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</si>
  <si>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</si>
  <si>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</si>
  <si>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</si>
  <si>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</si>
  <si>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</si>
  <si>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</si>
  <si>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</si>
  <si>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</si>
  <si>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</si>
  <si>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</si>
  <si>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</si>
  <si>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</si>
  <si>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</si>
  <si>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</si>
  <si>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</si>
  <si>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</si>
  <si>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</si>
  <si>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</si>
  <si>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</si>
  <si>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</si>
  <si>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</si>
  <si>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</si>
  <si>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</si>
  <si>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</si>
  <si>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</si>
  <si>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</si>
  <si>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</si>
  <si>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</si>
  <si>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</si>
  <si>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</si>
  <si>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</si>
  <si>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</si>
  <si>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</si>
  <si>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</si>
  <si>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</si>
  <si>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</si>
  <si>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</si>
  <si>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</si>
  <si>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</si>
  <si>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</si>
  <si>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</si>
  <si>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</si>
  <si>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</si>
  <si>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</si>
  <si>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</si>
  <si>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</si>
  <si>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</si>
  <si>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</si>
  <si>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</si>
  <si>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</si>
  <si>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</si>
  <si>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</si>
  <si>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</si>
  <si>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</si>
  <si>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</si>
  <si>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</si>
  <si>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</si>
  <si>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</si>
  <si>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</si>
  <si>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</si>
  <si>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</si>
  <si>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</si>
  <si>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</si>
  <si>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</si>
  <si>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</si>
  <si>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</si>
  <si>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</si>
  <si>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</si>
  <si>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</si>
  <si>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</si>
  <si>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</si>
  <si>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</si>
  <si>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</si>
  <si>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</si>
  <si>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</si>
  <si>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</si>
  <si>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</si>
  <si>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</si>
  <si>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</si>
  <si>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</si>
  <si>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</si>
  <si>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</si>
  <si>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</si>
  <si>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</si>
  <si>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</si>
  <si>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</si>
  <si>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</si>
  <si>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</si>
  <si>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</si>
  <si>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</si>
  <si>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</si>
  <si>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</si>
  <si>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</si>
  <si>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</si>
  <si>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</si>
  <si>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</si>
  <si>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</si>
  <si>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</si>
  <si>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</si>
  <si>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</si>
  <si>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</si>
  <si>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</si>
  <si>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</si>
  <si>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</si>
  <si>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</si>
  <si>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</si>
  <si>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</si>
  <si>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</si>
  <si>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</si>
  <si>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</si>
  <si>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</si>
  <si>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</si>
  <si>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</si>
  <si>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</si>
  <si>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</si>
  <si>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</si>
  <si>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</si>
  <si>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</si>
  <si>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</si>
  <si>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</si>
  <si>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</si>
  <si>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</si>
  <si>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</si>
  <si>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</si>
  <si>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</si>
  <si>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</si>
  <si>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</si>
  <si>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</si>
  <si>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</si>
  <si>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</si>
  <si>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</si>
  <si>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</si>
  <si>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</si>
  <si>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</si>
  <si>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</si>
  <si>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</si>
  <si>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</si>
  <si>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</si>
  <si>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</si>
  <si>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</si>
  <si>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</si>
  <si>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</si>
  <si>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</si>
  <si>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</si>
  <si>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</si>
  <si>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</si>
  <si>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</si>
  <si>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</si>
  <si>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</si>
  <si>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</si>
  <si>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</si>
  <si>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</si>
  <si>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</si>
  <si>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</si>
  <si>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</si>
  <si>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</si>
  <si>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</si>
  <si>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</si>
  <si>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</si>
  <si>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</si>
  <si>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</si>
  <si>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</si>
  <si>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</si>
  <si>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</si>
  <si>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</si>
  <si>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</si>
  <si>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</si>
  <si>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</si>
  <si>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</si>
  <si>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</si>
  <si>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</si>
  <si>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</si>
  <si>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</si>
  <si>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</si>
  <si>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</si>
  <si>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</si>
  <si>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</si>
  <si>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</si>
  <si>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</si>
  <si>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</si>
  <si>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</si>
  <si>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</si>
  <si>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</si>
  <si>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</si>
  <si>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</si>
  <si>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</si>
  <si>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</si>
  <si>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</si>
  <si>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</si>
  <si>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</si>
  <si>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</si>
  <si>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</si>
  <si>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</si>
  <si>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</si>
  <si>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</si>
  <si>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</si>
  <si>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</si>
  <si>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</si>
  <si>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</si>
  <si>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</si>
  <si>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</si>
  <si>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</si>
  <si>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</si>
  <si>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</si>
  <si>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</si>
  <si>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</si>
  <si>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</si>
  <si>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</si>
  <si>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</si>
  <si>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</si>
  <si>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</si>
  <si>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</si>
  <si>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</si>
  <si>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</si>
  <si>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</si>
  <si>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</si>
  <si>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</si>
  <si>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</si>
  <si>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</si>
  <si>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</si>
  <si>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</si>
  <si>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</si>
  <si>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</si>
  <si>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</si>
  <si>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</si>
  <si>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</si>
  <si>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</si>
  <si>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</si>
  <si>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</si>
  <si>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</si>
  <si>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</si>
  <si>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</si>
  <si>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</si>
  <si>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</si>
  <si>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</si>
  <si>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</si>
  <si>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</si>
  <si>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</si>
  <si>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</si>
  <si>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</si>
  <si>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</si>
  <si>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</si>
  <si>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</si>
  <si>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</si>
  <si>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</si>
  <si>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</si>
  <si>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</si>
  <si>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</si>
  <si>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</si>
  <si>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</si>
  <si>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</si>
  <si>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</si>
  <si>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</si>
  <si>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</si>
  <si>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</si>
  <si>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</si>
  <si>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</si>
  <si>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</si>
  <si>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</si>
  <si>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</si>
  <si>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</si>
  <si>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</si>
  <si>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</si>
  <si>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</si>
  <si>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</si>
  <si>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</si>
  <si>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</si>
  <si>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</si>
  <si>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</si>
  <si>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</si>
  <si>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</si>
  <si>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</si>
  <si>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</si>
  <si>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</si>
  <si>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</si>
  <si>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</si>
  <si>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</si>
  <si>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</si>
  <si>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</si>
  <si>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</si>
  <si>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</si>
  <si>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</si>
  <si>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</si>
  <si>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</si>
  <si>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</si>
  <si>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</si>
  <si>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</si>
  <si>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</si>
  <si>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</si>
  <si>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</si>
  <si>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</si>
  <si>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</si>
  <si>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</si>
  <si>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</si>
  <si>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</si>
  <si>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</si>
  <si>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</si>
  <si>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</si>
  <si>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</si>
  <si>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</si>
  <si>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</si>
  <si>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</si>
  <si>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</si>
  <si>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</si>
  <si>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</si>
  <si>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</si>
  <si>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</si>
  <si>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</si>
  <si>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</si>
  <si>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</si>
  <si>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</si>
  <si>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</si>
  <si>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</si>
  <si>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</si>
  <si>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</si>
  <si>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</si>
  <si>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</si>
  <si>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</si>
  <si>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</si>
  <si>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</si>
  <si>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</si>
  <si>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</si>
  <si>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</si>
  <si>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</si>
  <si>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</si>
  <si>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</si>
  <si>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</si>
  <si>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</si>
  <si>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</si>
  <si>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</si>
  <si>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</si>
  <si>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</si>
  <si>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</si>
  <si>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</si>
  <si>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</si>
  <si>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</si>
  <si>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</si>
  <si>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</si>
  <si>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</si>
  <si>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</si>
  <si>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</si>
  <si>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</si>
  <si>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</si>
  <si>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</si>
  <si>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</si>
  <si>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</si>
  <si>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</si>
  <si>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</si>
  <si>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</si>
  <si>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</si>
  <si>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</si>
  <si>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</si>
  <si>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</si>
  <si>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</si>
  <si>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</si>
  <si>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</si>
  <si>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</si>
  <si>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</si>
  <si>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</si>
  <si>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</si>
  <si>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</si>
  <si>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</si>
  <si>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</si>
  <si>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</si>
  <si>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</si>
  <si>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</si>
  <si>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</si>
  <si>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</si>
  <si>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</si>
  <si>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</si>
  <si>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</si>
  <si>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</si>
  <si>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</si>
  <si>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</si>
  <si>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</si>
  <si>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</si>
  <si>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</si>
  <si>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</si>
  <si>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</si>
  <si>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</si>
  <si>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</si>
  <si>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</si>
  <si>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</si>
  <si>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</si>
  <si>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</si>
  <si>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</si>
  <si>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</si>
  <si>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</si>
  <si>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</si>
  <si>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</si>
  <si>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</si>
  <si>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</si>
  <si>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</si>
  <si>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</si>
  <si>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</si>
  <si>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</si>
  <si>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</si>
  <si>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</si>
  <si>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</si>
  <si>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</si>
  <si>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</si>
  <si>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</si>
  <si>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</si>
  <si>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</si>
  <si>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</si>
  <si>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</si>
  <si>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</si>
  <si>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</si>
  <si>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</si>
  <si>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</si>
  <si>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</si>
  <si>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</si>
  <si>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</si>
  <si>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</si>
  <si>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</si>
  <si>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</si>
  <si>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</si>
  <si>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</si>
  <si>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</si>
  <si>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</si>
  <si>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</si>
  <si>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</si>
  <si>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</si>
  <si>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</si>
  <si>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</si>
  <si>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</si>
  <si>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</si>
  <si>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</si>
  <si>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</si>
  <si>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</si>
  <si>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</si>
  <si>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</si>
  <si>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</si>
  <si>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</si>
  <si>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</si>
  <si>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</si>
  <si>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</si>
  <si>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</si>
  <si>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</si>
  <si>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</si>
  <si>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</si>
  <si>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</si>
  <si>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</si>
  <si>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</si>
  <si>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</si>
  <si>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</si>
  <si>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</si>
  <si>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</si>
  <si>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</si>
  <si>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</si>
  <si>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</si>
  <si>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</si>
  <si>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</si>
  <si>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</si>
  <si>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</si>
  <si>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</si>
  <si>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</si>
  <si>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</si>
  <si>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</si>
  <si>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</si>
  <si>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</si>
  <si>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</si>
  <si>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</si>
  <si>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</si>
  <si>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</si>
  <si>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</si>
  <si>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</si>
  <si>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</si>
  <si>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</si>
  <si>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</si>
  <si>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</si>
  <si>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</si>
  <si>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</si>
  <si>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</si>
  <si>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</si>
  <si>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</si>
  <si>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</si>
  <si>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</si>
  <si>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</si>
  <si>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</si>
  <si>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</si>
  <si>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</si>
  <si>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</si>
  <si>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</si>
  <si>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</si>
  <si>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</si>
  <si>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</si>
  <si>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</si>
  <si>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</si>
  <si>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</si>
  <si>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</si>
  <si>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</si>
  <si>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</si>
  <si>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</si>
  <si>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</si>
  <si>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</si>
  <si>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</si>
  <si>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</si>
  <si>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</si>
  <si>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</si>
  <si>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</si>
  <si>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</si>
  <si>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</si>
  <si>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</si>
  <si>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</si>
  <si>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</si>
  <si>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</si>
  <si>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</si>
  <si>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</si>
  <si>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</si>
  <si>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</si>
  <si>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</si>
  <si>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</si>
  <si>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</si>
  <si>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</si>
  <si>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</si>
  <si>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</si>
  <si>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</si>
  <si>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</si>
  <si>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</si>
  <si>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</si>
  <si>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</si>
  <si>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</si>
  <si>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</si>
  <si>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</si>
  <si>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</si>
  <si>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</si>
  <si>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</si>
  <si>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</si>
  <si>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</si>
  <si>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</si>
  <si>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</si>
  <si>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</si>
  <si>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</si>
  <si>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</si>
  <si>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</si>
  <si>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</si>
  <si>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</si>
  <si>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</si>
  <si>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</si>
  <si>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</si>
  <si>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</si>
  <si>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</si>
  <si>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</si>
  <si>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</si>
  <si>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</si>
  <si>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</si>
  <si>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</si>
  <si>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</si>
  <si>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</si>
  <si>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</si>
  <si>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</si>
  <si>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</si>
  <si>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</si>
  <si>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</si>
  <si>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</si>
  <si>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</si>
  <si>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</si>
  <si>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</si>
  <si>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</si>
  <si>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</si>
  <si>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</si>
  <si>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</si>
  <si>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</si>
  <si>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</si>
  <si>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</si>
  <si>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</si>
  <si>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</si>
  <si>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</si>
  <si>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</si>
  <si>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</si>
  <si>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</si>
  <si>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</si>
  <si>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</si>
  <si>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</si>
  <si>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</si>
  <si>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</si>
  <si>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</si>
  <si>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</si>
  <si>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</si>
  <si>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</si>
  <si>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</si>
  <si>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</si>
  <si>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</si>
  <si>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</si>
  <si>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</si>
  <si>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</si>
  <si>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</si>
  <si>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</si>
  <si>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</si>
  <si>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</si>
  <si>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</si>
  <si>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</si>
  <si>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</si>
  <si>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</si>
  <si>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</si>
  <si>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</si>
  <si>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</si>
  <si>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</si>
  <si>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</si>
  <si>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</si>
  <si>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</si>
  <si>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</si>
  <si>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</si>
  <si>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</si>
  <si>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</si>
  <si>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</si>
  <si>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</si>
  <si>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</si>
  <si>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</si>
  <si>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</si>
  <si>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</si>
  <si>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</si>
  <si>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</si>
  <si>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</si>
  <si>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</si>
  <si>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</si>
  <si>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</si>
  <si>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</si>
  <si>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</si>
  <si>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</si>
  <si>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</si>
  <si>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</si>
  <si>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</si>
  <si>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</si>
  <si>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</si>
  <si>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</si>
  <si>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</si>
  <si>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</si>
  <si>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</si>
  <si>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</si>
  <si>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</si>
  <si>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</si>
  <si>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</si>
  <si>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</si>
  <si>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</si>
  <si>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</si>
  <si>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</si>
  <si>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</si>
  <si>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</si>
  <si>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</si>
  <si>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</si>
  <si>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</si>
  <si>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</si>
  <si>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</si>
  <si>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</si>
  <si>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</si>
  <si>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</si>
  <si>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</si>
  <si>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</si>
  <si>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</si>
  <si>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</si>
  <si>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</si>
  <si>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</si>
  <si>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</si>
  <si>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</si>
  <si>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</si>
  <si>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</si>
  <si>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</si>
  <si>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</si>
  <si>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</si>
  <si>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</si>
  <si>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</si>
  <si>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</si>
  <si>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</si>
  <si>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</si>
  <si>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</si>
  <si>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</si>
  <si>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</si>
  <si>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</si>
  <si>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</si>
  <si>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</si>
  <si>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</si>
  <si>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</si>
  <si>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</si>
  <si>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</si>
  <si>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</si>
  <si>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</si>
  <si>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</si>
  <si>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</si>
  <si>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</si>
  <si>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</si>
  <si>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</si>
  <si>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</si>
  <si>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</si>
  <si>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</si>
  <si>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</si>
  <si>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</si>
  <si>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</si>
  <si>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</si>
  <si>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</si>
  <si>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</si>
  <si>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</si>
  <si>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</si>
  <si>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</si>
  <si>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</si>
  <si>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</si>
  <si>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</si>
  <si>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</si>
  <si>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</si>
  <si>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</si>
  <si>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</si>
  <si>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</si>
  <si>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</si>
  <si>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</si>
  <si>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</si>
  <si>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</si>
  <si>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</si>
  <si>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</si>
  <si>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</si>
  <si>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</si>
  <si>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</si>
  <si>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</si>
  <si>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</si>
  <si>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</si>
  <si>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</si>
  <si>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</si>
  <si>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</si>
  <si>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</si>
  <si>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</si>
  <si>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</si>
  <si>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</si>
  <si>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</si>
  <si>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</si>
  <si>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</si>
  <si>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</si>
  <si>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</si>
  <si>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</si>
  <si>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</si>
  <si>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</si>
  <si>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</si>
  <si>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</si>
  <si>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</si>
  <si>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</si>
  <si>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</si>
  <si>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</si>
  <si>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</si>
  <si>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</si>
  <si>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</si>
  <si>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</si>
  <si>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</si>
  <si>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</si>
  <si>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</si>
  <si>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</si>
  <si>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</si>
  <si>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</si>
  <si>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</si>
  <si>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</si>
  <si>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</si>
  <si>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</si>
  <si>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</si>
  <si>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</si>
  <si>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</si>
  <si>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</si>
  <si>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</si>
  <si>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</si>
  <si>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</si>
  <si>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</si>
  <si>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</si>
  <si>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</si>
  <si>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</si>
  <si>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</si>
  <si>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</si>
  <si>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</si>
  <si>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</si>
  <si>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</si>
  <si>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</si>
  <si>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</si>
  <si>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</si>
  <si>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</si>
  <si>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</si>
  <si>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</si>
  <si>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</si>
  <si>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</si>
  <si>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</si>
  <si>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</si>
  <si>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</si>
  <si>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</si>
  <si>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</si>
  <si>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</si>
  <si>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</si>
  <si>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</si>
  <si>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</si>
  <si>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</si>
  <si>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</si>
  <si>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</si>
  <si>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</si>
  <si>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</si>
  <si>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</si>
  <si>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</si>
  <si>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</si>
  <si>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</si>
  <si>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</si>
  <si>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</si>
  <si>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</si>
  <si>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</si>
  <si>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</si>
  <si>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</si>
  <si>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</si>
  <si>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</si>
  <si>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</si>
  <si>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</si>
  <si>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</si>
  <si>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</si>
  <si>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</si>
  <si>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</si>
  <si>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</si>
  <si>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</si>
  <si>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</si>
  <si>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</si>
  <si>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</si>
  <si>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</si>
  <si>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</si>
  <si>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</si>
  <si>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</si>
  <si>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</si>
  <si>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</si>
  <si>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</si>
  <si>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</si>
  <si>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</si>
  <si>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</si>
  <si>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</si>
  <si>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</si>
  <si>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</si>
  <si>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</si>
  <si>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</si>
  <si>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</si>
  <si>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</si>
  <si>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</si>
  <si>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</si>
  <si>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</si>
  <si>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</si>
  <si>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</si>
  <si>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</si>
  <si>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</si>
  <si>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</si>
  <si>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</si>
  <si>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</si>
  <si>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</si>
  <si>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</si>
  <si>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</si>
  <si>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</si>
  <si>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</si>
  <si>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</si>
  <si>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</si>
  <si>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</si>
  <si>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</si>
  <si>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</si>
  <si>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</si>
  <si>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</si>
  <si>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</si>
  <si>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</si>
  <si>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</si>
  <si>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</si>
  <si>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</si>
  <si>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</si>
  <si>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</si>
  <si>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</si>
  <si>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</si>
  <si>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</si>
  <si>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</si>
  <si>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</si>
  <si>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</si>
  <si>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</si>
  <si>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</si>
  <si>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</si>
  <si>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</si>
  <si>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</si>
  <si>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</si>
  <si>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</si>
  <si>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</si>
  <si>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</si>
  <si>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</si>
  <si>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</si>
  <si>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</si>
  <si>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</si>
  <si>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</si>
  <si>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</si>
  <si>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</si>
  <si>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</si>
  <si>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</si>
  <si>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</si>
  <si>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</si>
  <si>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</si>
  <si>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</si>
  <si>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</si>
  <si>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</si>
  <si>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</si>
  <si>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</si>
  <si>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</si>
  <si>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</si>
  <si>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</si>
  <si>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</si>
  <si>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</si>
  <si>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</si>
  <si>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</si>
  <si>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</si>
  <si>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</si>
  <si>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</si>
  <si>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</si>
  <si>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</si>
  <si>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</si>
  <si>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</si>
  <si>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</si>
  <si>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</si>
  <si>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</si>
  <si>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</si>
  <si>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</si>
  <si>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</si>
  <si>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</si>
  <si>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</si>
  <si>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</si>
  <si>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</si>
  <si>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</si>
  <si>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</si>
  <si>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</si>
  <si>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</si>
  <si>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</si>
  <si>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</si>
  <si>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</si>
  <si>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</si>
  <si>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</si>
  <si>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</si>
  <si>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</si>
  <si>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</si>
  <si>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</si>
  <si>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</si>
  <si>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</si>
  <si>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</si>
  <si>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</si>
  <si>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</si>
  <si>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</si>
  <si>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</si>
  <si>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</si>
  <si>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</si>
  <si>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</si>
  <si>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</si>
  <si>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</si>
  <si>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</si>
  <si>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</si>
  <si>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</si>
  <si>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</si>
  <si>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</si>
  <si>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</si>
  <si>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</si>
  <si>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</si>
  <si>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</si>
  <si>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</si>
  <si>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</si>
  <si>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</si>
  <si>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</si>
  <si>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</si>
  <si>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</si>
  <si>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</si>
  <si>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</si>
  <si>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</si>
  <si>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</si>
  <si>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</si>
  <si>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</si>
  <si>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</si>
  <si>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</si>
  <si>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</si>
  <si>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</si>
  <si>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</si>
  <si>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</si>
  <si>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</si>
  <si>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</si>
  <si>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</si>
  <si>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</si>
  <si>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</si>
  <si>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</si>
  <si>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</si>
  <si>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</si>
  <si>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</si>
  <si>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</si>
  <si>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</si>
  <si>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</si>
  <si>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</si>
  <si>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</si>
  <si>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</si>
  <si>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</si>
  <si>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</si>
  <si>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</si>
  <si>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</si>
  <si>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</si>
  <si>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</si>
  <si>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</si>
  <si>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</si>
  <si>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</si>
  <si>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</si>
  <si>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</si>
  <si>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</si>
  <si>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</si>
  <si>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</si>
  <si>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</si>
  <si>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</si>
  <si>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</si>
  <si>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</si>
  <si>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</si>
  <si>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</si>
  <si>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</si>
  <si>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</si>
  <si>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</si>
  <si>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</si>
  <si>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</si>
  <si>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</si>
  <si>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</si>
  <si>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</si>
  <si>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</si>
  <si>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</si>
  <si>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</si>
  <si>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</si>
  <si>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</si>
  <si>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</si>
  <si>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</si>
  <si>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</si>
  <si>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</si>
  <si>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</si>
  <si>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</si>
  <si>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</si>
  <si>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</si>
  <si>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</si>
  <si>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</si>
  <si>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</si>
  <si>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</si>
  <si>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</si>
  <si>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</si>
  <si>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</si>
  <si>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</si>
  <si>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</si>
  <si>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</si>
  <si>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</si>
  <si>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</si>
  <si>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</si>
  <si>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</si>
  <si>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</si>
  <si>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</si>
  <si>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</si>
  <si>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</si>
  <si>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</si>
  <si>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</si>
  <si>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</si>
  <si>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</si>
  <si>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</si>
  <si>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</si>
  <si>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</si>
  <si>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</si>
  <si>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</si>
  <si>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</si>
  <si>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</si>
  <si>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</si>
  <si>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</si>
  <si>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</si>
  <si>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</si>
  <si>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</si>
  <si>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</si>
  <si>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</si>
  <si>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</si>
  <si>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</si>
  <si>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</si>
  <si>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</si>
  <si>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</si>
  <si>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</si>
  <si>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</si>
  <si>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</si>
  <si>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</si>
  <si>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</si>
  <si>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</si>
  <si>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</si>
  <si>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</si>
  <si>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</si>
  <si>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</si>
  <si>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</si>
  <si>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</si>
  <si>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</si>
  <si>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</si>
  <si>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</si>
  <si>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</si>
  <si>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</si>
  <si>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</si>
  <si>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</si>
  <si>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</si>
  <si>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</si>
  <si>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</si>
  <si>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</si>
  <si>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</si>
  <si>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</si>
  <si>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</si>
  <si>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</si>
  <si>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</si>
  <si>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</si>
  <si>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</si>
  <si>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</si>
  <si>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</si>
  <si>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</si>
  <si>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</si>
  <si>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</si>
  <si>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</si>
  <si>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</si>
  <si>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</si>
  <si>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</si>
  <si>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</si>
  <si>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</si>
  <si>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</si>
  <si>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</si>
  <si>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</si>
  <si>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</si>
  <si>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</si>
  <si>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</si>
  <si>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</si>
  <si>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</si>
  <si>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</si>
  <si>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</si>
  <si>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</si>
  <si>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</si>
  <si>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</si>
  <si>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</si>
  <si>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</si>
  <si>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</si>
  <si>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</si>
  <si>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</si>
  <si>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</si>
  <si>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</si>
  <si>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</si>
  <si>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</si>
  <si>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</si>
  <si>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</si>
  <si>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</si>
  <si>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</si>
  <si>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</si>
  <si>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</si>
  <si>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</si>
  <si>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</si>
  <si>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</si>
  <si>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</si>
  <si>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</si>
  <si>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</si>
  <si>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</si>
  <si>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</si>
  <si>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</si>
  <si>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</si>
  <si>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</si>
  <si>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</si>
  <si>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</si>
  <si>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</si>
  <si>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</si>
  <si>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</si>
  <si>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</si>
  <si>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</si>
  <si>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</si>
  <si>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</si>
  <si>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</si>
  <si>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</si>
  <si>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</si>
  <si>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</si>
  <si>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</si>
  <si>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</si>
  <si>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</si>
  <si>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</si>
  <si>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</si>
  <si>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</si>
  <si>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</si>
  <si>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</si>
  <si>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</si>
  <si>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</si>
  <si>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</si>
  <si>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</si>
  <si>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</si>
  <si>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</si>
  <si>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</si>
  <si>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</si>
  <si>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</si>
  <si>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</si>
  <si>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</si>
  <si>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</si>
  <si>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</si>
  <si>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</si>
  <si>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</si>
  <si>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</si>
  <si>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</si>
  <si>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</si>
  <si>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</si>
  <si>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</si>
  <si>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</si>
  <si>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</si>
  <si>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</si>
  <si>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</si>
  <si>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</si>
  <si>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</si>
  <si>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</si>
  <si>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</si>
  <si>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</si>
  <si>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</si>
  <si>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</si>
  <si>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</si>
  <si>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</si>
  <si>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</si>
  <si>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</si>
  <si>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</si>
  <si>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</si>
  <si>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</si>
  <si>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</si>
  <si>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</si>
  <si>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</si>
  <si>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</si>
  <si>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</si>
  <si>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</si>
  <si>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</si>
  <si>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</si>
  <si>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</si>
  <si>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</si>
  <si>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</si>
  <si>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</si>
  <si>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</si>
  <si>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</si>
  <si>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</si>
  <si>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</si>
  <si>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</si>
  <si>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</si>
  <si>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</si>
  <si>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</si>
  <si>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</si>
  <si>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</si>
  <si>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</si>
  <si>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</si>
  <si>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</si>
  <si>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</si>
  <si>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</si>
  <si>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</si>
  <si>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</si>
  <si>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</si>
  <si>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</si>
  <si>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</si>
  <si>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</si>
  <si>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</si>
  <si>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</si>
  <si>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</si>
  <si>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</si>
  <si>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</si>
  <si>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</si>
  <si>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</si>
  <si>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</si>
  <si>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</si>
  <si>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</si>
  <si>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</si>
  <si>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</si>
  <si>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</si>
  <si>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</si>
  <si>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</si>
  <si>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</si>
  <si>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</si>
  <si>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</si>
  <si>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</si>
  <si>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</si>
  <si>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</si>
  <si>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</si>
  <si>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</si>
  <si>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</si>
  <si>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</si>
  <si>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</si>
  <si>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</si>
  <si>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</si>
  <si>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</si>
  <si>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</si>
  <si>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</si>
  <si>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</si>
  <si>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</si>
  <si>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</si>
  <si>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</si>
  <si>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</si>
  <si>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</si>
  <si>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</si>
  <si>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</si>
  <si>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</si>
  <si>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</si>
  <si>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</si>
  <si>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</si>
  <si>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</si>
  <si>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</si>
  <si>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</si>
  <si>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</si>
  <si>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</si>
  <si>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</si>
  <si>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</si>
  <si>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</si>
  <si>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</si>
  <si>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</si>
  <si>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</si>
  <si>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</si>
  <si>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</si>
  <si>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</si>
  <si>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</si>
  <si>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</si>
  <si>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</si>
  <si>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</si>
  <si>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</si>
  <si>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</si>
  <si>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</si>
  <si>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</si>
  <si>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</si>
  <si>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</si>
  <si>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</si>
  <si>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</si>
  <si>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</si>
  <si>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</si>
  <si>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</si>
  <si>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</si>
  <si>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</si>
  <si>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</si>
  <si>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</si>
  <si>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</si>
  <si>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</si>
  <si>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</si>
  <si>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</si>
  <si>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</si>
  <si>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</si>
  <si>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</si>
  <si>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</si>
  <si>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</si>
  <si>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</si>
  <si>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</si>
  <si>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</si>
  <si>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</si>
  <si>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</si>
  <si>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</si>
  <si>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</si>
  <si>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</si>
  <si>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</si>
  <si>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</si>
  <si>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</si>
  <si>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</si>
  <si>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</si>
  <si>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</si>
  <si>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</si>
  <si>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</si>
  <si>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</si>
  <si>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</si>
  <si>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</si>
  <si>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</si>
  <si>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</si>
  <si>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</si>
  <si>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</si>
  <si>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</si>
  <si>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</si>
  <si>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</si>
  <si>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</si>
  <si>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</si>
  <si>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</si>
  <si>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</si>
  <si>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</si>
  <si>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</si>
  <si>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</si>
  <si>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</si>
  <si>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</si>
  <si>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</si>
  <si>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</si>
  <si>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</si>
  <si>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</si>
  <si>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</si>
  <si>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</si>
  <si>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</si>
  <si>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</si>
  <si>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</si>
  <si>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</si>
  <si>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</si>
  <si>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</si>
  <si>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</si>
  <si>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</si>
  <si>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</si>
  <si>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</si>
  <si>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</si>
  <si>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</si>
  <si>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</si>
  <si>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</si>
  <si>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</si>
  <si>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</si>
  <si>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</si>
  <si>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</si>
  <si>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</si>
  <si>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</si>
  <si>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</si>
  <si>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</si>
  <si>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</si>
  <si>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</si>
  <si>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</si>
  <si>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</si>
  <si>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</si>
  <si>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</si>
  <si>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</si>
  <si>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</si>
  <si>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</si>
  <si>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</si>
  <si>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</si>
  <si>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</si>
  <si>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</si>
  <si>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</si>
  <si>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</si>
  <si>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</si>
  <si>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</si>
  <si>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</si>
  <si>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</si>
  <si>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</si>
  <si>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</si>
  <si>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</si>
  <si>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</si>
  <si>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</si>
  <si>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</si>
  <si>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</si>
  <si>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</si>
  <si>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</si>
  <si>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</si>
  <si>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</si>
  <si>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</si>
  <si>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</si>
  <si>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</si>
  <si>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</si>
  <si>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</si>
  <si>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</si>
  <si>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</si>
  <si>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</si>
  <si>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</si>
  <si>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</si>
  <si>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</si>
  <si>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</si>
  <si>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</si>
  <si>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</si>
  <si>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</si>
  <si>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</si>
  <si>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</si>
  <si>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</si>
  <si>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</si>
  <si>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</si>
  <si>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</si>
  <si>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</si>
  <si>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</si>
  <si>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</si>
  <si>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</si>
  <si>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</si>
  <si>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</si>
  <si>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</si>
  <si>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</si>
  <si>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</si>
  <si>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</si>
  <si>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</si>
  <si>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</si>
  <si>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</si>
  <si>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</si>
  <si>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</si>
  <si>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</si>
  <si>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</si>
  <si>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</si>
  <si>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</si>
  <si>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</si>
  <si>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</si>
  <si>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</si>
  <si>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</si>
  <si>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</si>
  <si>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</si>
  <si>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</si>
  <si>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</si>
  <si>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</si>
  <si>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</si>
  <si>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</si>
  <si>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</si>
  <si>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</si>
  <si>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</si>
  <si>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</si>
  <si>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</si>
  <si>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</si>
  <si>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</si>
  <si>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</si>
  <si>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</si>
  <si>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</si>
  <si>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</si>
  <si>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</si>
  <si>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</si>
  <si>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</si>
  <si>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</si>
  <si>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</si>
  <si>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</si>
  <si>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</si>
  <si>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</si>
  <si>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</si>
  <si>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</si>
  <si>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</si>
  <si>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</si>
  <si>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</si>
  <si>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</si>
  <si>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</si>
  <si>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</si>
  <si>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</si>
  <si>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</si>
  <si>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</si>
  <si>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</si>
  <si>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</si>
  <si>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</si>
  <si>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</si>
  <si>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</si>
  <si>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</si>
  <si>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</si>
  <si>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</si>
  <si>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</si>
  <si>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</si>
  <si>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</si>
  <si>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</si>
  <si>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</si>
  <si>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</si>
  <si>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</si>
  <si>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</si>
  <si>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</si>
  <si>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</si>
  <si>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</si>
  <si>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</si>
  <si>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</si>
  <si>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</si>
  <si>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</si>
  <si>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</si>
  <si>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</si>
  <si>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</si>
  <si>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</si>
  <si>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</si>
  <si>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</si>
  <si>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</si>
  <si>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</si>
  <si>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</si>
  <si>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</si>
  <si>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</si>
  <si>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</si>
  <si>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</si>
  <si>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</si>
  <si>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</si>
  <si>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</si>
  <si>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</si>
  <si>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</si>
  <si>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</si>
  <si>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</si>
  <si>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</si>
  <si>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</si>
  <si>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</si>
  <si>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</si>
  <si>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</si>
  <si>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</si>
  <si>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</si>
  <si>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</si>
  <si>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</si>
  <si>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</si>
  <si>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</si>
  <si>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</si>
  <si>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</si>
  <si>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</si>
  <si>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</si>
  <si>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</si>
  <si>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</si>
  <si>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</si>
  <si>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</si>
  <si>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</si>
  <si>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</si>
  <si>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</si>
  <si>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</si>
  <si>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</si>
  <si>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</si>
  <si>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</si>
  <si>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</si>
  <si>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</si>
  <si>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</si>
  <si>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</si>
  <si>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</si>
  <si>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</si>
  <si>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</si>
  <si>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</si>
  <si>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</si>
  <si>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</si>
  <si>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</si>
  <si>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</si>
  <si>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</si>
  <si>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</si>
  <si>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</si>
  <si>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</si>
  <si>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</si>
  <si>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</si>
  <si>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</si>
  <si>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</si>
  <si>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</si>
  <si>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</si>
  <si>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</si>
  <si>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</si>
  <si>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</si>
  <si>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</si>
  <si>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</si>
  <si>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</si>
  <si>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</si>
  <si>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</si>
  <si>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</si>
  <si>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</si>
  <si>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</si>
  <si>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</si>
  <si>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</si>
  <si>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</si>
  <si>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</si>
  <si>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</si>
  <si>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</si>
  <si>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</si>
  <si>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</si>
  <si>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</si>
  <si>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</si>
  <si>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</si>
  <si>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</si>
  <si>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</si>
  <si>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</si>
  <si>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</si>
  <si>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</si>
  <si>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</si>
  <si>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</si>
  <si>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</si>
  <si>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</si>
  <si>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</si>
  <si>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</si>
  <si>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</si>
  <si>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</si>
  <si>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</si>
  <si>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</si>
  <si>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</si>
  <si>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</si>
  <si>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</si>
  <si>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</si>
  <si>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</si>
  <si>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</si>
  <si>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</si>
  <si>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</si>
  <si>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</si>
  <si>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</si>
  <si>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</si>
  <si>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</si>
  <si>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</si>
  <si>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</si>
  <si>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</si>
  <si>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</si>
  <si>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</si>
  <si>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</si>
  <si>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</si>
  <si>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</si>
  <si>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</si>
  <si>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</si>
  <si>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</si>
  <si>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</si>
  <si>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</si>
  <si>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</si>
  <si>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</si>
  <si>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</si>
  <si>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</si>
  <si>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</si>
  <si>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</si>
  <si>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</si>
  <si>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</si>
  <si>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</si>
  <si>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</si>
  <si>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</si>
  <si>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</si>
  <si>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</si>
  <si>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</si>
  <si>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</si>
  <si>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</si>
  <si>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</si>
  <si>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</si>
  <si>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</si>
  <si>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</si>
  <si>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</si>
  <si>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</si>
  <si>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</si>
  <si>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</si>
  <si>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</si>
  <si>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</si>
  <si>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</si>
  <si>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</si>
  <si>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</si>
  <si>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</si>
  <si>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</si>
  <si>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</si>
  <si>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</si>
  <si>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</si>
  <si>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</si>
  <si>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</si>
  <si>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</si>
  <si>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</si>
  <si>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</si>
  <si>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</si>
  <si>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</si>
  <si>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</si>
  <si>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</si>
  <si>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</si>
  <si>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</si>
  <si>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</si>
  <si>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</si>
  <si>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</si>
  <si>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</si>
  <si>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</si>
  <si>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</si>
  <si>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</si>
  <si>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</si>
  <si>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</si>
  <si>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</si>
  <si>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</si>
  <si>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</si>
  <si>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</si>
  <si>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</si>
  <si>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</si>
  <si>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</si>
  <si>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</si>
  <si>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</si>
  <si>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</si>
  <si>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</si>
  <si>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</si>
  <si>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</si>
  <si>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</si>
  <si>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</si>
  <si>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</si>
  <si>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</si>
  <si>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</si>
  <si>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</si>
  <si>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</si>
  <si>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</si>
  <si>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</si>
  <si>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</si>
  <si>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</si>
  <si>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</si>
  <si>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</si>
  <si>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</si>
  <si>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</si>
  <si>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</si>
  <si>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</si>
  <si>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</si>
  <si>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</si>
  <si>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</si>
  <si>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</si>
  <si>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</si>
  <si>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</si>
  <si>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</si>
  <si>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</si>
  <si>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</si>
  <si>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</si>
  <si>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</si>
  <si>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</si>
  <si>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</si>
  <si>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</si>
  <si>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</si>
  <si>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</si>
  <si>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</si>
  <si>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</si>
  <si>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</si>
  <si>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</si>
  <si>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</si>
  <si>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</si>
  <si>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</si>
  <si>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</si>
  <si>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</si>
  <si>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</si>
  <si>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</si>
  <si>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</si>
  <si>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</si>
  <si>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</si>
  <si>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</si>
  <si>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</si>
  <si>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</si>
  <si>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</si>
  <si>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</si>
  <si>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</si>
  <si>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</si>
  <si>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</si>
  <si>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</si>
  <si>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</si>
  <si>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</si>
  <si>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</si>
  <si>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</si>
  <si>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</si>
  <si>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</si>
  <si>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</si>
  <si>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</si>
  <si>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</si>
  <si>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</si>
  <si>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</si>
  <si>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</si>
  <si>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</si>
  <si>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</si>
  <si>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</si>
  <si>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</si>
  <si>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</si>
  <si>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</si>
  <si>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</si>
  <si>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</si>
  <si>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</si>
  <si>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</si>
  <si>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</si>
  <si>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</si>
  <si>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</si>
  <si>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</si>
  <si>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</si>
  <si>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</si>
  <si>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</si>
  <si>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</si>
  <si>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</si>
  <si>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</si>
  <si>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</si>
  <si>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</si>
  <si>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</si>
  <si>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</si>
  <si>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</si>
  <si>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</si>
  <si>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</si>
  <si>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</si>
  <si>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</si>
  <si>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</si>
  <si>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</si>
  <si>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</si>
  <si>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</si>
  <si>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</si>
  <si>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</si>
  <si>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</si>
  <si>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</si>
  <si>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</si>
  <si>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</si>
  <si>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</si>
  <si>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</si>
  <si>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</si>
  <si>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</si>
  <si>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</si>
  <si>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</si>
  <si>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</si>
  <si>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</si>
  <si>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</si>
  <si>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</si>
  <si>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</si>
  <si>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</si>
  <si>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</si>
  <si>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</si>
  <si>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</si>
  <si>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</si>
  <si>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</si>
  <si>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</si>
  <si>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</si>
  <si>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</si>
  <si>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</si>
  <si>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</si>
  <si>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</si>
  <si>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</si>
  <si>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</si>
  <si>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</si>
  <si>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</si>
  <si>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</si>
  <si>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</si>
  <si>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</si>
  <si>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</si>
  <si>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</si>
  <si>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</si>
  <si>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</si>
  <si>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</si>
  <si>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</si>
  <si>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</si>
  <si>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</si>
  <si>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</si>
  <si>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</si>
  <si>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</si>
  <si>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</si>
  <si>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</si>
  <si>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</si>
  <si>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</si>
  <si>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</si>
  <si>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</si>
  <si>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</si>
  <si>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</si>
  <si>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</si>
  <si>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</si>
  <si>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</si>
  <si>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</si>
  <si>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</si>
  <si>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</si>
  <si>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</si>
  <si>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</si>
  <si>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</si>
  <si>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</si>
  <si>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</si>
  <si>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</si>
  <si>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</si>
  <si>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</si>
  <si>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</si>
  <si>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</si>
  <si>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</si>
  <si>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</si>
  <si>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</si>
  <si>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</si>
  <si>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</si>
  <si>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</si>
  <si>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</si>
  <si>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</si>
  <si>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</si>
  <si>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</si>
  <si>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</si>
  <si>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</si>
  <si>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</si>
  <si>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</si>
  <si>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</si>
  <si>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</si>
  <si>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</si>
  <si>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</si>
  <si>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</si>
  <si>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</si>
  <si>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</si>
  <si>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</si>
  <si>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</si>
  <si>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</si>
  <si>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</si>
  <si>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</si>
  <si>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</si>
  <si>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</si>
  <si>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</si>
  <si>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</si>
  <si>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</si>
  <si>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</si>
  <si>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</si>
  <si>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</si>
  <si>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</si>
  <si>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</si>
  <si>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</si>
  <si>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</si>
  <si>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</si>
  <si>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</si>
  <si>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</si>
  <si>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</si>
  <si>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</si>
  <si>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</si>
  <si>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</si>
  <si>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</si>
  <si>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</si>
  <si>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</si>
  <si>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</si>
  <si>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</si>
  <si>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</si>
  <si>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</si>
  <si>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</si>
  <si>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</si>
  <si>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</si>
  <si>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</si>
  <si>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</si>
  <si>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</si>
  <si>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</si>
  <si>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</si>
  <si>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</si>
  <si>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</si>
  <si>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</si>
  <si>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</si>
  <si>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</si>
  <si>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</si>
  <si>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</si>
  <si>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</si>
  <si>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</si>
  <si>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</si>
  <si>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</si>
  <si>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</si>
  <si>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</si>
  <si>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</si>
  <si>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</si>
  <si>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</si>
  <si>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</si>
  <si>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</si>
  <si>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</si>
  <si>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</si>
  <si>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</si>
  <si>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</si>
  <si>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</si>
  <si>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</si>
  <si>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</si>
  <si>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</si>
  <si>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</si>
  <si>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</si>
  <si>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</si>
  <si>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</si>
  <si>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</si>
  <si>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</si>
  <si>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</si>
  <si>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</si>
  <si>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</si>
  <si>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</si>
  <si>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</si>
  <si>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</si>
  <si>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</si>
  <si>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</si>
  <si>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</si>
  <si>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</si>
  <si>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</si>
  <si>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</si>
  <si>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</si>
  <si>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</si>
  <si>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</si>
  <si>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</si>
  <si>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</si>
  <si>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</si>
  <si>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</si>
  <si>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</si>
  <si>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</si>
  <si>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</si>
  <si>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</si>
  <si>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</si>
  <si>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</si>
  <si>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</si>
  <si>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</si>
  <si>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</si>
  <si>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</si>
  <si>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</si>
  <si>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</si>
  <si>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</si>
  <si>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</si>
  <si>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</si>
  <si>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</si>
  <si>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</si>
  <si>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</si>
  <si>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</si>
  <si>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</si>
  <si>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</si>
  <si>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</si>
  <si>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</si>
  <si>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</si>
  <si>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</si>
  <si>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</si>
  <si>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</si>
  <si>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</si>
  <si>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</si>
  <si>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</si>
  <si>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</si>
  <si>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</si>
  <si>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</si>
  <si>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</si>
  <si>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</si>
  <si>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</si>
  <si>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</si>
  <si>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</si>
  <si>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</si>
  <si>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</si>
  <si>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</si>
  <si>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</si>
  <si>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</si>
  <si>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</si>
  <si>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</si>
  <si>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</si>
  <si>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</si>
  <si>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</si>
  <si>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</si>
  <si>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</si>
  <si>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</si>
  <si>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</si>
  <si>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</si>
  <si>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</si>
  <si>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</si>
  <si>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</si>
  <si>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</si>
  <si>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</si>
  <si>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</si>
  <si>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</si>
  <si>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</si>
  <si>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</si>
  <si>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</si>
  <si>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</si>
  <si>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</si>
  <si>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</si>
  <si>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</si>
  <si>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</si>
  <si>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</si>
  <si>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</si>
  <si>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</si>
  <si>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</si>
  <si>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</si>
  <si>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</si>
  <si>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</si>
  <si>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</si>
  <si>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</si>
  <si>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</si>
  <si>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</si>
  <si>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</si>
  <si>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</si>
  <si>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</si>
  <si>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</si>
  <si>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</si>
  <si>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</si>
  <si>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</si>
  <si>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</si>
  <si>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</si>
  <si>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</si>
  <si>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</si>
  <si>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</si>
  <si>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</si>
  <si>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</si>
  <si>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</si>
  <si>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</si>
  <si>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</si>
  <si>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</si>
  <si>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</si>
  <si>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</si>
  <si>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</si>
  <si>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</si>
  <si>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</si>
  <si>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</si>
  <si>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</si>
  <si>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</si>
  <si>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</si>
  <si>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</si>
  <si>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</si>
  <si>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</si>
  <si>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</si>
  <si>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</si>
  <si>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</si>
  <si>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</si>
  <si>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</si>
  <si>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</si>
  <si>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</si>
  <si>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</si>
  <si>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</si>
  <si>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</si>
  <si>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</si>
  <si>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</si>
  <si>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</si>
  <si>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</si>
  <si>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</si>
  <si>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</si>
  <si>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</si>
  <si>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</si>
  <si>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</si>
  <si>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</si>
  <si>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</si>
  <si>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</si>
  <si>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</si>
  <si>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</si>
  <si>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</si>
  <si>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</si>
  <si>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</si>
  <si>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</si>
  <si>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</si>
  <si>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</si>
  <si>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</si>
  <si>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</si>
  <si>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</si>
  <si>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</si>
  <si>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</si>
  <si>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</si>
  <si>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</si>
  <si>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</si>
  <si>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</si>
  <si>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</si>
  <si>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</si>
  <si>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</si>
  <si>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</si>
  <si>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</si>
  <si>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</si>
  <si>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</si>
  <si>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</si>
  <si>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</si>
  <si>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</si>
  <si>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</si>
  <si>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</si>
  <si>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</si>
  <si>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</si>
  <si>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</si>
  <si>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</si>
  <si>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</si>
  <si>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</si>
  <si>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</si>
  <si>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</si>
  <si>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</si>
  <si>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</si>
  <si>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</si>
  <si>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</si>
  <si>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</si>
  <si>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</si>
  <si>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</si>
  <si>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</si>
  <si>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</si>
  <si>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</si>
  <si>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</si>
  <si>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</si>
  <si>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</si>
  <si>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</si>
  <si>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</si>
  <si>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</si>
  <si>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</si>
  <si>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</si>
  <si>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</si>
  <si>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</si>
  <si>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</si>
  <si>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</si>
  <si>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</si>
  <si>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</si>
  <si>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</si>
  <si>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</si>
  <si>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</si>
  <si>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</si>
  <si>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</si>
  <si>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</si>
  <si>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</si>
  <si>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</si>
  <si>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</si>
  <si>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</si>
  <si>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</si>
  <si>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</si>
  <si>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</si>
  <si>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</si>
  <si>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</si>
  <si>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</si>
  <si>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</si>
  <si>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</si>
  <si>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</si>
  <si>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</si>
  <si>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</si>
  <si>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</si>
  <si>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</si>
  <si>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</si>
  <si>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</si>
  <si>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</si>
  <si>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</si>
  <si>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</si>
  <si>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</si>
  <si>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</si>
  <si>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</si>
  <si>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</si>
  <si>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</si>
  <si>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</si>
  <si>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</si>
  <si>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</si>
  <si>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</si>
  <si>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</si>
  <si>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</si>
  <si>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</si>
  <si>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</si>
  <si>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</si>
  <si>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</si>
  <si>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</si>
  <si>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</si>
  <si>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</si>
  <si>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</si>
  <si>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</si>
  <si>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</si>
  <si>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</si>
  <si>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</si>
  <si>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</si>
  <si>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</si>
  <si>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</si>
  <si>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</si>
  <si>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</si>
  <si>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</si>
  <si>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</si>
  <si>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</si>
  <si>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</si>
  <si>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</si>
  <si>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</si>
  <si>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</si>
  <si>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</si>
  <si>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</si>
  <si>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</si>
  <si>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</si>
  <si>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</si>
  <si>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</si>
  <si>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</si>
  <si>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</si>
  <si>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</si>
  <si>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</si>
  <si>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</si>
  <si>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</si>
  <si>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</si>
  <si>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</si>
  <si>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</si>
  <si>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</si>
  <si>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</si>
  <si>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</si>
  <si>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</si>
  <si>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</si>
  <si>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</si>
  <si>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</si>
  <si>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</si>
  <si>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</si>
  <si>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</si>
  <si>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</si>
  <si>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</si>
  <si>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</si>
  <si>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</si>
  <si>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</si>
  <si>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</si>
  <si>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</si>
  <si>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</si>
  <si>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</si>
  <si>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</si>
  <si>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</si>
  <si>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</si>
  <si>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</si>
  <si>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</si>
  <si>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</si>
  <si>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</si>
  <si>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</si>
  <si>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</si>
  <si>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</si>
  <si>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</si>
  <si>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</si>
  <si>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</si>
  <si>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</si>
  <si>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</si>
  <si>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</si>
  <si>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</si>
  <si>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</si>
  <si>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</si>
  <si>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</si>
  <si>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</si>
  <si>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</si>
  <si>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</si>
  <si>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</si>
  <si>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</si>
  <si>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</si>
  <si>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</si>
  <si>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</si>
  <si>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</si>
  <si>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</si>
  <si>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</si>
  <si>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</si>
  <si>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</si>
  <si>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</si>
  <si>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</si>
  <si>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</si>
  <si>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</si>
  <si>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</si>
  <si>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</si>
  <si>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</si>
  <si>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</si>
  <si>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</si>
  <si>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</si>
  <si>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</si>
  <si>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</si>
  <si>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</si>
  <si>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</si>
  <si>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</si>
  <si>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</si>
  <si>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</si>
  <si>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</si>
  <si>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</si>
  <si>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</si>
  <si>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</si>
  <si>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</si>
  <si>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</si>
  <si>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</si>
  <si>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</si>
  <si>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</si>
  <si>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</si>
  <si>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</si>
  <si>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</si>
  <si>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</si>
  <si>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</si>
  <si>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</si>
  <si>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</si>
  <si>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</si>
  <si>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</si>
  <si>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</si>
  <si>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</si>
  <si>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</si>
  <si>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</si>
  <si>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</si>
  <si>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</si>
  <si>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</si>
  <si>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</si>
  <si>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</si>
  <si>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</si>
  <si>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</si>
  <si>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</si>
  <si>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</si>
  <si>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</si>
  <si>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</si>
  <si>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</si>
  <si>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</si>
  <si>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</si>
  <si>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</si>
  <si>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</si>
  <si>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</si>
  <si>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</si>
  <si>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</si>
  <si>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</si>
  <si>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</si>
  <si>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</si>
  <si>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</si>
  <si>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</si>
  <si>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</si>
  <si>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</si>
  <si>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</si>
  <si>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</si>
  <si>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</si>
  <si>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</si>
  <si>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</si>
  <si>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</si>
  <si>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</si>
  <si>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</si>
  <si>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</si>
  <si>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</si>
  <si>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</si>
  <si>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</si>
  <si>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</si>
  <si>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</si>
  <si>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</si>
  <si>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</si>
  <si>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</si>
  <si>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</si>
  <si>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</si>
  <si>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</si>
  <si>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</si>
  <si>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</si>
  <si>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</si>
  <si>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</si>
  <si>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</si>
  <si>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</si>
  <si>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</si>
  <si>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</si>
  <si>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</si>
  <si>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</si>
  <si>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</si>
  <si>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</si>
  <si>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</si>
  <si>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</si>
  <si>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</si>
  <si>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</si>
  <si>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</si>
  <si>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</si>
  <si>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</si>
  <si>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</si>
  <si>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</si>
  <si>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</si>
  <si>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</si>
  <si>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</si>
  <si>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</si>
  <si>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</si>
  <si>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</si>
  <si>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</si>
  <si>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</si>
  <si>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</si>
  <si>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</si>
  <si>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</si>
  <si>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</si>
  <si>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</si>
  <si>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</si>
  <si>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</si>
  <si>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</si>
  <si>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</si>
  <si>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</si>
  <si>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</si>
  <si>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</si>
  <si>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</si>
  <si>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</si>
  <si>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</si>
  <si>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</si>
  <si>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</si>
  <si>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</si>
  <si>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</si>
  <si>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</si>
  <si>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</si>
  <si>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</si>
  <si>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</si>
  <si>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</si>
  <si>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</si>
  <si>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</si>
  <si>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</si>
  <si>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</si>
  <si>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</si>
  <si>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</si>
  <si>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</si>
  <si>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</si>
  <si>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</si>
  <si>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</si>
  <si>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</si>
  <si>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</si>
  <si>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</si>
  <si>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</si>
  <si>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</si>
  <si>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</si>
  <si>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</si>
  <si>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</si>
  <si>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</si>
  <si>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</si>
  <si>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</si>
  <si>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</si>
  <si>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</si>
  <si>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</si>
  <si>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</si>
  <si>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</si>
  <si>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</si>
  <si>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</si>
  <si>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</si>
  <si>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</si>
  <si>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</si>
  <si>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</si>
  <si>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</si>
  <si>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</si>
  <si>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</si>
  <si>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</si>
  <si>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</si>
  <si>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</si>
  <si>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</si>
  <si>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</si>
  <si>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</si>
  <si>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</si>
  <si>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</si>
  <si>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</si>
  <si>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</si>
  <si>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</si>
  <si>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</si>
  <si>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</si>
  <si>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</si>
  <si>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</si>
  <si>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</si>
  <si>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</si>
  <si>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</si>
  <si>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</si>
  <si>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</si>
  <si>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</si>
  <si>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</si>
  <si>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</si>
  <si>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</si>
  <si>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</si>
  <si>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</si>
  <si>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</si>
  <si>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</si>
  <si>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</si>
  <si>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</si>
  <si>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</si>
  <si>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</si>
  <si>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</si>
  <si>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</si>
  <si>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</si>
  <si>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</si>
  <si>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</si>
  <si>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</si>
  <si>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</si>
  <si>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</si>
  <si>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</si>
  <si>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</si>
  <si>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</si>
  <si>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</si>
  <si>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</si>
  <si>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</si>
  <si>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</si>
  <si>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</si>
  <si>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</si>
  <si>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</si>
  <si>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</si>
  <si>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</si>
  <si>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</si>
  <si>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</si>
  <si>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</si>
  <si>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</si>
  <si>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</si>
  <si>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</si>
  <si>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</si>
  <si>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</si>
  <si>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</si>
  <si>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</si>
  <si>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</si>
  <si>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</si>
  <si>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</si>
  <si>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</si>
  <si>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</si>
  <si>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</si>
  <si>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</si>
  <si>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</si>
  <si>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</si>
  <si>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</si>
  <si>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</si>
  <si>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</si>
  <si>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</si>
  <si>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</si>
  <si>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</si>
  <si>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</si>
  <si>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</si>
  <si>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</si>
  <si>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</si>
  <si>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</si>
  <si>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</si>
  <si>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</si>
  <si>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</si>
  <si>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</si>
  <si>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</si>
  <si>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</si>
  <si>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</si>
  <si>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</si>
  <si>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</si>
  <si>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</si>
  <si>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</si>
  <si>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</si>
  <si>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</si>
  <si>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</si>
  <si>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</si>
  <si>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</si>
  <si>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</si>
  <si>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</si>
  <si>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</si>
  <si>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</si>
  <si>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</si>
  <si>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</si>
  <si>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</si>
  <si>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</si>
  <si>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</si>
  <si>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</si>
  <si>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</si>
  <si>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</si>
  <si>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</si>
  <si>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</si>
  <si>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</si>
  <si>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</si>
  <si>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</si>
  <si>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</si>
  <si>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</si>
  <si>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</si>
  <si>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</si>
  <si>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</si>
  <si>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</si>
  <si>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</si>
  <si>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</si>
  <si>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</si>
  <si>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</si>
  <si>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</si>
  <si>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</si>
  <si>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</si>
  <si>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</si>
  <si>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</si>
  <si>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</si>
  <si>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</si>
  <si>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</si>
  <si>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</si>
  <si>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</si>
  <si>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</si>
  <si>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</si>
  <si>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</si>
  <si>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</si>
  <si>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</si>
  <si>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</si>
  <si>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</si>
  <si>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</si>
  <si>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</si>
  <si>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</si>
  <si>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</si>
  <si>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</si>
  <si>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</si>
  <si>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</si>
  <si>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</si>
  <si>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</si>
  <si>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</si>
  <si>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</si>
  <si>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</si>
  <si>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</si>
  <si>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</si>
  <si>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</si>
  <si>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</si>
  <si>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</si>
  <si>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</si>
  <si>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</si>
  <si>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</si>
  <si>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</si>
  <si>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</si>
  <si>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</si>
  <si>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</si>
  <si>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</si>
  <si>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</si>
  <si>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</si>
  <si>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</si>
  <si>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</si>
  <si>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</si>
  <si>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</si>
  <si>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</si>
  <si>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</si>
  <si>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</si>
  <si>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</si>
  <si>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</si>
  <si>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</si>
  <si>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</si>
  <si>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</si>
  <si>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</si>
  <si>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</si>
  <si>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</si>
  <si>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</si>
  <si>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</si>
  <si>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</si>
  <si>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</si>
  <si>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</si>
  <si>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</si>
  <si>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</si>
  <si>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</si>
  <si>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</si>
  <si>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</si>
  <si>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</si>
  <si>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</si>
  <si>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</si>
  <si>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</si>
  <si>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</si>
  <si>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</si>
  <si>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</si>
  <si>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</si>
  <si>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</si>
  <si>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</si>
  <si>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</si>
  <si>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</si>
  <si>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</si>
  <si>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</si>
  <si>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</si>
  <si>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</si>
  <si>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</si>
  <si>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</si>
  <si>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</si>
  <si>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</si>
  <si>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</si>
  <si>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</si>
  <si>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</si>
  <si>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</si>
  <si>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</si>
  <si>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</si>
  <si>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</si>
  <si>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</si>
  <si>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</si>
  <si>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</si>
  <si>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</si>
  <si>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</si>
  <si>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</si>
  <si>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</si>
  <si>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</si>
  <si>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</si>
  <si>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</si>
  <si>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</si>
  <si>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</si>
  <si>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</si>
  <si>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</si>
  <si>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</si>
  <si>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</si>
  <si>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</si>
  <si>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</si>
  <si>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</si>
  <si>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</si>
  <si>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</si>
  <si>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</si>
  <si>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</si>
  <si>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</si>
  <si>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</si>
  <si>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</si>
  <si>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</si>
  <si>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</si>
  <si>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</si>
  <si>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</si>
  <si>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</si>
  <si>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</si>
  <si>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</si>
  <si>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</si>
  <si>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</si>
  <si>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</si>
  <si>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</si>
  <si>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</si>
  <si>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</si>
  <si>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</si>
  <si>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</si>
  <si>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</si>
  <si>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</si>
  <si>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</si>
  <si>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</si>
  <si>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</si>
  <si>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</si>
  <si>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</si>
  <si>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</si>
  <si>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</si>
  <si>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</si>
  <si>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</si>
  <si>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</si>
  <si>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</si>
  <si>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</si>
  <si>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</si>
  <si>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</si>
  <si>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</si>
  <si>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</si>
  <si>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</si>
  <si>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</si>
  <si>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</si>
  <si>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</si>
  <si>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</si>
  <si>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</si>
  <si>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</si>
  <si>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</si>
  <si>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</si>
  <si>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</si>
  <si>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</si>
  <si>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</si>
  <si>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</si>
  <si>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</si>
  <si>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</si>
  <si>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</si>
  <si>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</si>
  <si>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</si>
  <si>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</si>
  <si>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</si>
  <si>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</si>
  <si>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</si>
  <si>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</si>
  <si>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</si>
  <si>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</si>
  <si>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</si>
  <si>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</si>
  <si>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</si>
  <si>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</si>
  <si>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</si>
  <si>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</si>
  <si>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</si>
  <si>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</si>
  <si>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</si>
  <si>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</si>
  <si>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</si>
  <si>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</si>
  <si>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</si>
  <si>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</si>
  <si>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</si>
  <si>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</si>
  <si>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</si>
  <si>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</si>
  <si>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</si>
  <si>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</si>
  <si>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</si>
  <si>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</si>
  <si>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</si>
  <si>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</si>
  <si>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</si>
  <si>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</si>
  <si>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</si>
  <si>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</si>
  <si>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</si>
  <si>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</si>
  <si>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</si>
  <si>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</si>
  <si>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</si>
  <si>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</si>
  <si>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</si>
  <si>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</si>
  <si>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</si>
  <si>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</si>
  <si>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</si>
  <si>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</si>
  <si>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</si>
  <si>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</si>
  <si>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</si>
  <si>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</si>
  <si>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</si>
  <si>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</si>
  <si>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</si>
  <si>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</si>
  <si>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</si>
  <si>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</si>
  <si>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</si>
  <si>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</si>
  <si>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</si>
  <si>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</si>
  <si>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</si>
  <si>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</si>
  <si>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</si>
  <si>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</si>
  <si>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</si>
  <si>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</si>
  <si>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</si>
  <si>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</si>
  <si>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</si>
  <si>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</si>
  <si>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</si>
  <si>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</si>
  <si>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</si>
  <si>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</si>
  <si>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</si>
  <si>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</si>
  <si>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</si>
  <si>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</si>
  <si>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</si>
  <si>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</si>
  <si>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</si>
  <si>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</si>
  <si>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</si>
  <si>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</si>
  <si>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</si>
  <si>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</si>
  <si>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</si>
  <si>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</si>
  <si>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</si>
  <si>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</si>
  <si>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</si>
  <si>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</si>
  <si>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</si>
  <si>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</si>
  <si>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</si>
  <si>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</si>
  <si>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</si>
  <si>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</si>
  <si>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</si>
  <si>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</si>
  <si>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</si>
  <si>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</si>
  <si>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</si>
  <si>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</si>
  <si>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</si>
  <si>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</si>
  <si>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</si>
  <si>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</si>
  <si>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</si>
  <si>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</si>
  <si>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</si>
  <si>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</si>
  <si>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</si>
  <si>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</si>
  <si>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</si>
  <si>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</si>
  <si>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</si>
  <si>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</si>
  <si>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</si>
  <si>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</si>
  <si>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</si>
  <si>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</si>
  <si>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</si>
  <si>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</si>
  <si>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</si>
  <si>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</si>
  <si>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</si>
  <si>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</si>
  <si>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</si>
  <si>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</si>
  <si>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</si>
  <si>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</si>
  <si>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</si>
  <si>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</si>
  <si>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</si>
  <si>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</si>
  <si>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</si>
  <si>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</si>
  <si>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</si>
  <si>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</si>
  <si>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</si>
  <si>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</si>
  <si>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</si>
  <si>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</si>
  <si>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</si>
  <si>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</si>
  <si>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</si>
  <si>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</si>
  <si>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</si>
  <si>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</si>
  <si>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</si>
  <si>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</si>
  <si>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</si>
  <si>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</si>
  <si>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</si>
  <si>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</si>
  <si>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</si>
  <si>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</si>
  <si>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</si>
  <si>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</si>
  <si>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</si>
  <si>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</si>
  <si>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</si>
  <si>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</si>
  <si>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</si>
  <si>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</si>
  <si>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</si>
  <si>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</si>
  <si>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</si>
  <si>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</si>
  <si>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</si>
  <si>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</si>
  <si>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</si>
  <si>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</si>
  <si>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</si>
  <si>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</si>
  <si>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</si>
  <si>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</si>
  <si>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</si>
  <si>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</si>
  <si>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</si>
  <si>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</si>
  <si>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</si>
  <si>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</si>
  <si>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</si>
  <si>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</si>
  <si>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</si>
  <si>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</si>
  <si>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</si>
  <si>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</si>
  <si>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</si>
  <si>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</si>
  <si>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</si>
  <si>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</si>
  <si>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</si>
  <si>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</si>
  <si>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</si>
  <si>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</si>
  <si>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</si>
  <si>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</si>
  <si>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</si>
  <si>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</si>
  <si>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</si>
  <si>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</si>
  <si>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</si>
  <si>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</si>
  <si>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</si>
  <si>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</si>
  <si>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</si>
  <si>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</si>
  <si>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</si>
  <si>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</si>
  <si>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</si>
  <si>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</si>
  <si>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</si>
  <si>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</si>
  <si>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</si>
  <si>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</si>
  <si>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</si>
  <si>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</si>
  <si>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</si>
  <si>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</si>
  <si>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</si>
  <si>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</si>
  <si>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</si>
  <si>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</si>
  <si>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</si>
  <si>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</si>
  <si>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</si>
  <si>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</si>
  <si>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</si>
  <si>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</si>
  <si>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</si>
  <si>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</si>
  <si>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</si>
  <si>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</si>
  <si>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</si>
  <si>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</si>
  <si>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</si>
  <si>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</si>
  <si>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</si>
  <si>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</si>
  <si>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</si>
  <si>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</si>
  <si>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</si>
  <si>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</si>
  <si>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</si>
  <si>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</si>
  <si>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</si>
  <si>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</si>
  <si>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</si>
  <si>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</si>
  <si>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</si>
  <si>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</si>
  <si>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</si>
  <si>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</si>
  <si>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</si>
  <si>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</si>
  <si>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</si>
  <si>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</si>
  <si>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</si>
  <si>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</si>
  <si>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</si>
  <si>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</si>
  <si>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</si>
  <si>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</si>
  <si>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</si>
  <si>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</si>
  <si>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</si>
  <si>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</si>
  <si>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</si>
  <si>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</si>
  <si>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</si>
  <si>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</si>
  <si>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</si>
  <si>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</si>
  <si>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</si>
  <si>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</si>
  <si>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</si>
  <si>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</si>
  <si>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</si>
  <si>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</si>
  <si>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</si>
  <si>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</si>
  <si>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</si>
  <si>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</si>
  <si>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</si>
  <si>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</si>
  <si>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</si>
  <si>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</si>
  <si>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</si>
  <si>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</si>
  <si>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</si>
  <si>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</si>
  <si>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</si>
  <si>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</si>
  <si>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</si>
  <si>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</si>
  <si>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</si>
  <si>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</si>
  <si>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</si>
  <si>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</si>
  <si>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</si>
  <si>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</si>
  <si>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</si>
  <si>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</si>
  <si>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</si>
  <si>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</si>
  <si>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</si>
  <si>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</si>
  <si>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</si>
  <si>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</si>
  <si>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</si>
  <si>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</si>
  <si>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</si>
  <si>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</si>
  <si>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</si>
  <si>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</si>
  <si>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</si>
  <si>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</si>
  <si>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</si>
  <si>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</si>
  <si>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</si>
  <si>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</si>
  <si>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</si>
  <si>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</si>
  <si>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</si>
  <si>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</si>
  <si>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</si>
  <si>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</si>
  <si>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</si>
  <si>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</si>
  <si>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</si>
  <si>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</si>
  <si>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</si>
  <si>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</si>
  <si>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</si>
  <si>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</si>
  <si>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</si>
  <si>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</si>
  <si>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</si>
  <si>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</si>
  <si>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</si>
  <si>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</si>
  <si>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</si>
  <si>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</si>
  <si>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</si>
  <si>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</si>
  <si>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</si>
  <si>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</si>
  <si>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</si>
  <si>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</si>
  <si>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</si>
  <si>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</si>
  <si>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</si>
  <si>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</si>
  <si>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</si>
  <si>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</si>
  <si>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</si>
  <si>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</si>
  <si>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</si>
  <si>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</si>
  <si>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</si>
  <si>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</si>
  <si>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</si>
  <si>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</si>
  <si>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</si>
  <si>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</si>
  <si>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</si>
  <si>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</si>
  <si>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</si>
  <si>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</si>
  <si>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</si>
  <si>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</si>
  <si>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</si>
  <si>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</si>
  <si>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</si>
  <si>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</si>
  <si>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</si>
  <si>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</si>
  <si>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</si>
  <si>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</si>
  <si>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</si>
  <si>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</si>
  <si>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</si>
  <si>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</si>
  <si>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</si>
  <si>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</si>
  <si>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</si>
  <si>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</si>
  <si>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</si>
  <si>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</si>
  <si>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</si>
  <si>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</si>
  <si>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</si>
  <si>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</si>
  <si>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</si>
  <si>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</si>
  <si>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</si>
  <si>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</si>
  <si>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</si>
  <si>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</si>
  <si>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</si>
  <si>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</si>
  <si>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</si>
  <si>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</si>
  <si>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</si>
  <si>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</si>
  <si>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</si>
  <si>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</si>
  <si>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</si>
  <si>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</si>
  <si>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</si>
  <si>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</si>
  <si>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</si>
  <si>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</si>
  <si>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</si>
  <si>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</si>
  <si>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</si>
  <si>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</si>
  <si>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</si>
  <si>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</si>
  <si>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</si>
  <si>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</si>
  <si>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</si>
  <si>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</si>
  <si>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</si>
  <si>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</si>
  <si>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</si>
  <si>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</si>
  <si>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</si>
  <si>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</si>
  <si>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</si>
  <si>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</si>
  <si>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</si>
  <si>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</si>
  <si>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</si>
  <si>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</si>
  <si>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</si>
  <si>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</si>
  <si>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</si>
  <si>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</si>
  <si>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</si>
  <si>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</si>
  <si>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</si>
  <si>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</si>
  <si>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</si>
  <si>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</si>
  <si>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</si>
  <si>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</si>
  <si>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</si>
  <si>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</si>
  <si>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</si>
  <si>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</si>
  <si>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</si>
  <si>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</si>
  <si>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</si>
  <si>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</si>
  <si>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</si>
  <si>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</si>
  <si>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</si>
  <si>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</si>
  <si>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</si>
  <si>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</si>
  <si>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</si>
  <si>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</si>
  <si>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</si>
  <si>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</si>
  <si>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</si>
  <si>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</si>
  <si>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</si>
  <si>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</si>
  <si>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</si>
  <si>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</si>
  <si>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</si>
  <si>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</si>
  <si>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</si>
  <si>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</si>
  <si>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</si>
  <si>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</si>
  <si>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</si>
  <si>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</si>
  <si>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</si>
  <si>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</si>
  <si>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</si>
  <si>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</si>
  <si>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</si>
  <si>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</si>
  <si>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</si>
  <si>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</si>
  <si>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</si>
  <si>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</si>
  <si>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</si>
  <si>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</si>
  <si>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</si>
  <si>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</si>
  <si>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</si>
  <si>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</si>
  <si>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</si>
  <si>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</si>
  <si>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</si>
  <si>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</si>
  <si>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</si>
  <si>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</si>
  <si>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</si>
  <si>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</si>
  <si>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</si>
  <si>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</si>
  <si>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</si>
  <si>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</si>
  <si>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</si>
  <si>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</si>
  <si>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</si>
  <si>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</si>
  <si>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</si>
  <si>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</si>
  <si>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</si>
  <si>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</si>
  <si>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</si>
  <si>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</si>
  <si>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</si>
  <si>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</si>
  <si>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</si>
  <si>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</si>
  <si>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</si>
  <si>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</si>
  <si>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</si>
  <si>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</si>
  <si>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</si>
  <si>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</si>
  <si>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</si>
  <si>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</si>
  <si>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</si>
  <si>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</si>
  <si>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</si>
  <si>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</si>
  <si>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</si>
  <si>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</si>
  <si>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</si>
  <si>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</si>
  <si>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</si>
  <si>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</si>
  <si>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</si>
  <si>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</si>
  <si>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</si>
  <si>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</si>
  <si>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</si>
  <si>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</si>
  <si>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</si>
  <si>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</si>
  <si>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</si>
  <si>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</si>
  <si>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</si>
  <si>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</si>
  <si>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</si>
  <si>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</si>
  <si>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</si>
  <si>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</si>
  <si>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</si>
  <si>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</si>
  <si>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</si>
  <si>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</si>
  <si>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</si>
  <si>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</si>
  <si>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</si>
  <si>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</si>
  <si>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</si>
  <si>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</si>
  <si>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</si>
  <si>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</si>
  <si>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</si>
  <si>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</si>
  <si>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</si>
  <si>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</si>
  <si>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</si>
  <si>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</si>
  <si>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</si>
  <si>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</si>
  <si>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</si>
  <si>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</si>
  <si>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</si>
  <si>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</si>
  <si>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</si>
  <si>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</si>
  <si>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</si>
  <si>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</si>
  <si>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</si>
  <si>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</si>
  <si>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</si>
  <si>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</si>
  <si>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</si>
  <si>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</si>
  <si>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</si>
  <si>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</si>
  <si>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</si>
  <si>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</si>
  <si>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</si>
  <si>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</si>
  <si>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</si>
  <si>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</si>
  <si>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</si>
  <si>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</si>
  <si>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</si>
  <si>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</si>
  <si>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</si>
  <si>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</si>
  <si>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</si>
  <si>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</si>
  <si>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</si>
  <si>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</si>
  <si>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</si>
  <si>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</si>
  <si>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</si>
  <si>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</si>
  <si>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</si>
  <si>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</si>
  <si>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</si>
  <si>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</si>
  <si>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</si>
  <si>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</si>
  <si>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</si>
  <si>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</si>
  <si>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</si>
  <si>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</si>
  <si>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</si>
  <si>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</si>
  <si>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</si>
  <si>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</si>
  <si>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</si>
  <si>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</si>
  <si>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</si>
  <si>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</si>
  <si>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</si>
  <si>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</si>
  <si>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</si>
  <si>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</si>
  <si>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</si>
  <si>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</si>
  <si>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</si>
  <si>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</si>
  <si>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</si>
  <si>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</si>
  <si>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</si>
  <si>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</si>
  <si>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</si>
  <si>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</si>
  <si>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</si>
  <si>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</si>
  <si>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</si>
  <si>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</si>
  <si>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</si>
  <si>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</si>
  <si>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</si>
  <si>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</si>
  <si>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</si>
  <si>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</si>
  <si>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</si>
  <si>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</si>
  <si>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</si>
  <si>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</si>
  <si>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</si>
  <si>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</si>
  <si>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</si>
  <si>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</si>
  <si>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</si>
  <si>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</si>
  <si>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</si>
  <si>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</si>
  <si>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</si>
  <si>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</si>
  <si>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</si>
  <si>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</si>
  <si>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</si>
  <si>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</si>
  <si>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</si>
  <si>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</si>
  <si>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</si>
  <si>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</si>
  <si>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</si>
  <si>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</si>
  <si>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</si>
  <si>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</si>
  <si>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</si>
  <si>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</si>
  <si>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</si>
  <si>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</si>
  <si>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</si>
  <si>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</si>
  <si>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</si>
  <si>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</si>
  <si>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</si>
  <si>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</si>
  <si>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</si>
  <si>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</si>
  <si>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</si>
  <si>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</si>
  <si>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</si>
  <si>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</si>
  <si>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</si>
  <si>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</si>
  <si>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</si>
  <si>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</si>
  <si>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</si>
  <si>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</si>
  <si>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</si>
  <si>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</si>
  <si>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</si>
  <si>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</si>
  <si>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</si>
  <si>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</si>
  <si>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</si>
  <si>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</si>
  <si>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</si>
  <si>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</si>
  <si>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</si>
  <si>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</si>
  <si>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</si>
  <si>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</si>
  <si>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</si>
  <si>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</si>
  <si>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</si>
  <si>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</si>
  <si>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</si>
  <si>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</si>
  <si>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</si>
  <si>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</si>
  <si>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</si>
  <si>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</si>
  <si>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</si>
  <si>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</si>
  <si>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</si>
  <si>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</si>
  <si>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</si>
  <si>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</si>
  <si>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</si>
  <si>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</si>
  <si>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</si>
  <si>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</si>
  <si>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</si>
  <si>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</si>
  <si>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</si>
  <si>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</si>
  <si>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</si>
  <si>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</si>
  <si>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</si>
  <si>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</si>
  <si>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</si>
  <si>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</si>
  <si>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</si>
  <si>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</si>
  <si>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</si>
  <si>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</si>
  <si>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</si>
  <si>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</si>
  <si>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</si>
  <si>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</si>
  <si>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</si>
  <si>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</si>
  <si>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</si>
  <si>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</si>
  <si>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</si>
  <si>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</si>
  <si>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</si>
  <si>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</si>
  <si>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</si>
  <si>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</si>
  <si>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</si>
  <si>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</si>
  <si>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</si>
  <si>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</si>
  <si>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</si>
  <si>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</si>
  <si>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</si>
  <si>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</si>
  <si>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</si>
  <si>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</si>
  <si>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</si>
  <si>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</si>
  <si>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</si>
  <si>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</si>
  <si>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</si>
  <si>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</si>
  <si>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</si>
  <si>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</si>
  <si>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</si>
  <si>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</si>
  <si>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</si>
  <si>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</si>
  <si>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</si>
  <si>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</si>
  <si>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</si>
  <si>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</si>
  <si>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</si>
  <si>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</si>
  <si>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</si>
  <si>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</si>
  <si>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</si>
  <si>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</si>
  <si>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</si>
  <si>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</si>
  <si>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</si>
  <si>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</si>
  <si>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</si>
  <si>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</si>
  <si>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</si>
  <si>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</si>
  <si>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</si>
  <si>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</si>
  <si>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</si>
  <si>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</si>
  <si>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</si>
  <si>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</si>
  <si>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</si>
  <si>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</si>
  <si>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</si>
  <si>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</si>
  <si>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</si>
  <si>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</si>
  <si>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</si>
  <si>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</si>
  <si>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</si>
  <si>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</si>
  <si>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</si>
  <si>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</si>
  <si>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</si>
  <si>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</si>
  <si>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</si>
  <si>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</si>
  <si>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</si>
  <si>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</si>
  <si>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</si>
  <si>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</si>
  <si>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</si>
  <si>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</si>
  <si>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</si>
  <si>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</si>
  <si>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</si>
  <si>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</si>
  <si>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</si>
  <si>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</si>
  <si>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</si>
  <si>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</si>
  <si>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</si>
  <si>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</si>
  <si>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</si>
  <si>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</si>
  <si>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</si>
  <si>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</si>
  <si>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</si>
  <si>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</si>
  <si>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</si>
  <si>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</si>
  <si>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</si>
  <si>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</si>
  <si>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</si>
  <si>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</si>
  <si>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</si>
  <si>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</si>
  <si>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</si>
  <si>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</si>
  <si>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</si>
  <si>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</si>
  <si>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</si>
  <si>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</si>
  <si>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</si>
  <si>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</si>
  <si>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</si>
  <si>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</si>
  <si>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</si>
  <si>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</si>
  <si>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</si>
  <si>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</si>
  <si>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</si>
  <si>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</si>
  <si>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</si>
  <si>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</si>
  <si>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</si>
  <si>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</si>
  <si>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</si>
  <si>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</si>
  <si>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</si>
  <si>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</si>
  <si>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</si>
  <si>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</si>
  <si>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</si>
  <si>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</si>
  <si>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</si>
  <si>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</si>
  <si>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</si>
  <si>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</si>
  <si>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</si>
  <si>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</si>
  <si>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</si>
  <si>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</si>
  <si>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</si>
  <si>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</si>
  <si>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</si>
  <si>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</si>
  <si>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</si>
  <si>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</si>
  <si>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</si>
  <si>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</si>
  <si>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</si>
  <si>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</si>
  <si>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</si>
  <si>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</si>
  <si>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</si>
  <si>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</si>
  <si>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</si>
  <si>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</si>
  <si>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</si>
  <si>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</si>
  <si>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</si>
  <si>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</si>
  <si>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</si>
  <si>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</si>
  <si>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</si>
  <si>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</si>
  <si>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</si>
  <si>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</si>
  <si>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</si>
  <si>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</si>
  <si>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</si>
  <si>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</si>
  <si>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</si>
  <si>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</si>
  <si>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</si>
  <si>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</si>
  <si>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</si>
  <si>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</si>
  <si>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</si>
  <si>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</si>
  <si>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</si>
  <si>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</si>
  <si>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</si>
  <si>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</si>
  <si>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</si>
  <si>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</si>
  <si>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</si>
  <si>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</si>
  <si>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</si>
  <si>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</si>
  <si>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</si>
  <si>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</si>
  <si>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</si>
  <si>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</si>
  <si>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</si>
  <si>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</si>
  <si>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</si>
  <si>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</si>
  <si>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</si>
  <si>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</si>
  <si>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</si>
  <si>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</si>
  <si>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</si>
  <si>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</si>
  <si>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</si>
  <si>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</si>
  <si>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</si>
  <si>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</si>
  <si>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</si>
  <si>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</si>
  <si>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</si>
  <si>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</si>
  <si>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</si>
  <si>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</si>
  <si>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</si>
  <si>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</si>
  <si>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</si>
  <si>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</si>
  <si>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</si>
  <si>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</si>
  <si>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</si>
  <si>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</si>
  <si>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</si>
  <si>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</si>
  <si>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</si>
  <si>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</si>
  <si>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</si>
  <si>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</si>
  <si>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</si>
  <si>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</si>
  <si>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</si>
  <si>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</si>
  <si>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</si>
  <si>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</si>
  <si>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</si>
  <si>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</si>
  <si>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</si>
  <si>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</si>
  <si>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</si>
  <si>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</si>
  <si>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</si>
  <si>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</si>
  <si>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</si>
  <si>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</si>
  <si>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</si>
  <si>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</si>
  <si>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</si>
  <si>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</si>
  <si>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</si>
  <si>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</si>
  <si>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</si>
  <si>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</si>
  <si>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</si>
  <si>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</si>
  <si>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</si>
  <si>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</si>
  <si>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</si>
  <si>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</si>
  <si>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</si>
  <si>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</si>
  <si>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</si>
  <si>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</si>
  <si>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</si>
  <si>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</si>
  <si>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</si>
  <si>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</si>
  <si>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</si>
  <si>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</si>
  <si>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</si>
  <si>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</si>
  <si>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</si>
  <si>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</si>
  <si>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</si>
  <si>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</si>
  <si>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</si>
  <si>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</si>
  <si>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</si>
  <si>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</si>
  <si>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</si>
  <si>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</si>
  <si>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</si>
  <si>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</si>
  <si>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</si>
  <si>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</si>
  <si>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</si>
  <si>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</si>
  <si>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</si>
  <si>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</si>
  <si>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</si>
  <si>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</si>
  <si>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</si>
  <si>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</si>
  <si>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</si>
  <si>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</si>
  <si>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</si>
  <si>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</si>
  <si>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</si>
  <si>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</si>
  <si>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</si>
  <si>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</si>
  <si>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</si>
  <si>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</si>
  <si>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</si>
  <si>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</si>
  <si>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</si>
  <si>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</si>
  <si>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</si>
  <si>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</si>
  <si>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</si>
  <si>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</si>
  <si>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</si>
  <si>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</si>
  <si>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</si>
  <si>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</si>
  <si>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</si>
  <si>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</si>
  <si>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</si>
  <si>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</si>
  <si>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</si>
  <si>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</si>
  <si>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</si>
  <si>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</si>
  <si>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</si>
  <si>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</si>
  <si>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</si>
  <si>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</si>
  <si>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</si>
  <si>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</si>
  <si>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</si>
  <si>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</si>
  <si>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</si>
  <si>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</si>
  <si>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</si>
  <si>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</si>
  <si>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</si>
  <si>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</si>
  <si>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</si>
  <si>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</si>
  <si>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</si>
  <si>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</si>
  <si>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</si>
  <si>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</si>
  <si>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</si>
  <si>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</si>
  <si>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</si>
  <si>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</si>
  <si>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</si>
  <si>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</si>
  <si>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</si>
  <si>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</si>
  <si>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</si>
  <si>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</si>
  <si>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</si>
  <si>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</si>
  <si>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</si>
  <si>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</si>
  <si>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</si>
  <si>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</si>
  <si>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</si>
  <si>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</si>
  <si>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</si>
  <si>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</si>
  <si>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</si>
  <si>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</si>
  <si>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</si>
  <si>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</si>
  <si>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</si>
  <si>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</si>
  <si>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</si>
  <si>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</si>
  <si>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</si>
  <si>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</si>
  <si>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</si>
  <si>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</si>
  <si>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</si>
  <si>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</si>
  <si>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</si>
  <si>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</si>
  <si>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</si>
  <si>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</si>
  <si>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</si>
  <si>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</si>
  <si>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</si>
  <si>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</si>
  <si>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</si>
  <si>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</si>
  <si>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</si>
  <si>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</si>
  <si>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</si>
  <si>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</si>
  <si>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</si>
  <si>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</si>
  <si>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</si>
  <si>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</si>
  <si>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</si>
  <si>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</si>
  <si>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</si>
  <si>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</si>
  <si>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</si>
  <si>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</si>
  <si>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</si>
  <si>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</si>
  <si>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</si>
  <si>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</si>
  <si>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</si>
  <si>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</si>
  <si>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</si>
  <si>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</si>
  <si>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</si>
  <si>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</si>
  <si>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</si>
  <si>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</si>
  <si>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</si>
  <si>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</si>
  <si>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</si>
  <si>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</si>
  <si>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</si>
  <si>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</si>
  <si>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</si>
  <si>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</si>
  <si>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</si>
  <si>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</si>
  <si>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</si>
  <si>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</si>
  <si>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</si>
  <si>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</si>
  <si>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</si>
  <si>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</si>
  <si>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</si>
  <si>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</si>
  <si>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</si>
  <si>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</si>
  <si>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</si>
  <si>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</si>
  <si>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</si>
  <si>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</si>
  <si>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</si>
  <si>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</si>
  <si>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</si>
  <si>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</si>
  <si>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</si>
  <si>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</si>
  <si>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</si>
  <si>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</si>
  <si>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</si>
  <si>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</si>
  <si>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</si>
  <si>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</si>
  <si>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</si>
  <si>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</si>
  <si>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</si>
  <si>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</si>
  <si>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</si>
  <si>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</si>
  <si>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</si>
  <si>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</si>
  <si>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</si>
  <si>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</si>
  <si>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</si>
  <si>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</si>
  <si>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</si>
  <si>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</si>
  <si>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</si>
  <si>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</si>
  <si>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</si>
  <si>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</si>
  <si>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</si>
  <si>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</si>
  <si>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</si>
  <si>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</si>
  <si>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</si>
  <si>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</si>
  <si>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</si>
  <si>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</si>
  <si>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</si>
  <si>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</si>
  <si>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</si>
  <si>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</si>
  <si>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</si>
  <si>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</si>
  <si>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</si>
  <si>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</si>
  <si>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</si>
  <si>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</si>
  <si>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</si>
  <si>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</si>
  <si>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</si>
  <si>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</si>
  <si>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</si>
  <si>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</si>
  <si>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</si>
  <si>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</si>
  <si>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</si>
  <si>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</si>
  <si>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</si>
  <si>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</si>
  <si>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</si>
  <si>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</si>
  <si>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</si>
  <si>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</si>
  <si>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</si>
  <si>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</si>
  <si>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</si>
  <si>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</si>
  <si>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</si>
  <si>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</si>
  <si>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</si>
  <si>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</si>
  <si>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</si>
  <si>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</si>
  <si>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</si>
  <si>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</si>
  <si>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</si>
  <si>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</si>
  <si>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</si>
  <si>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</si>
  <si>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</si>
  <si>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</si>
  <si>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</si>
  <si>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</si>
  <si>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</si>
  <si>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</si>
  <si>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</si>
  <si>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</si>
  <si>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</si>
  <si>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</si>
  <si>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</si>
  <si>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</si>
  <si>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</si>
  <si>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</si>
  <si>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</si>
  <si>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</si>
  <si>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</si>
  <si>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</si>
  <si>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</si>
  <si>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</si>
  <si>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</si>
  <si>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</si>
  <si>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</si>
  <si>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</si>
  <si>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</si>
  <si>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</si>
  <si>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</si>
  <si>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</si>
  <si>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</si>
  <si>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</si>
  <si>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</si>
  <si>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</si>
  <si>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</si>
  <si>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</si>
  <si>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</si>
  <si>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</si>
  <si>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</si>
  <si>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</si>
  <si>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</si>
  <si>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</si>
  <si>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</si>
  <si>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</si>
  <si>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</si>
  <si>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</si>
  <si>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</si>
  <si>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</si>
  <si>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</si>
  <si>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</si>
  <si>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</si>
  <si>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</si>
  <si>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</si>
  <si>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</si>
  <si>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</si>
  <si>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</si>
  <si>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</si>
  <si>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</si>
  <si>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</si>
  <si>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</si>
  <si>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</si>
  <si>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</si>
  <si>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</si>
  <si>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</si>
  <si>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</si>
  <si>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</si>
  <si>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</si>
  <si>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</si>
  <si>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</si>
  <si>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</si>
  <si>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</si>
  <si>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</si>
  <si>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</si>
  <si>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</si>
  <si>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</si>
  <si>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</si>
  <si>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</si>
  <si>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</si>
  <si>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</si>
  <si>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</si>
  <si>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</si>
  <si>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</si>
  <si>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</si>
  <si>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</si>
  <si>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</si>
  <si>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</si>
  <si>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</si>
  <si>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</si>
  <si>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</si>
  <si>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</si>
  <si>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</si>
  <si>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</si>
  <si>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</si>
  <si>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</si>
  <si>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</si>
  <si>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</si>
  <si>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</si>
  <si>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</si>
  <si>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</si>
  <si>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</si>
  <si>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</si>
  <si>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</si>
  <si>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</si>
  <si>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</si>
  <si>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</si>
  <si>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</si>
  <si>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</si>
  <si>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</si>
  <si>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</si>
  <si>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</si>
  <si>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</si>
  <si>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</si>
  <si>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</si>
  <si>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</si>
  <si>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</si>
  <si>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</si>
  <si>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</si>
  <si>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</si>
  <si>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</si>
  <si>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</si>
  <si>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</si>
  <si>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</si>
  <si>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</si>
  <si>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</si>
  <si>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</si>
  <si>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</si>
  <si>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</si>
  <si>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</si>
  <si>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</si>
  <si>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</si>
  <si>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</si>
  <si>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</si>
  <si>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</si>
  <si>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</si>
  <si>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</si>
  <si>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</si>
  <si>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</si>
  <si>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</si>
  <si>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</si>
  <si>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</si>
  <si>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</si>
  <si>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</si>
  <si>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</si>
  <si>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</si>
  <si>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</si>
  <si>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</si>
  <si>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</si>
  <si>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</si>
  <si>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</si>
  <si>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</si>
  <si>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</si>
  <si>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</si>
  <si>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</si>
  <si>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</si>
  <si>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</si>
  <si>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</si>
  <si>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</si>
  <si>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</si>
  <si>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</si>
  <si>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</si>
  <si>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</si>
  <si>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</si>
  <si>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</si>
  <si>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</si>
  <si>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</si>
  <si>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</si>
  <si>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</si>
  <si>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</si>
  <si>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</si>
  <si>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</si>
  <si>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</si>
  <si>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</si>
  <si>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</si>
  <si>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</si>
  <si>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</si>
  <si>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</si>
  <si>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</si>
  <si>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</si>
  <si>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</si>
  <si>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</si>
  <si>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</si>
  <si>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</si>
  <si>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</si>
  <si>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</si>
  <si>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</si>
  <si>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</si>
  <si>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</si>
  <si>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</si>
  <si>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</si>
  <si>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</si>
  <si>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</si>
  <si>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</si>
  <si>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</si>
  <si>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</si>
  <si>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</si>
  <si>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</si>
  <si>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</si>
  <si>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</si>
  <si>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</si>
  <si>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</si>
  <si>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</si>
  <si>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</si>
  <si>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</si>
  <si>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</si>
  <si>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</si>
  <si>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</si>
  <si>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</si>
  <si>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</si>
  <si>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</si>
  <si>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</si>
  <si>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</si>
  <si>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</si>
  <si>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</si>
  <si>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</si>
  <si>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</si>
  <si>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</si>
  <si>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</si>
  <si>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</si>
  <si>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</si>
  <si>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</si>
  <si>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</si>
  <si>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</si>
  <si>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</si>
  <si>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</si>
  <si>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</si>
  <si>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</si>
  <si>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</si>
  <si>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</si>
  <si>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</si>
  <si>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</si>
  <si>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</si>
  <si>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</si>
  <si>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</si>
  <si>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</si>
  <si>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</si>
  <si>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</si>
  <si>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</si>
  <si>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</si>
  <si>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</si>
  <si>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</si>
  <si>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</si>
  <si>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</si>
  <si>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</si>
  <si>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</si>
  <si>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</si>
  <si>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</si>
  <si>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</si>
  <si>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</si>
  <si>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</si>
  <si>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</si>
  <si>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</si>
  <si>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</si>
  <si>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</si>
  <si>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</si>
  <si>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</si>
  <si>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</si>
  <si>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</si>
  <si>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</si>
  <si>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</si>
  <si>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</si>
  <si>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</si>
  <si>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</si>
  <si>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</si>
  <si>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</si>
  <si>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</si>
  <si>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</si>
  <si>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</si>
  <si>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</si>
  <si>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</si>
  <si>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</si>
  <si>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</si>
  <si>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</si>
  <si>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</si>
  <si>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</si>
  <si>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</si>
  <si>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</si>
  <si>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</si>
  <si>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</si>
  <si>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</si>
  <si>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</si>
  <si>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</si>
  <si>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</si>
  <si>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</si>
  <si>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</si>
  <si>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</si>
  <si>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</si>
  <si>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</si>
  <si>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</si>
  <si>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</si>
  <si>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</si>
  <si>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</si>
  <si>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</si>
  <si>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</si>
  <si>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</si>
  <si>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</si>
  <si>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</si>
  <si>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</si>
  <si>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</si>
  <si>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</si>
  <si>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</si>
  <si>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</si>
  <si>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</si>
  <si>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</si>
  <si>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</si>
  <si>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</si>
  <si>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</si>
  <si>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</si>
  <si>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</si>
  <si>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</si>
  <si>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</si>
  <si>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</si>
  <si>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</si>
  <si>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</si>
  <si>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</si>
  <si>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</si>
  <si>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</si>
  <si>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</si>
  <si>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</si>
  <si>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</si>
  <si>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</si>
  <si>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</si>
  <si>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</si>
  <si>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</si>
  <si>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</si>
  <si>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</si>
  <si>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</si>
  <si>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</si>
  <si>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</si>
  <si>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</si>
  <si>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</si>
  <si>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</si>
  <si>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</si>
  <si>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</si>
  <si>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</si>
  <si>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</si>
  <si>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</si>
  <si>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</si>
  <si>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</si>
  <si>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</si>
  <si>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</si>
  <si>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</si>
  <si>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</si>
  <si>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</si>
  <si>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</si>
  <si>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</si>
  <si>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</si>
  <si>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</si>
  <si>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</si>
  <si>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</si>
  <si>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</si>
  <si>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</si>
  <si>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</si>
  <si>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</si>
  <si>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</si>
  <si>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</si>
  <si>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</si>
  <si>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</si>
  <si>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</si>
  <si>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</si>
  <si>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</si>
  <si>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</si>
  <si>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</si>
  <si>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</si>
  <si>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</si>
  <si>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</si>
  <si>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</si>
  <si>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</si>
  <si>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</si>
  <si>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</si>
  <si>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</si>
  <si>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</si>
  <si>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</si>
  <si>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</si>
  <si>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</si>
  <si>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</si>
  <si>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</si>
  <si>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</si>
  <si>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</si>
  <si>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</si>
  <si>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</si>
  <si>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</si>
  <si>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</si>
  <si>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</si>
  <si>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</si>
  <si>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</si>
  <si>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</si>
  <si>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</si>
  <si>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</si>
  <si>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</si>
  <si>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</si>
  <si>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</si>
  <si>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</si>
  <si>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</si>
  <si>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</si>
  <si>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</si>
  <si>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</si>
  <si>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</si>
  <si>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</si>
  <si>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</si>
  <si>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</si>
  <si>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</si>
  <si>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</si>
  <si>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</si>
  <si>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</si>
  <si>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</si>
  <si>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</si>
  <si>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</si>
  <si>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</si>
  <si>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</si>
  <si>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</si>
  <si>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</si>
  <si>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</si>
  <si>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</si>
  <si>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</si>
  <si>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</si>
  <si>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</si>
  <si>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</si>
  <si>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</si>
  <si>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</si>
  <si>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</si>
  <si>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</si>
  <si>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</si>
  <si>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</si>
  <si>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</si>
  <si>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</si>
  <si>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</si>
  <si>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</si>
  <si>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</si>
  <si>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</si>
  <si>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</si>
  <si>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</si>
  <si>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</si>
  <si>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</si>
  <si>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</si>
  <si>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</si>
  <si>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</si>
  <si>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</si>
  <si>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</si>
  <si>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</si>
  <si>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</si>
  <si>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</si>
  <si>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</si>
  <si>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</si>
  <si>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</si>
  <si>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</si>
  <si>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</si>
  <si>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</si>
  <si>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</si>
  <si>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</si>
  <si>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</si>
  <si>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</si>
  <si>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</si>
  <si>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</si>
  <si>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</si>
  <si>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</si>
  <si>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</si>
  <si>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</si>
  <si>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</si>
  <si>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</si>
  <si>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</si>
  <si>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</si>
  <si>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</si>
  <si>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</si>
  <si>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</si>
  <si>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</si>
  <si>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</si>
  <si>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</si>
  <si>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</si>
  <si>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</si>
  <si>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</si>
  <si>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</si>
  <si>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</si>
  <si>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</si>
  <si>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</si>
  <si>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</si>
  <si>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</si>
  <si>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</si>
  <si>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</si>
  <si>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</si>
  <si>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</si>
  <si>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</si>
  <si>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</si>
  <si>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</si>
  <si>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</si>
  <si>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</si>
  <si>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</si>
  <si>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</si>
  <si>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</si>
  <si>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</si>
  <si>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</si>
  <si>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</si>
  <si>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</si>
  <si>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</si>
  <si>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</si>
  <si>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</si>
  <si>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</si>
  <si>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</si>
  <si>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</si>
  <si>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</si>
  <si>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</si>
  <si>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</si>
  <si>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</si>
  <si>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</si>
  <si>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</si>
  <si>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</si>
  <si>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</si>
  <si>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</si>
  <si>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</si>
  <si>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</si>
  <si>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</si>
  <si>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</si>
  <si>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</si>
  <si>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</si>
  <si>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</si>
  <si>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</si>
  <si>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</si>
  <si>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</si>
  <si>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</si>
  <si>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</si>
  <si>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</si>
  <si>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</si>
  <si>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</si>
  <si>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</si>
  <si>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</si>
  <si>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</si>
  <si>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</si>
  <si>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</si>
  <si>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</si>
  <si>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</si>
  <si>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</si>
  <si>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</si>
  <si>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</si>
  <si>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</si>
  <si>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</si>
  <si>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</si>
  <si>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</si>
  <si>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</si>
  <si>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</si>
  <si>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</si>
  <si>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</si>
  <si>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</si>
  <si>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</si>
  <si>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</si>
  <si>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</si>
  <si>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</si>
  <si>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</si>
  <si>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</si>
  <si>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</si>
  <si>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</si>
  <si>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</si>
  <si>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</si>
  <si>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</si>
  <si>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</si>
  <si>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</si>
  <si>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</si>
  <si>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</si>
  <si>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</si>
  <si>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</si>
  <si>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</si>
  <si>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</si>
  <si>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</si>
  <si>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</si>
  <si>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</si>
  <si>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</si>
  <si>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</si>
  <si>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</si>
  <si>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</si>
  <si>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</si>
  <si>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</si>
  <si>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</si>
  <si>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</si>
  <si>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</si>
  <si>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</si>
  <si>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</si>
  <si>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</si>
  <si>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</si>
  <si>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</si>
  <si>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</si>
  <si>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</si>
  <si>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</si>
  <si>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</si>
  <si>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</si>
  <si>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</si>
  <si>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</si>
  <si>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</si>
  <si>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</si>
  <si>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</si>
  <si>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</si>
  <si>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</si>
  <si>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</si>
  <si>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</si>
  <si>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</si>
  <si>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</si>
  <si>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</si>
  <si>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</si>
  <si>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</si>
  <si>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</si>
  <si>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</si>
  <si>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</si>
  <si>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</si>
  <si>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</si>
  <si>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</si>
  <si>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</si>
  <si>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</si>
  <si>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</si>
  <si>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</si>
  <si>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</si>
  <si>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</si>
  <si>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</si>
  <si>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</si>
  <si>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</si>
  <si>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</si>
  <si>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</si>
  <si>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</si>
  <si>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</si>
  <si>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</si>
  <si>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</si>
  <si>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</si>
  <si>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</si>
  <si>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</si>
  <si>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</si>
  <si>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</si>
  <si>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</si>
  <si>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</si>
  <si>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</si>
  <si>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</si>
  <si>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</si>
  <si>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</si>
  <si>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</si>
  <si>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</si>
  <si>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</si>
  <si>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</si>
  <si>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</si>
  <si>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</si>
  <si>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</si>
  <si>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</si>
  <si>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</si>
  <si>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</si>
  <si>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</si>
  <si>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</si>
  <si>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</si>
  <si>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</si>
  <si>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</si>
  <si>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</si>
  <si>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</si>
  <si>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</si>
  <si>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</si>
  <si>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</si>
  <si>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</si>
  <si>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</si>
  <si>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</si>
  <si>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</si>
  <si>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</si>
  <si>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</si>
  <si>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</si>
  <si>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</si>
  <si>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</si>
  <si>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</si>
  <si>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</si>
  <si>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</si>
  <si>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</si>
  <si>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</si>
  <si>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</si>
  <si>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</si>
  <si>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</si>
  <si>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</si>
  <si>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</si>
  <si>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</si>
  <si>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</si>
  <si>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</si>
  <si>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</si>
  <si>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</si>
  <si>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</si>
  <si>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</si>
  <si>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</si>
  <si>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</si>
  <si>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</si>
  <si>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</si>
  <si>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</si>
  <si>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</si>
  <si>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</si>
  <si>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</si>
  <si>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</si>
  <si>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</si>
  <si>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</si>
  <si>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</si>
  <si>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</si>
  <si>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</si>
  <si>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</si>
  <si>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</si>
  <si>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</si>
  <si>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</si>
  <si>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</si>
  <si>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</si>
  <si>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</si>
  <si>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</si>
  <si>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</si>
  <si>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</si>
  <si>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</si>
  <si>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</si>
  <si>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</si>
  <si>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</si>
  <si>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</si>
  <si>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</si>
  <si>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</si>
  <si>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</si>
  <si>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</si>
  <si>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</si>
  <si>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</si>
  <si>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</si>
  <si>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</si>
  <si>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</si>
  <si>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</si>
  <si>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</si>
  <si>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</si>
  <si>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</si>
  <si>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</si>
  <si>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</si>
  <si>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</si>
  <si>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</si>
  <si>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</si>
  <si>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</si>
  <si>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</si>
  <si>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</si>
  <si>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</si>
  <si>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</si>
  <si>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</si>
  <si>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</si>
  <si>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</si>
  <si>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</si>
  <si>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</si>
  <si>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</si>
  <si>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</si>
  <si>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</si>
  <si>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</si>
  <si>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</si>
  <si>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</si>
  <si>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</si>
  <si>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</si>
  <si>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</si>
  <si>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</si>
  <si>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</si>
  <si>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</si>
  <si>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</si>
  <si>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</si>
  <si>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</si>
  <si>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</si>
  <si>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</si>
  <si>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</si>
  <si>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</si>
  <si>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</si>
  <si>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</si>
  <si>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</si>
  <si>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</si>
  <si>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</si>
  <si>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</si>
  <si>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</si>
  <si>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</si>
  <si>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</si>
  <si>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</si>
  <si>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</si>
  <si>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</si>
  <si>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</si>
  <si>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</si>
  <si>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</si>
  <si>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</si>
  <si>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</si>
  <si>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</si>
  <si>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</si>
  <si>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</si>
  <si>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</si>
  <si>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</si>
  <si>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</si>
  <si>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</si>
  <si>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</si>
  <si>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</si>
  <si>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</si>
  <si>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</si>
  <si>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</si>
  <si>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</si>
  <si>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</si>
  <si>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</si>
  <si>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</si>
  <si>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</si>
  <si>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</si>
  <si>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</si>
  <si>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</si>
  <si>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</si>
  <si>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</si>
  <si>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</si>
  <si>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</si>
  <si>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</si>
  <si>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</si>
  <si>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</si>
  <si>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</si>
  <si>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</si>
  <si>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</si>
  <si>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</si>
  <si>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</si>
  <si>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</si>
  <si>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</si>
  <si>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</si>
  <si>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</si>
  <si>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</si>
  <si>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</si>
  <si>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</si>
  <si>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</si>
  <si>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</si>
  <si>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</si>
  <si>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</si>
  <si>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</si>
  <si>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</si>
  <si>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</si>
  <si>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</si>
  <si>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</si>
  <si>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</si>
  <si>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</si>
  <si>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</si>
  <si>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</si>
  <si>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</si>
  <si>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</si>
  <si>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</si>
  <si>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</si>
  <si>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</si>
  <si>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</si>
  <si>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</si>
  <si>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</si>
  <si>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</si>
  <si>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</si>
  <si>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</si>
  <si>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</si>
  <si>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</si>
  <si>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</si>
  <si>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</si>
  <si>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</si>
  <si>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</si>
  <si>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</si>
  <si>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</si>
  <si>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</si>
  <si>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</si>
  <si>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</si>
  <si>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</si>
  <si>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</si>
  <si>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</si>
  <si>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</si>
  <si>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</si>
  <si>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</si>
  <si>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</si>
  <si>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</si>
  <si>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</si>
  <si>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</si>
  <si>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</si>
  <si>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</si>
  <si>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</si>
  <si>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</si>
  <si>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</si>
  <si>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</si>
  <si>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</si>
  <si>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</si>
  <si>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</si>
  <si>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</si>
  <si>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</si>
  <si>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</si>
  <si>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</si>
  <si>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</si>
  <si>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</si>
  <si>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</si>
  <si>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</si>
  <si>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</si>
  <si>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</si>
  <si>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</si>
  <si>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</si>
  <si>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</si>
  <si>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</si>
  <si>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</si>
  <si>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</si>
  <si>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</si>
  <si>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</si>
  <si>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</si>
  <si>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</si>
  <si>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</si>
  <si>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</si>
  <si>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</si>
  <si>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</si>
  <si>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</si>
  <si>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</si>
  <si>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</si>
  <si>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</si>
  <si>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</si>
  <si>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</si>
  <si>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</si>
  <si>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</si>
  <si>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</si>
  <si>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</si>
  <si>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</si>
  <si>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</si>
  <si>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</si>
  <si>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</si>
  <si>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</si>
  <si>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</si>
  <si>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</si>
  <si>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</si>
  <si>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</si>
  <si>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</si>
  <si>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</si>
  <si>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</si>
  <si>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</si>
  <si>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</si>
  <si>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</si>
  <si>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</si>
  <si>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</si>
  <si>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</si>
  <si>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</si>
  <si>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</si>
  <si>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</si>
  <si>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</si>
  <si>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</si>
  <si>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</si>
  <si>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</si>
  <si>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</si>
  <si>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</si>
  <si>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</si>
  <si>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</si>
  <si>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</si>
  <si>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</si>
  <si>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</si>
  <si>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</si>
  <si>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</si>
  <si>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</si>
  <si>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</si>
  <si>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</si>
  <si>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</si>
  <si>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</si>
  <si>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</si>
  <si>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</si>
  <si>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</si>
  <si>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</si>
  <si>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</si>
  <si>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</si>
  <si>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</si>
  <si>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</si>
  <si>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</si>
  <si>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</si>
  <si>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</si>
  <si>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</si>
  <si>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</si>
  <si>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</si>
  <si>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</si>
  <si>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</si>
  <si>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</si>
  <si>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</si>
  <si>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</si>
  <si>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</si>
  <si>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</si>
  <si>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</si>
  <si>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</si>
  <si>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</si>
  <si>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</si>
  <si>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</si>
  <si>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</si>
  <si>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</si>
  <si>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</si>
  <si>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</si>
  <si>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</si>
  <si>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</si>
  <si>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</si>
  <si>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</si>
  <si>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</si>
  <si>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</si>
  <si>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</si>
  <si>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</si>
  <si>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</si>
  <si>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</si>
  <si>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</si>
  <si>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</si>
  <si>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</si>
  <si>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</si>
  <si>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</si>
  <si>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</si>
  <si>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</si>
  <si>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</si>
  <si>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</si>
  <si>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</si>
  <si>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</si>
  <si>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</si>
  <si>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</si>
  <si>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</si>
  <si>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</si>
  <si>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</si>
  <si>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</si>
  <si>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</si>
  <si>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</si>
  <si>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</si>
  <si>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</si>
  <si>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</si>
  <si>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</si>
  <si>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</si>
  <si>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</si>
  <si>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</si>
  <si>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</si>
  <si>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</si>
  <si>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</si>
  <si>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</si>
  <si>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</si>
  <si>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</si>
  <si>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</si>
  <si>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</si>
  <si>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</si>
  <si>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</si>
  <si>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</si>
  <si>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</si>
  <si>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</si>
  <si>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</si>
  <si>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</si>
  <si>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</si>
  <si>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</si>
  <si>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</si>
  <si>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</si>
  <si>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</si>
  <si>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</si>
  <si>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</si>
  <si>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</si>
  <si>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</si>
  <si>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</si>
  <si>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</si>
  <si>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</si>
  <si>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</si>
  <si>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</si>
  <si>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</si>
  <si>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</si>
  <si>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</si>
  <si>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</si>
  <si>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</si>
  <si>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</si>
  <si>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</si>
  <si>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</si>
  <si>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</si>
  <si>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</si>
  <si>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</si>
  <si>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</si>
  <si>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</si>
  <si>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</si>
  <si>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</si>
  <si>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</si>
  <si>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</si>
  <si>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</si>
  <si>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</si>
  <si>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</si>
  <si>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</si>
  <si>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</si>
  <si>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</si>
  <si>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</si>
  <si>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</si>
  <si>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</si>
  <si>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</si>
  <si>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</si>
  <si>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</si>
  <si>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</si>
  <si>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</si>
  <si>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</si>
  <si>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</si>
  <si>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</si>
  <si>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</si>
  <si>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</si>
  <si>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</si>
  <si>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</si>
  <si>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</si>
  <si>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</si>
  <si>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</si>
  <si>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</si>
  <si>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</si>
  <si>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</si>
  <si>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</si>
  <si>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</si>
  <si>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</si>
  <si>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</si>
  <si>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</si>
  <si>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</si>
  <si>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</si>
  <si>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</si>
  <si>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</si>
  <si>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</si>
  <si>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</si>
  <si>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</si>
  <si>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</si>
  <si>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</si>
  <si>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</si>
  <si>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</si>
  <si>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</si>
  <si>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</si>
  <si>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</si>
  <si>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</si>
  <si>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</si>
  <si>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</si>
  <si>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</si>
  <si>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</si>
  <si>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</si>
  <si>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</si>
  <si>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</si>
  <si>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</si>
  <si>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</si>
  <si>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</si>
  <si>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</si>
  <si>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</si>
  <si>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</si>
  <si>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</si>
  <si>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</si>
  <si>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</si>
  <si>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</si>
  <si>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</si>
  <si>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</si>
  <si>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</si>
  <si>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</si>
  <si>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</si>
  <si>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</si>
  <si>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</si>
  <si>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</si>
  <si>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</si>
  <si>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</si>
  <si>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</si>
  <si>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</si>
  <si>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</si>
  <si>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</si>
  <si>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</si>
  <si>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</si>
  <si>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</si>
  <si>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</si>
  <si>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</si>
  <si>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</si>
  <si>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</si>
  <si>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</si>
  <si>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</si>
  <si>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</si>
  <si>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</si>
  <si>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</si>
  <si>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</si>
  <si>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</si>
  <si>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</si>
  <si>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</si>
  <si>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</si>
  <si>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</si>
  <si>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</si>
  <si>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</si>
  <si>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</si>
  <si>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</si>
  <si>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</si>
  <si>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</si>
  <si>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</si>
  <si>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</si>
  <si>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</si>
  <si>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</si>
  <si>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</si>
  <si>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</si>
  <si>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</si>
  <si>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</si>
  <si>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</si>
  <si>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</si>
  <si>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</si>
  <si>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</si>
  <si>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</si>
  <si>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</si>
  <si>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</si>
  <si>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</si>
  <si>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</si>
  <si>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</si>
  <si>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</si>
  <si>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</si>
  <si>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</si>
  <si>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</si>
  <si>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</si>
  <si>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</si>
  <si>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</si>
  <si>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</si>
  <si>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</si>
  <si>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</si>
  <si>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</si>
  <si>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</si>
  <si>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</si>
  <si>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</si>
  <si>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</si>
  <si>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</si>
  <si>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</si>
  <si>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</si>
  <si>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</si>
  <si>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</si>
  <si>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</si>
  <si>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</si>
  <si>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</si>
  <si>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</si>
  <si>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</si>
  <si>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</si>
  <si>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</si>
  <si>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</si>
  <si>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</si>
  <si>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</si>
  <si>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</si>
  <si>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</si>
  <si>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</si>
  <si>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</si>
  <si>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</si>
  <si>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</si>
  <si>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</si>
  <si>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</si>
  <si>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</si>
  <si>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</si>
  <si>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</si>
  <si>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</si>
  <si>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</si>
  <si>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</si>
  <si>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</si>
  <si>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</si>
  <si>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</si>
  <si>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</si>
  <si>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</si>
  <si>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</si>
  <si>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</si>
  <si>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</si>
  <si>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</si>
  <si>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</si>
  <si>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</si>
  <si>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</si>
  <si>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</si>
  <si>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</si>
  <si>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</si>
  <si>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</si>
  <si>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</si>
  <si>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</si>
  <si>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</si>
  <si>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</si>
  <si>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</si>
  <si>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</si>
  <si>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</si>
  <si>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</si>
  <si>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</si>
  <si>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</si>
  <si>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</si>
  <si>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</si>
  <si>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</si>
  <si>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</si>
  <si>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</si>
  <si>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</si>
  <si>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</si>
  <si>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</si>
  <si>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</si>
  <si>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</si>
  <si>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</si>
  <si>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</si>
  <si>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</si>
  <si>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</si>
  <si>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</si>
  <si>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</si>
  <si>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</si>
  <si>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</si>
  <si>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</si>
  <si>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</si>
  <si>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</si>
  <si>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</si>
  <si>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</si>
  <si>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</si>
  <si>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</si>
  <si>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</si>
  <si>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</si>
  <si>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</si>
  <si>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</si>
  <si>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</si>
  <si>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</si>
  <si>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</si>
  <si>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</si>
  <si>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</si>
  <si>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</si>
  <si>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</si>
  <si>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</si>
  <si>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</si>
  <si>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</si>
  <si>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</si>
  <si>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</si>
  <si>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</si>
  <si>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</si>
  <si>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</si>
  <si>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</si>
  <si>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</si>
  <si>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</si>
  <si>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</si>
  <si>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</si>
  <si>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</si>
  <si>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</si>
  <si>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</si>
  <si>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</si>
  <si>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</si>
  <si>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</si>
  <si>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</si>
  <si>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</si>
  <si>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</si>
  <si>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</si>
  <si>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</si>
  <si>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</si>
  <si>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</si>
  <si>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</si>
  <si>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</si>
  <si>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</si>
  <si>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</si>
  <si>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</si>
  <si>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</si>
  <si>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</si>
  <si>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</si>
  <si>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</si>
  <si>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</si>
  <si>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</si>
  <si>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</si>
  <si>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</si>
  <si>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</si>
  <si>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</si>
  <si>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</si>
  <si>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</si>
  <si>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</si>
  <si>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</si>
  <si>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</si>
  <si>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</si>
  <si>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</si>
  <si>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</si>
  <si>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</si>
  <si>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</si>
  <si>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</si>
  <si>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</si>
  <si>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</si>
  <si>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</si>
  <si>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</si>
  <si>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</si>
  <si>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</si>
  <si>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</si>
  <si>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</si>
  <si>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</si>
  <si>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</si>
  <si>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</si>
  <si>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</si>
  <si>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</si>
  <si>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</si>
  <si>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</si>
  <si>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</si>
  <si>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</si>
  <si>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</si>
  <si>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</si>
  <si>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</si>
  <si>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</si>
  <si>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</si>
  <si>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</si>
  <si>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</si>
  <si>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</si>
  <si>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</si>
  <si>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</si>
  <si>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</si>
  <si>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</si>
  <si>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</si>
  <si>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</si>
  <si>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</si>
  <si>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</si>
  <si>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</si>
  <si>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</si>
  <si>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</si>
  <si>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</si>
  <si>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</si>
  <si>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</si>
  <si>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</si>
  <si>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</si>
  <si>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</si>
  <si>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</si>
  <si>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</si>
  <si>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</si>
  <si>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</si>
  <si>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</si>
  <si>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</si>
  <si>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</si>
  <si>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</si>
  <si>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</si>
  <si>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</si>
  <si>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</si>
  <si>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</si>
  <si>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</si>
  <si>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</si>
  <si>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</si>
  <si>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</si>
  <si>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</si>
  <si>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</si>
  <si>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</si>
  <si>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</si>
  <si>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</si>
  <si>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</si>
  <si>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</si>
  <si>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</si>
  <si>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</si>
  <si>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</si>
  <si>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</si>
  <si>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</si>
  <si>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</si>
  <si>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</si>
  <si>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</si>
  <si>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</si>
  <si>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</si>
  <si>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</si>
  <si>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</si>
  <si>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</si>
  <si>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</si>
  <si>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</si>
  <si>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</si>
  <si>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</si>
  <si>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</si>
  <si>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</si>
  <si>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</si>
  <si>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</si>
  <si>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</si>
  <si>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</si>
  <si>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</si>
  <si>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</si>
  <si>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</si>
  <si>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</si>
  <si>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</si>
  <si>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</si>
  <si>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</si>
  <si>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</si>
  <si>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</si>
  <si>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</si>
  <si>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</si>
  <si>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</si>
  <si>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</si>
  <si>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</si>
  <si>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</si>
  <si>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</si>
  <si>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</si>
  <si>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</si>
  <si>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</si>
  <si>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</si>
  <si>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</si>
  <si>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</si>
  <si>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</si>
  <si>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</si>
  <si>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</si>
  <si>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</si>
  <si>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</si>
  <si>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</si>
  <si>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</si>
  <si>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</si>
  <si>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</si>
  <si>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</si>
  <si>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</si>
  <si>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</si>
  <si>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</si>
  <si>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</si>
  <si>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</si>
  <si>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</si>
  <si>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</si>
  <si>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</si>
  <si>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</si>
  <si>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</si>
  <si>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</si>
  <si>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</si>
  <si>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</si>
  <si>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</si>
  <si>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</si>
  <si>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</si>
  <si>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</si>
  <si>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</si>
  <si>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</si>
  <si>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</si>
  <si>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</si>
  <si>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</si>
  <si>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</si>
  <si>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</si>
  <si>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</si>
  <si>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</si>
  <si>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</si>
  <si>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</si>
  <si>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</si>
  <si>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</si>
  <si>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</si>
  <si>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</si>
  <si>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</si>
  <si>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</si>
  <si>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</si>
  <si>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</si>
  <si>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</si>
  <si>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</si>
  <si>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</si>
  <si>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</si>
  <si>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</si>
  <si>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</si>
  <si>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</si>
  <si>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</si>
  <si>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</si>
  <si>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</si>
  <si>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</si>
  <si>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</si>
  <si>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</si>
  <si>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</si>
  <si>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</si>
  <si>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</si>
  <si>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</si>
  <si>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</si>
  <si>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</si>
  <si>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</si>
  <si>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</si>
  <si>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</si>
  <si>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</si>
  <si>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</si>
  <si>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</si>
  <si>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</si>
  <si>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</si>
  <si>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</si>
  <si>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</si>
  <si>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</si>
  <si>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</si>
  <si>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</si>
  <si>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</si>
  <si>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</si>
  <si>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</si>
  <si>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</si>
  <si>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</si>
  <si>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</si>
  <si>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</si>
  <si>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</si>
  <si>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</si>
  <si>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</si>
  <si>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</si>
  <si>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</si>
  <si>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</si>
  <si>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</si>
  <si>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</si>
  <si>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</si>
  <si>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</si>
  <si>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</si>
  <si>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</si>
  <si>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</si>
  <si>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</si>
  <si>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</si>
  <si>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</si>
  <si>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</si>
  <si>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</si>
  <si>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</si>
  <si>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</si>
  <si>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</si>
  <si>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</si>
  <si>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</si>
  <si>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</si>
  <si>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</si>
  <si>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</si>
  <si>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</si>
  <si>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</si>
  <si>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</si>
  <si>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</si>
  <si>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</si>
  <si>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</si>
  <si>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</si>
  <si>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</si>
  <si>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</si>
  <si>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</si>
  <si>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</si>
  <si>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</si>
  <si>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</si>
  <si>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</si>
  <si>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</si>
  <si>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</si>
  <si>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</si>
  <si>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</si>
  <si>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</si>
  <si>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</si>
  <si>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</si>
  <si>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</si>
  <si>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</si>
  <si>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</si>
  <si>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</si>
  <si>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</si>
  <si>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</si>
  <si>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</si>
  <si>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</si>
  <si>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</si>
  <si>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</si>
  <si>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</si>
  <si>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</si>
  <si>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</si>
  <si>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</si>
  <si>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</si>
  <si>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</si>
  <si>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</si>
  <si>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</si>
  <si>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</si>
  <si>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</si>
  <si>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</si>
  <si>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</si>
  <si>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</si>
  <si>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</si>
  <si>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</si>
  <si>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</si>
  <si>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</si>
  <si>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</si>
  <si>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</si>
  <si>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</si>
  <si>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</si>
  <si>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</si>
  <si>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</si>
  <si>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</si>
  <si>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</si>
  <si>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</si>
  <si>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</si>
  <si>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</si>
  <si>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</si>
  <si>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</si>
  <si>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</si>
  <si>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</si>
  <si>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</si>
  <si>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</si>
  <si>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</si>
  <si>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</si>
  <si>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</si>
  <si>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</si>
  <si>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</si>
  <si>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</si>
  <si>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</si>
  <si>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</si>
  <si>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</si>
  <si>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</si>
  <si>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</si>
  <si>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</si>
  <si>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</si>
  <si>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</si>
  <si>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</si>
  <si>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</si>
  <si>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</si>
  <si>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</si>
  <si>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</si>
  <si>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</si>
  <si>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</si>
  <si>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</si>
  <si>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</si>
  <si>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</si>
  <si>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</si>
  <si>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</si>
  <si>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</si>
  <si>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</si>
  <si>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</si>
  <si>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</si>
  <si>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</si>
  <si>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</si>
  <si>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</si>
  <si>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</si>
  <si>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</si>
  <si>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</si>
  <si>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</si>
  <si>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</si>
  <si>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</si>
  <si>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</si>
  <si>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</si>
  <si>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</si>
  <si>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</si>
  <si>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</si>
  <si>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</si>
  <si>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</si>
  <si>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</si>
  <si>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</si>
  <si>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</si>
  <si>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</si>
  <si>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</si>
  <si>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</si>
  <si>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</si>
  <si>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</si>
  <si>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</si>
  <si>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</si>
  <si>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</si>
  <si>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</si>
  <si>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</si>
  <si>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</si>
  <si>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</si>
  <si>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</si>
  <si>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</si>
  <si>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</si>
  <si>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</si>
  <si>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</si>
  <si>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</si>
  <si>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</si>
  <si>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</si>
  <si>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</si>
  <si>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</si>
  <si>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</si>
  <si>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</si>
  <si>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</si>
  <si>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</si>
  <si>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</si>
  <si>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</si>
  <si>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</si>
  <si>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</si>
  <si>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</si>
  <si>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</si>
  <si>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</si>
  <si>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</si>
  <si>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</si>
  <si>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</si>
  <si>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</si>
  <si>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</si>
  <si>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</si>
  <si>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</si>
  <si>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</si>
  <si>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</si>
  <si>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</si>
  <si>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</si>
  <si>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</si>
  <si>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</si>
  <si>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</si>
  <si>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</si>
  <si>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</si>
  <si>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</si>
  <si>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</si>
  <si>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</si>
  <si>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</si>
  <si>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</si>
  <si>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</si>
  <si>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</si>
  <si>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</si>
  <si>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</si>
  <si>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</si>
  <si>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</si>
  <si>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</si>
  <si>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</si>
  <si>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</si>
  <si>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</si>
  <si>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</si>
  <si>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</si>
  <si>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</si>
  <si>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</si>
  <si>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</si>
  <si>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</si>
  <si>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</si>
  <si>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</si>
  <si>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</si>
  <si>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</si>
  <si>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</si>
  <si>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</si>
  <si>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</si>
  <si>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</si>
  <si>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</si>
  <si>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</si>
  <si>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</si>
  <si>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</si>
  <si>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</si>
  <si>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</si>
  <si>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</si>
  <si>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</si>
  <si>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</si>
  <si>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</si>
  <si>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</si>
  <si>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</si>
  <si>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</si>
  <si>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</si>
  <si>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</si>
  <si>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</si>
  <si>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</si>
  <si>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</si>
  <si>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</si>
  <si>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</si>
  <si>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</si>
  <si>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</si>
  <si>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</si>
  <si>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</si>
  <si>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</si>
  <si>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</si>
  <si>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</si>
  <si>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</si>
  <si>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</si>
  <si>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</si>
  <si>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</si>
  <si>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</si>
  <si>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</si>
  <si>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</si>
  <si>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</si>
  <si>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</si>
  <si>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</si>
  <si>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</si>
  <si>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</si>
  <si>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</si>
  <si>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</si>
  <si>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</si>
  <si>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</si>
  <si>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</si>
  <si>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</si>
  <si>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</si>
  <si>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</si>
  <si>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</si>
  <si>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</si>
  <si>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</si>
  <si>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</si>
  <si>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</si>
  <si>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</si>
  <si>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</si>
  <si>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</si>
  <si>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</si>
  <si>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</si>
  <si>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</si>
  <si>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</si>
  <si>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</si>
  <si>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</si>
  <si>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</si>
  <si>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</si>
  <si>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</si>
  <si>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</si>
  <si>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</si>
  <si>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</si>
  <si>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</si>
  <si>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</si>
  <si>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</si>
  <si>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</si>
  <si>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</si>
  <si>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</si>
  <si>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</si>
  <si>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</si>
  <si>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</si>
  <si>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</si>
  <si>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</si>
  <si>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</si>
  <si>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</si>
  <si>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</si>
  <si>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</si>
  <si>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</si>
  <si>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</si>
  <si>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</si>
  <si>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</si>
  <si>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</si>
  <si>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</si>
  <si>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</si>
  <si>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</si>
  <si>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</si>
  <si>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</si>
  <si>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</si>
  <si>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</si>
  <si>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</si>
  <si>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</si>
  <si>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</si>
  <si>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</si>
  <si>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</si>
  <si>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</si>
  <si>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</si>
  <si>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</si>
  <si>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</si>
  <si>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</si>
  <si>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</si>
  <si>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</si>
  <si>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</si>
  <si>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</si>
  <si>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</si>
  <si>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</si>
  <si>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</si>
  <si>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</si>
  <si>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</si>
  <si>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</si>
  <si>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</si>
  <si>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</si>
  <si>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</si>
  <si>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</si>
  <si>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</si>
  <si>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</si>
  <si>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</si>
  <si>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</si>
  <si>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</si>
  <si>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</si>
  <si>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</si>
  <si>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</si>
  <si>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</si>
  <si>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</si>
  <si>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</si>
  <si>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</si>
  <si>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</si>
  <si>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</si>
  <si>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</si>
  <si>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</si>
  <si>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</si>
  <si>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</si>
  <si>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</si>
  <si>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</si>
  <si>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</si>
  <si>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</si>
  <si>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</si>
  <si>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</si>
  <si>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</si>
  <si>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</si>
  <si>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</si>
  <si>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</si>
  <si>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</si>
  <si>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</si>
  <si>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</si>
  <si>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</si>
  <si>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</si>
  <si>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</si>
  <si>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</si>
  <si>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</si>
  <si>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</si>
  <si>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</si>
  <si>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</si>
  <si>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</si>
  <si>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</si>
  <si>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</si>
  <si>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</si>
  <si>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</si>
  <si>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</si>
  <si>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</si>
  <si>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</si>
  <si>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</si>
  <si>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</si>
  <si>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</si>
  <si>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</si>
  <si>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</si>
  <si>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</si>
  <si>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</si>
  <si>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</si>
  <si>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</si>
  <si>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</si>
  <si>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</si>
  <si>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</si>
  <si>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</si>
  <si>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</si>
  <si>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</si>
  <si>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</si>
  <si>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</si>
  <si>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</si>
  <si>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</si>
  <si>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</si>
  <si>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</si>
  <si>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</si>
  <si>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</si>
  <si>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</si>
  <si>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</si>
  <si>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</si>
  <si>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</si>
  <si>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</si>
  <si>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</si>
  <si>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</si>
  <si>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</si>
  <si>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</si>
  <si>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</si>
  <si>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</si>
  <si>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</si>
  <si>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</si>
  <si>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</si>
  <si>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</si>
  <si>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</si>
  <si>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</si>
  <si>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</si>
  <si>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</si>
  <si>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</si>
  <si>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</si>
  <si>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</si>
  <si>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</si>
  <si>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</si>
  <si>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</si>
  <si>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</si>
  <si>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</si>
  <si>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</si>
  <si>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</si>
  <si>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</si>
  <si>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</si>
  <si>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</si>
  <si>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</si>
  <si>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</si>
  <si>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</si>
  <si>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</si>
  <si>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</si>
  <si>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</si>
  <si>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</si>
  <si>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</si>
  <si>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</si>
  <si>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</si>
  <si>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</si>
  <si>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</si>
  <si>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</si>
  <si>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</si>
  <si>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</si>
  <si>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</si>
  <si>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</si>
  <si>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</si>
  <si>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</si>
  <si>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</si>
  <si>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</si>
  <si>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</si>
  <si>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</si>
  <si>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</si>
  <si>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</si>
  <si>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</si>
  <si>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</si>
  <si>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</si>
  <si>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</si>
  <si>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</si>
  <si>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</si>
  <si>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</si>
  <si>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</si>
  <si>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</si>
  <si>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</si>
  <si>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</si>
  <si>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</si>
  <si>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</si>
  <si>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</si>
  <si>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</si>
  <si>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</si>
  <si>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</si>
  <si>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</si>
  <si>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</si>
  <si>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</si>
  <si>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</si>
  <si>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</si>
  <si>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</si>
  <si>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</si>
  <si>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</si>
  <si>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</si>
  <si>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</si>
  <si>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</si>
  <si>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</si>
  <si>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</si>
  <si>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</si>
  <si>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</si>
  <si>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</si>
  <si>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</si>
  <si>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</si>
  <si>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</si>
  <si>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</si>
  <si>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</si>
  <si>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</si>
  <si>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</si>
  <si>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</si>
  <si>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</si>
  <si>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</si>
  <si>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</si>
  <si>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</si>
  <si>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</si>
  <si>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</si>
  <si>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</si>
  <si>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</si>
  <si>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</si>
  <si>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</si>
  <si>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</si>
  <si>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</si>
  <si>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</si>
  <si>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</si>
  <si>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</si>
  <si>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</si>
  <si>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</si>
  <si>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</si>
  <si>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</si>
  <si>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</si>
  <si>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</si>
  <si>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</si>
  <si>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</si>
  <si>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</si>
  <si>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</si>
  <si>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</si>
  <si>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</si>
  <si>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</si>
  <si>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</si>
  <si>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</si>
  <si>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</si>
  <si>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</si>
  <si>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</si>
  <si>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</si>
  <si>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</si>
  <si>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</si>
  <si>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</si>
  <si>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</si>
  <si>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</si>
  <si>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</si>
  <si>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</si>
  <si>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</si>
  <si>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</si>
  <si>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</si>
  <si>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</si>
  <si>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</si>
  <si>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</si>
  <si>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</si>
  <si>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</si>
  <si>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</si>
  <si>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</si>
  <si>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</si>
  <si>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</si>
  <si>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</si>
  <si>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</si>
  <si>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</si>
  <si>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</si>
  <si>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</si>
  <si>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</si>
  <si>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</si>
  <si>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</si>
  <si>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</si>
  <si>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</si>
  <si>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</si>
  <si>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</si>
  <si>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</si>
  <si>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</si>
  <si>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</si>
  <si>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</si>
  <si>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</si>
  <si>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</si>
  <si>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</si>
  <si>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</si>
  <si>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</si>
  <si>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</si>
  <si>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</si>
  <si>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</si>
  <si>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</si>
  <si>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</si>
  <si>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</si>
  <si>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</si>
  <si>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</si>
  <si>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</si>
  <si>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</si>
  <si>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</si>
  <si>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</si>
  <si>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</si>
  <si>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</si>
  <si>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</si>
  <si>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</si>
  <si>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</si>
  <si>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</si>
  <si>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</si>
  <si>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</si>
  <si>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</si>
  <si>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</si>
  <si>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</si>
  <si>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</si>
  <si>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</si>
  <si>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</si>
  <si>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</si>
  <si>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</si>
  <si>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</si>
  <si>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</si>
  <si>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</si>
  <si>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</si>
  <si>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</si>
  <si>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</si>
  <si>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</si>
  <si>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</si>
  <si>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</si>
  <si>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</si>
  <si>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</si>
  <si>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</si>
  <si>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</si>
  <si>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</si>
  <si>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</si>
  <si>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</si>
  <si>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</si>
  <si>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</si>
  <si>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</si>
  <si>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</si>
  <si>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</si>
  <si>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</si>
  <si>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</si>
  <si>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</si>
  <si>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</si>
  <si>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</si>
  <si>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</si>
  <si>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</si>
  <si>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</si>
  <si>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</si>
  <si>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</si>
  <si>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</si>
  <si>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</si>
  <si>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</si>
  <si>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</si>
  <si>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</si>
  <si>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</si>
  <si>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</si>
  <si>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</si>
  <si>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</si>
  <si>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</si>
  <si>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</si>
  <si>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</si>
  <si>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</si>
  <si>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</si>
  <si>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</si>
  <si>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</si>
  <si>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</si>
  <si>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</si>
  <si>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</si>
  <si>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</si>
  <si>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</si>
  <si>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</si>
  <si>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</si>
  <si>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</si>
  <si>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</si>
  <si>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</si>
  <si>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</si>
  <si>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</si>
  <si>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</si>
  <si>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</si>
  <si>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</si>
  <si>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</si>
  <si>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</si>
  <si>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</si>
  <si>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</si>
  <si>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</si>
  <si>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</si>
  <si>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</si>
  <si>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</si>
  <si>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</si>
  <si>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</si>
  <si>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</si>
  <si>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</si>
  <si>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</si>
  <si>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</si>
  <si>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</si>
  <si>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</si>
  <si>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</si>
  <si>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</si>
  <si>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</si>
  <si>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</si>
  <si>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</si>
  <si>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</si>
  <si>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</si>
  <si>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</si>
  <si>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</si>
  <si>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</si>
  <si>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</si>
  <si>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</si>
  <si>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</si>
  <si>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</si>
  <si>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</si>
  <si>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</si>
  <si>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</si>
  <si>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</si>
  <si>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</si>
  <si>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</si>
  <si>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</si>
  <si>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</si>
  <si>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</si>
  <si>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</si>
  <si>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</si>
  <si>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</si>
  <si>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</si>
  <si>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</si>
  <si>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</si>
  <si>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</si>
  <si>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</si>
  <si>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</si>
  <si>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</si>
  <si>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</si>
  <si>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</si>
  <si>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</si>
  <si>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</si>
  <si>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</si>
  <si>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</si>
  <si>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</si>
  <si>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</si>
  <si>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</si>
  <si>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</si>
  <si>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</si>
  <si>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</si>
  <si>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</si>
  <si>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</si>
  <si>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</si>
  <si>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</si>
  <si>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</si>
  <si>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</si>
  <si>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</si>
  <si>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</si>
  <si>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</si>
  <si>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</si>
  <si>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</si>
  <si>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</si>
  <si>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</si>
  <si>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</si>
  <si>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</si>
  <si>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</si>
  <si>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</si>
  <si>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</si>
  <si>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</si>
  <si>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</si>
  <si>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</si>
  <si>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</si>
  <si>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</si>
  <si>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</si>
  <si>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</si>
  <si>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</si>
  <si>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</si>
  <si>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</si>
  <si>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</si>
  <si>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</si>
  <si>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</si>
  <si>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</si>
  <si>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</si>
  <si>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</si>
  <si>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</si>
  <si>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</si>
  <si>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</si>
  <si>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</si>
  <si>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</si>
  <si>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</si>
  <si>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</si>
  <si>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</si>
  <si>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</si>
  <si>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</si>
  <si>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</si>
  <si>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</si>
  <si>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</si>
  <si>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</si>
  <si>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</si>
  <si>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</si>
  <si>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</si>
  <si>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</si>
  <si>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</si>
  <si>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</si>
  <si>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</si>
  <si>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</si>
  <si>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</si>
  <si>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</si>
  <si>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</si>
  <si>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</si>
  <si>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</si>
  <si>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</si>
  <si>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</si>
  <si>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</si>
  <si>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</si>
  <si>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</si>
  <si>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</si>
  <si>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</si>
  <si>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</si>
  <si>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</si>
  <si>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</si>
  <si>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</si>
  <si>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</si>
  <si>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</si>
  <si>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</si>
  <si>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</si>
  <si>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</si>
  <si>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</si>
  <si>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</si>
  <si>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</si>
  <si>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</si>
  <si>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</si>
  <si>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</si>
  <si>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</si>
  <si>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</si>
  <si>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</si>
  <si>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</si>
  <si>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</si>
  <si>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</si>
  <si>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</si>
  <si>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</si>
  <si>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</si>
  <si>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</si>
  <si>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</si>
  <si>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</si>
  <si>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</si>
  <si>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</si>
  <si>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</si>
  <si>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</si>
  <si>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</si>
  <si>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</si>
  <si>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</si>
  <si>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</si>
  <si>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</si>
  <si>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</si>
  <si>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</si>
  <si>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</si>
  <si>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</si>
  <si>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</si>
  <si>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</si>
  <si>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</si>
  <si>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</si>
  <si>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</si>
  <si>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</si>
  <si>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</si>
  <si>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</si>
  <si>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</si>
  <si>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</si>
  <si>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</si>
  <si>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</si>
  <si>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</si>
  <si>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</si>
  <si>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</si>
  <si>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</si>
  <si>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</si>
  <si>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</si>
  <si>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</si>
  <si>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</si>
  <si>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</si>
  <si>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</si>
  <si>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</si>
  <si>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</si>
  <si>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</si>
  <si>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</si>
  <si>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</si>
  <si>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</si>
  <si>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</si>
  <si>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</si>
  <si>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</si>
  <si>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</si>
  <si>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</si>
  <si>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</si>
  <si>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</si>
  <si>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</si>
  <si>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</si>
  <si>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</si>
  <si>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</si>
  <si>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</si>
  <si>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</si>
  <si>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</si>
  <si>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</si>
  <si>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</si>
  <si>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</si>
  <si>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</si>
  <si>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</si>
  <si>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</si>
  <si>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</si>
  <si>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</si>
  <si>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</si>
  <si>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</si>
  <si>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</si>
  <si>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</si>
  <si>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</si>
  <si>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</si>
  <si>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</si>
  <si>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</si>
  <si>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</si>
  <si>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</si>
  <si>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</si>
  <si>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</si>
  <si>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</si>
  <si>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</si>
  <si>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</si>
  <si>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</si>
  <si>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</si>
  <si>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</si>
  <si>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</si>
  <si>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</si>
  <si>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</si>
  <si>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</si>
  <si>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</si>
  <si>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</si>
  <si>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</si>
  <si>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</si>
  <si>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</si>
  <si>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</si>
  <si>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</si>
  <si>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</si>
  <si>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</si>
  <si>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</si>
  <si>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</si>
  <si>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</si>
  <si>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</si>
  <si>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</si>
  <si>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</si>
  <si>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</si>
  <si>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</si>
  <si>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</si>
  <si>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</si>
  <si>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</si>
  <si>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</si>
  <si>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</si>
  <si>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</si>
  <si>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</si>
  <si>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</si>
  <si>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</si>
  <si>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</si>
  <si>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</si>
  <si>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</si>
  <si>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</si>
  <si>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</si>
  <si>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</si>
  <si>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</si>
  <si>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</si>
  <si>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</si>
  <si>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</si>
  <si>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</si>
  <si>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</si>
  <si>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</si>
  <si>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</si>
  <si>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</si>
  <si>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</si>
  <si>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</si>
  <si>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</si>
  <si>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</si>
  <si>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</si>
  <si>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</si>
  <si>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</si>
  <si>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</si>
  <si>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</si>
  <si>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</si>
  <si>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</si>
  <si>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</si>
  <si>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</si>
  <si>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</si>
  <si>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</si>
  <si>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</si>
  <si>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</si>
  <si>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</si>
  <si>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</si>
  <si>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</si>
  <si>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</si>
  <si>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</si>
  <si>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</si>
  <si>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</si>
  <si>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</si>
  <si>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</si>
  <si>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</si>
  <si>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</si>
  <si>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</si>
  <si>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</si>
  <si>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</si>
  <si>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</si>
  <si>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</si>
  <si>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</si>
  <si>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</si>
  <si>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</si>
  <si>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</si>
  <si>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</si>
  <si>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</si>
  <si>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</si>
  <si>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</si>
  <si>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</si>
  <si>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</si>
  <si>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</si>
  <si>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</si>
  <si>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</si>
  <si>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</si>
  <si>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</si>
  <si>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</si>
  <si>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</si>
  <si>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</si>
  <si>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</si>
  <si>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</si>
  <si>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</si>
  <si>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</si>
  <si>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</si>
  <si>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</si>
  <si>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</si>
  <si>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</si>
  <si>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</si>
  <si>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</si>
  <si>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</si>
  <si>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</si>
  <si>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</si>
  <si>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</si>
  <si>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</si>
  <si>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</si>
  <si>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</si>
  <si>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</si>
  <si>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</si>
  <si>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</si>
  <si>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</si>
  <si>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</si>
  <si>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</si>
  <si>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</si>
  <si>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</si>
  <si>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</si>
  <si>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</si>
  <si>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</si>
  <si>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</si>
  <si>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</si>
  <si>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</si>
  <si>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</si>
  <si>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</si>
  <si>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</si>
  <si>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</si>
  <si>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</si>
  <si>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</si>
  <si>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</si>
  <si>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</si>
  <si>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</si>
  <si>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</si>
  <si>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</si>
  <si>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</si>
  <si>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</si>
  <si>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</si>
  <si>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</si>
  <si>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</si>
  <si>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</si>
  <si>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</si>
  <si>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</si>
  <si>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</si>
  <si>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</si>
  <si>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</si>
  <si>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</si>
  <si>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</si>
  <si>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</si>
  <si>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</si>
  <si>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</si>
  <si>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</si>
  <si>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</si>
  <si>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</si>
  <si>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</si>
  <si>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</si>
  <si>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</si>
  <si>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</si>
  <si>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</si>
  <si>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</si>
  <si>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</si>
  <si>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</si>
  <si>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</si>
  <si>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</si>
  <si>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</si>
  <si>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</si>
  <si>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</si>
  <si>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</si>
  <si>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</si>
  <si>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</si>
  <si>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</si>
  <si>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</si>
  <si>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</si>
  <si>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</si>
  <si>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</si>
  <si>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</si>
  <si>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</si>
  <si>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</si>
  <si>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</si>
  <si>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</si>
  <si>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</si>
  <si>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</si>
  <si>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</si>
  <si>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</si>
  <si>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</si>
  <si>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</si>
  <si>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</si>
  <si>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</si>
  <si>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</si>
  <si>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</si>
  <si>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</si>
  <si>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</si>
  <si>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</si>
  <si>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</si>
  <si>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</si>
  <si>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</si>
  <si>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</si>
  <si>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</si>
  <si>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</si>
  <si>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</si>
  <si>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</si>
  <si>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</si>
  <si>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</si>
  <si>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</si>
  <si>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</si>
  <si>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</si>
  <si>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</si>
  <si>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</si>
  <si>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</si>
  <si>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</si>
  <si>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</si>
  <si>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</si>
  <si>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</si>
  <si>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</si>
  <si>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</si>
  <si>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</si>
  <si>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</si>
  <si>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</si>
  <si>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</si>
  <si>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</si>
  <si>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</si>
  <si>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</si>
  <si>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</si>
  <si>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</si>
  <si>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</si>
  <si>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</si>
  <si>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</si>
  <si>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</si>
  <si>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</si>
  <si>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</si>
  <si>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</si>
  <si>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</si>
  <si>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</si>
  <si>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</si>
  <si>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</si>
  <si>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</si>
  <si>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</si>
  <si>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</si>
  <si>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</si>
  <si>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</si>
  <si>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</si>
  <si>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</si>
  <si>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</si>
  <si>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</si>
  <si>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</si>
  <si>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</si>
  <si>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</si>
  <si>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</si>
  <si>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</si>
  <si>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</si>
  <si>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</si>
  <si>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</si>
  <si>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</si>
  <si>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</si>
  <si>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</si>
  <si>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</si>
  <si>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</si>
  <si>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</si>
  <si>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</si>
  <si>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</si>
  <si>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</si>
  <si>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</si>
  <si>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</si>
  <si>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</si>
  <si>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</si>
  <si>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</si>
  <si>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</si>
  <si>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</si>
  <si>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</si>
  <si>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</si>
  <si>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</si>
  <si>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</si>
  <si>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</si>
  <si>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</si>
  <si>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</si>
  <si>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</si>
  <si>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</si>
  <si>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</si>
  <si>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</si>
  <si>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</si>
  <si>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</si>
  <si>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</si>
  <si>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</si>
  <si>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</si>
  <si>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</si>
  <si>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</si>
  <si>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</si>
  <si>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</si>
  <si>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</si>
  <si>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</si>
  <si>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</si>
  <si>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</si>
  <si>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</si>
  <si>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</si>
  <si>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</si>
  <si>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</si>
  <si>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</si>
  <si>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</si>
  <si>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</si>
  <si>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</si>
  <si>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</si>
  <si>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</si>
  <si>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</si>
  <si>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</si>
  <si>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</si>
  <si>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</si>
  <si>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</si>
  <si>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</si>
  <si>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</si>
  <si>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</si>
  <si>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</si>
  <si>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</si>
  <si>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</si>
  <si>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</si>
  <si>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</si>
  <si>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</si>
  <si>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</si>
  <si>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</si>
  <si>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</si>
  <si>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</si>
  <si>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</si>
  <si>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</si>
  <si>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</si>
  <si>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</si>
  <si>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</si>
  <si>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</si>
  <si>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</si>
  <si>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</si>
  <si>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</si>
  <si>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</si>
  <si>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</si>
  <si>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</si>
  <si>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</si>
  <si>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</si>
  <si>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</si>
  <si>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</si>
  <si>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</si>
  <si>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</si>
  <si>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</si>
  <si>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</si>
  <si>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</si>
  <si>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</si>
  <si>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</si>
  <si>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</si>
  <si>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</si>
  <si>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</si>
  <si>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</si>
  <si>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</si>
  <si>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</si>
  <si>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</si>
  <si>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</si>
  <si>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</si>
  <si>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</si>
  <si>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</si>
  <si>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</si>
  <si>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</si>
  <si>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</si>
  <si>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</si>
  <si>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</si>
  <si>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</si>
  <si>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</si>
  <si>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</si>
  <si>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</si>
  <si>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</si>
  <si>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</si>
  <si>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</si>
  <si>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</si>
  <si>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</si>
  <si>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</si>
  <si>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</si>
  <si>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</si>
  <si>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</si>
  <si>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</si>
  <si>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</si>
  <si>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</si>
  <si>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</si>
  <si>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</si>
  <si>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</si>
  <si>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</si>
  <si>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</si>
  <si>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</si>
  <si>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</si>
  <si>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</si>
  <si>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</si>
  <si>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</si>
  <si>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</si>
  <si>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</si>
  <si>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</si>
  <si>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</si>
  <si>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</si>
  <si>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</si>
  <si>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</si>
  <si>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</si>
  <si>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</si>
  <si>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</si>
  <si>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</si>
  <si>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</si>
  <si>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</si>
  <si>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</si>
  <si>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</si>
  <si>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</si>
  <si>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</si>
  <si>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</si>
  <si>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</si>
  <si>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</si>
  <si>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</si>
  <si>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</si>
  <si>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</si>
  <si>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</si>
  <si>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</si>
  <si>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</si>
  <si>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</si>
  <si>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</si>
  <si>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</si>
  <si>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</si>
  <si>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</si>
  <si>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</si>
  <si>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</si>
  <si>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</si>
  <si>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</si>
  <si>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</si>
  <si>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</si>
  <si>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</si>
  <si>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</si>
  <si>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</si>
  <si>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</si>
  <si>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</si>
  <si>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</si>
  <si>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</si>
  <si>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</si>
  <si>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</si>
  <si>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</si>
  <si>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</si>
  <si>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</si>
  <si>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</si>
  <si>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</si>
  <si>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</si>
  <si>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</si>
  <si>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</si>
  <si>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</si>
  <si>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</si>
  <si>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</si>
  <si>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</si>
  <si>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</si>
  <si>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</si>
  <si>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</si>
  <si>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</si>
  <si>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</si>
  <si>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</si>
  <si>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</si>
  <si>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</si>
  <si>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</si>
  <si>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</si>
  <si>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</si>
  <si>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</si>
  <si>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</si>
  <si>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</si>
  <si>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</si>
  <si>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</si>
  <si>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</si>
  <si>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</si>
  <si>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</si>
  <si>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</si>
  <si>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</si>
  <si>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</si>
  <si>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</si>
  <si>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</si>
  <si>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</si>
  <si>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</si>
  <si>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</si>
  <si>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</si>
  <si>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</si>
  <si>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</si>
  <si>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</si>
  <si>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</si>
  <si>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</si>
  <si>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</si>
  <si>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</si>
  <si>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</si>
  <si>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</si>
  <si>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</si>
  <si>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</si>
  <si>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</si>
  <si>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</si>
  <si>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</si>
  <si>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</si>
  <si>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</si>
  <si>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</si>
  <si>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</si>
  <si>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</si>
  <si>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</si>
  <si>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</si>
  <si>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</si>
  <si>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</si>
  <si>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</si>
  <si>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</si>
  <si>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</si>
  <si>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</si>
  <si>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</si>
  <si>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</si>
  <si>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</si>
  <si>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</si>
  <si>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</si>
  <si>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</si>
  <si>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</si>
  <si>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</si>
  <si>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</si>
  <si>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</si>
  <si>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</si>
  <si>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</si>
  <si>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</si>
  <si>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</si>
  <si>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</si>
  <si>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</si>
  <si>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</si>
  <si>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</si>
  <si>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</si>
  <si>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</si>
  <si>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</si>
  <si>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</si>
  <si>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</si>
  <si>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</si>
  <si>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</si>
  <si>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</si>
  <si>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</si>
  <si>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</si>
  <si>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</si>
  <si>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</si>
  <si>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</si>
  <si>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</si>
  <si>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</si>
  <si>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</si>
  <si>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</si>
  <si>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</si>
  <si>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</si>
  <si>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</si>
  <si>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</si>
  <si>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</si>
  <si>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</si>
  <si>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</si>
  <si>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</si>
  <si>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</si>
  <si>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</si>
  <si>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</si>
  <si>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</si>
  <si>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</si>
  <si>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</si>
  <si>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 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</si>
  <si>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</si>
  <si>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</si>
  <si>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</si>
  <si>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</si>
  <si>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</si>
  <si>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</si>
  <si>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</si>
  <si>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</si>
  <si>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</si>
  <si>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</si>
  <si>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</si>
  <si>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</si>
  <si>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</si>
  <si>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</si>
  <si>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</si>
  <si>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</si>
  <si>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</si>
  <si>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</si>
  <si>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</si>
  <si>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</si>
  <si>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</si>
  <si>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</si>
  <si>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</si>
  <si>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</si>
  <si>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Successful</t>
  </si>
  <si>
    <t>Number Failed</t>
  </si>
  <si>
    <t>Number Canceled</t>
  </si>
  <si>
    <t>Total Projects</t>
  </si>
  <si>
    <t>Precentage Successful</t>
  </si>
  <si>
    <t>Percentage Canceled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</si>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</sst>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5.xml"/><Relationship Id="rId12" Type="http://schemas.openxmlformats.org/officeDocument/2006/relationships/pivotCacheDefinition" Target="pivotCache/pivotCacheDefinition3.xml"/><Relationship Id="rId2" Type="http://schemas.openxmlformats.org/officeDocument/2006/relationships/chartsheet" Target="chartsheets/sheet1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3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2.xml"/><Relationship Id="rId9" Type="http://schemas.openxmlformats.org/officeDocument/2006/relationships/worksheet" Target="worksheets/sheet7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layout>
        <c:manualLayout>
          <c:xMode val="edge"/>
          <c:yMode val="edge"/>
          <c:x val="0.27234360202671365"/>
          <c:y val="8.80219080992089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tx2"/>
            </a:solidFill>
            <a:round/>
          </a:ln>
          <a:effectLst/>
        </c:spPr>
        <c:marker>
          <c:symbol val="circle"/>
          <c:size val="5"/>
          <c:spPr>
            <a:solidFill>
              <a:schemeClr val="tx2"/>
            </a:solidFill>
            <a:ln w="9525">
              <a:solidFill>
                <a:schemeClr val="tx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bg2"/>
            </a:solidFill>
            <a:round/>
          </a:ln>
          <a:effectLst/>
        </c:spPr>
        <c:marker>
          <c:symbol val="circle"/>
          <c:size val="5"/>
          <c:spPr>
            <a:solidFill>
              <a:schemeClr val="bg2"/>
            </a:solidFill>
            <a:ln w="9525">
              <a:solidFill>
                <a:schemeClr val="bg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8C-4C66-851A-5E3A0E00354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8C-4C66-851A-5E3A0E00354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2"/>
              </a:solidFill>
              <a:ln w="9525">
                <a:solidFill>
                  <a:schemeClr val="bg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8C-4C66-851A-5E3A0E0035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503144"/>
        <c:axId val="990504456"/>
      </c:lineChart>
      <c:catAx>
        <c:axId val="990503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504456"/>
        <c:crosses val="autoZero"/>
        <c:auto val="1"/>
        <c:lblAlgn val="ctr"/>
        <c:lblOffset val="100"/>
        <c:noMultiLvlLbl val="0"/>
      </c:catAx>
      <c:valAx>
        <c:axId val="990504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503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0"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Precentage 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8F-431E-9384-07442203C8C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8F-431E-9384-07442203C8C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8F-431E-9384-07442203C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1788416"/>
        <c:axId val="1401792024"/>
      </c:lineChart>
      <c:catAx>
        <c:axId val="1401788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792024"/>
        <c:crosses val="autoZero"/>
        <c:auto val="1"/>
        <c:lblAlgn val="ctr"/>
        <c:lblOffset val="100"/>
        <c:noMultiLvlLbl val="0"/>
      </c:catAx>
      <c:valAx>
        <c:axId val="1401792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78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 b="0"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Statistics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A3-4606-A3C2-3738F34118E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A3-4606-A3C2-3738F34118E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A3-4606-A3C2-3738F34118E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A3-4606-A3C2-3738F34118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7664088"/>
        <c:axId val="554115072"/>
      </c:barChart>
      <c:catAx>
        <c:axId val="497664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115072"/>
        <c:crosses val="autoZero"/>
        <c:auto val="1"/>
        <c:lblAlgn val="ctr"/>
        <c:lblOffset val="100"/>
        <c:noMultiLvlLbl val="0"/>
      </c:catAx>
      <c:valAx>
        <c:axId val="55411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664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4F-4436-88B6-5FC460B38C5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4F-4436-88B6-5FC460B38C5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4F-4436-88B6-5FC460B38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72168000"/>
        <c:axId val="872171280"/>
      </c:barChart>
      <c:catAx>
        <c:axId val="872168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171280"/>
        <c:crosses val="autoZero"/>
        <c:auto val="1"/>
        <c:lblAlgn val="ctr"/>
        <c:lblOffset val="100"/>
        <c:noMultiLvlLbl val="0"/>
      </c:catAx>
      <c:valAx>
        <c:axId val="87217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16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74-4498-B663-725E5C44439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74-4498-B663-725E5C44439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74-4498-B663-725E5C44439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574-4498-B663-725E5C4443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6955536"/>
        <c:axId val="1696950944"/>
      </c:lineChart>
      <c:catAx>
        <c:axId val="1696955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6950944"/>
        <c:crosses val="autoZero"/>
        <c:auto val="1"/>
        <c:lblAlgn val="ctr"/>
        <c:lblOffset val="100"/>
        <c:noMultiLvlLbl val="0"/>
      </c:catAx>
      <c:valAx>
        <c:axId val="169695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6955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C6E89DD-F974-4E99-B736-2E0478D4EBA0}">
  <sheetPr/>
  <sheetViews>
    <sheetView zoomScale="112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1FA84A0-7C88-4B61-B8EA-CD1666158231}">
  <sheetPr/>
  <sheetViews>
    <sheetView zoomScale="11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7545" cy="628479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BC05FE-F6DC-46AB-83AC-AE2CBA4FA98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7545" cy="628479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225195-1705-4655-B29F-3A6053FDE43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2</xdr:row>
      <xdr:rowOff>4761</xdr:rowOff>
    </xdr:from>
    <xdr:to>
      <xdr:col>21</xdr:col>
      <xdr:colOff>9525</xdr:colOff>
      <xdr:row>30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F04EF6-1414-409B-B3BC-D80FEC6306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19049</xdr:colOff>
      <xdr:row>3</xdr:row>
      <xdr:rowOff>4761</xdr:rowOff>
    </xdr:from>
    <xdr:to>
      <xdr:col>20</xdr:col>
      <xdr:colOff>600074</xdr:colOff>
      <xdr:row>33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F87ADE-D815-4030-8F7C-F673ED57F3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600075</xdr:colOff>
      <xdr:row>3</xdr:row>
      <xdr:rowOff>9525</xdr:rowOff>
    </xdr:from>
    <xdr:to>
      <xdr:col>21</xdr:col>
      <xdr:colOff>0</xdr:colOff>
      <xdr:row>35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11A09B-6707-4216-B7BB-83C6AE9D41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gesh Bore" refreshedDate="44708.745487384258" createdVersion="7" refreshedVersion="7" minRefreshableVersion="3" recordCount="4114" xr:uid="{AEFA2C47-3D8E-4AF8-8C5D-1AE9D51A43E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gesh Bore" refreshedDate="44709.508779166666" createdVersion="7" refreshedVersion="7" minRefreshableVersion="3" recordCount="4114" xr:uid="{5FFBF6E8-BA46-4F0C-9DEF-E49C79E8274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gesh Bore" refreshedDate="44711.49425787037" createdVersion="7" refreshedVersion="7" minRefreshableVersion="3" recordCount="4114" xr:uid="{1C6C303C-E93A-4FF9-8B08-C89002D8AB3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554F68-6239-4C8E-9ED5-1700BC547AA1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650E00-2EA5-4A20-B225-ADB8F88F303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9628C2-7812-40A8-8291-4D41407E9EDB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A13729-3097-49C9-B926-892E3F16D795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Bayer 2017">
      <a:dk1>
        <a:srgbClr val="000000"/>
      </a:dk1>
      <a:lt1>
        <a:srgbClr val="FFFFFF"/>
      </a:lt1>
      <a:dk2>
        <a:srgbClr val="FF3162"/>
      </a:dk2>
      <a:lt2>
        <a:srgbClr val="624963"/>
      </a:lt2>
      <a:accent1>
        <a:srgbClr val="10384F"/>
      </a:accent1>
      <a:accent2>
        <a:srgbClr val="00BCFF"/>
      </a:accent2>
      <a:accent3>
        <a:srgbClr val="004422"/>
      </a:accent3>
      <a:accent4>
        <a:srgbClr val="89D329"/>
      </a:accent4>
      <a:accent5>
        <a:srgbClr val="443247"/>
      </a:accent5>
      <a:accent6>
        <a:srgbClr val="D30F4B"/>
      </a:accent6>
      <a:hlink>
        <a:srgbClr val="00BCFF"/>
      </a:hlink>
      <a:folHlink>
        <a:srgbClr val="10384F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E8080-AFA6-4577-82BE-5D0F25BB5ADF}">
  <dimension ref="A1:E18"/>
  <sheetViews>
    <sheetView tabSelected="1" workbookViewId="0">
      <selection activeCell="A19" sqref="A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8359</v>
      </c>
      <c r="B1" t="s">
        <v>8315</v>
      </c>
    </row>
    <row r="2" spans="1:5" x14ac:dyDescent="0.25">
      <c r="A2" s="12" t="s">
        <v>8379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6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6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6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6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6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6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6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6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6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6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6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6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6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42054-5DC5-457E-9B3F-0992F57097B7}">
  <dimension ref="A1:H13"/>
  <sheetViews>
    <sheetView workbookViewId="0">
      <selection activeCell="D2" sqref="D2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1" t="s">
        <v>8381</v>
      </c>
      <c r="B1" s="11" t="s">
        <v>8383</v>
      </c>
      <c r="C1" s="11" t="s">
        <v>8384</v>
      </c>
      <c r="D1" s="11" t="s">
        <v>8385</v>
      </c>
      <c r="E1" s="11" t="s">
        <v>8386</v>
      </c>
      <c r="F1" s="11" t="s">
        <v>8387</v>
      </c>
      <c r="G1" s="11" t="s">
        <v>8389</v>
      </c>
      <c r="H1" s="11" t="s">
        <v>8388</v>
      </c>
    </row>
    <row r="2" spans="1:8" x14ac:dyDescent="0.25">
      <c r="A2" t="s">
        <v>8390</v>
      </c>
      <c r="B2">
        <f>COUNTIFS(Kickstarter!D:D, "&lt;1000", Kickstarter!F:F, "successful", Kickstarter!R:R, "plays")</f>
        <v>141</v>
      </c>
      <c r="C2">
        <f>COUNTIFS(Kickstarter!D:D, "&lt;1000", Kickstarter!F:F, "failed", Kickstarter!R:R, "plays")</f>
        <v>45</v>
      </c>
      <c r="D2">
        <f>COUNTIFS(Kickstarter!D:D, "&lt;1000", Kickstarter!F:F, "canceled", Kickstarter!R:R, "plays")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25">
      <c r="A3" t="s">
        <v>8391</v>
      </c>
      <c r="B3">
        <f>COUNTIFS(Kickstarter!D:D, "&gt;=1000", Kickstarter!D:D, "&lt;=4999", Kickstarter!F:F, "successful", Kickstarter!R:R, "plays")</f>
        <v>388</v>
      </c>
      <c r="C3">
        <f>COUNTIFS(Kickstarter!D:D, "&gt;=1000", Kickstarter!D:D, "&lt;=4999", Kickstarter!F:F, "failed", Kickstarter!R:R, "plays")</f>
        <v>146</v>
      </c>
      <c r="D3">
        <f>COUNTIFS(Kickstarter!D:D, "&gt;=1000", Kickstarter!D:D, "&lt;=4999", Kickstarter!F:F, "canceled", Kickstarter!R:R, "plays")</f>
        <v>0</v>
      </c>
      <c r="E3">
        <f t="shared" ref="E3:E13" si="0">SUM(B3:D3)</f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 s="17">
        <f t="shared" ref="H3:H13" si="3">D3/E3</f>
        <v>0</v>
      </c>
    </row>
    <row r="4" spans="1:8" x14ac:dyDescent="0.25">
      <c r="A4" t="s">
        <v>8392</v>
      </c>
      <c r="B4">
        <f>COUNTIFS(Kickstarter!D:D, "&gt;=5000", Kickstarter!D:D, "&lt;=9999", Kickstarter!F:F, "successful", Kickstarter!R:R, "plays")</f>
        <v>93</v>
      </c>
      <c r="C4">
        <f>COUNTIFS(Kickstarter!D:D, "&gt;=5000", Kickstarter!D:D, "&lt;=9999", Kickstarter!F:F, "failed", Kickstarter!R:R, "plays")</f>
        <v>76</v>
      </c>
      <c r="D4">
        <f>COUNTIFS(Kickstarter!D:D, "&gt;=5000", Kickstarter!D:D, "&lt;=9999", Kickstarter!F:F, "canceled", Kickstarter!R:R, 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25">
      <c r="A5" t="s">
        <v>8393</v>
      </c>
      <c r="B5">
        <f>COUNTIFS(Kickstarter!D:D, "&gt;=10000", Kickstarter!D:D, "&lt;=14999", Kickstarter!F:F, "successful", Kickstarter!R:R, "plays")</f>
        <v>39</v>
      </c>
      <c r="C5">
        <f>COUNTIFS(Kickstarter!D:D, "&gt;=10000", Kickstarter!D:D, "&lt;=14999", Kickstarter!F:F, "failed", Kickstarter!R:R, "plays")</f>
        <v>33</v>
      </c>
      <c r="D5">
        <f>COUNTIFS(Kickstarter!D:D, "&gt;=10000", Kickstarter!D:D, "&lt;=14999", Kickstarter!F:F, "canceled", Kickstarter!R:R, 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25">
      <c r="A6" t="s">
        <v>8394</v>
      </c>
      <c r="B6">
        <f>COUNTIFS(Kickstarter!D:D, "&gt;=15000", Kickstarter!D:D, "&lt;=19999", Kickstarter!F:F, "successful", Kickstarter!R:R, "plays")</f>
        <v>12</v>
      </c>
      <c r="C6">
        <f>COUNTIFS(Kickstarter!D:D, "&gt;=15000", Kickstarter!D:D, "&lt;=19999", Kickstarter!F:F, "failed", Kickstarter!R:R, "plays")</f>
        <v>12</v>
      </c>
      <c r="D6">
        <f>COUNTIFS(Kickstarter!D:D, "&gt;=15000", Kickstarter!D:D, "&lt;=19999", Kickstarter!F:F, "canceled", Kickstarter!R:R, 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25">
      <c r="A7" t="s">
        <v>8395</v>
      </c>
      <c r="B7">
        <f>COUNTIFS(Kickstarter!D:D, "&gt;=20000", Kickstarter!D:D, "&lt;=24999", Kickstarter!F:F, "successful", Kickstarter!R:R, "plays")</f>
        <v>9</v>
      </c>
      <c r="C7">
        <f>COUNTIFS(Kickstarter!D:D, "&gt;=20000", Kickstarter!D:D, "&lt;=24999", Kickstarter!F:F, "failed", Kickstarter!R:R, "plays")</f>
        <v>11</v>
      </c>
      <c r="D7">
        <f>COUNTIFS(Kickstarter!D:D, "&gt;=20000", Kickstarter!D:D, "&lt;=24999", Kickstarter!F:F, "canceled", Kickstarter!R:R, 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25">
      <c r="A8" t="s">
        <v>8396</v>
      </c>
      <c r="B8">
        <f>COUNTIFS(Kickstarter!D:D, "&gt;=25000", Kickstarter!D:D, "&lt;=29999", Kickstarter!F:F, "successful", Kickstarter!R:R, "plays")</f>
        <v>1</v>
      </c>
      <c r="C8">
        <f>COUNTIFS(Kickstarter!D:D, "&gt;=25000", Kickstarter!D:D, "&lt;=29999", Kickstarter!F:F, "failed", Kickstarter!R:R, "plays")</f>
        <v>4</v>
      </c>
      <c r="D8">
        <f>COUNTIFS(Kickstarter!D:D, "&gt;=25000", Kickstarter!D:D, "&lt;=29999", Kickstarter!F:F, "canceled", Kickstarter!R:R, 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25">
      <c r="A9" t="s">
        <v>8397</v>
      </c>
      <c r="B9">
        <f>COUNTIFS(Kickstarter!D:D, "&gt;=30000", Kickstarter!D:D, "&lt;=34999", Kickstarter!F:F, "successful", Kickstarter!R:R, "plays")</f>
        <v>3</v>
      </c>
      <c r="C9">
        <f>COUNTIFS(Kickstarter!D:D, "&gt;=30000", Kickstarter!D:D, "&lt;=34999", Kickstarter!F:F, "failed", Kickstarter!R:R, "plays")</f>
        <v>8</v>
      </c>
      <c r="D9">
        <f>COUNTIFS(Kickstarter!D:D, "&gt;=30000", Kickstarter!D:D, "&lt;=34999", Kickstarter!F:F, "canceled", Kickstarter!R:R, 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25">
      <c r="A10" t="s">
        <v>8398</v>
      </c>
      <c r="B10">
        <f>COUNTIFS(Kickstarter!D:D, "&gt;=35000", Kickstarter!D:D, "&lt;=39999", Kickstarter!F:F, "successful", Kickstarter!R:R, "plays")</f>
        <v>4</v>
      </c>
      <c r="C10">
        <f>COUNTIFS(Kickstarter!D:D, "&gt;=35000", Kickstarter!D:D, "&lt;=39999", Kickstarter!F:F, "failed", Kickstarter!R:R, "plays")</f>
        <v>2</v>
      </c>
      <c r="D10">
        <f>COUNTIFS(Kickstarter!D:D, "&gt;=35000", Kickstarter!D:D, "&lt;=39999", Kickstarter!F:F, "canceled", Kickstarter!R:R, 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25">
      <c r="A11" t="s">
        <v>8399</v>
      </c>
      <c r="B11">
        <f>COUNTIFS(Kickstarter!D:D, "&gt;=40000", Kickstarter!D:D, "&lt;=44999", Kickstarter!F:F, "successful", Kickstarter!R:R, "plays")</f>
        <v>2</v>
      </c>
      <c r="C11">
        <f>COUNTIFS(Kickstarter!D:D, "&gt;=40000", Kickstarter!D:D, "&lt;=44999", Kickstarter!F:F, "failed", Kickstarter!R:R, "plays")</f>
        <v>1</v>
      </c>
      <c r="D11">
        <f>COUNTIFS(Kickstarter!D:D, "&gt;=40000", Kickstarter!D:D, "&lt;=44999", Kickstarter!F:F, "canceled", Kickstarter!R:R, 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25">
      <c r="A12" t="s">
        <v>8400</v>
      </c>
      <c r="B12">
        <f>COUNTIFS(Kickstarter!D:D, "&gt;=45000", Kickstarter!D:D, "&lt;=40999", Kickstarter!F:F, "successful", Kickstarter!R:R, "plays")</f>
        <v>0</v>
      </c>
      <c r="C12">
        <f>COUNTIFS(Kickstarter!D:D, "&gt;=45000", Kickstarter!D:D, "&lt;=49999", Kickstarter!F:F, "failed", Kickstarter!R:R, "plays")</f>
        <v>1</v>
      </c>
      <c r="D12">
        <f>COUNTIFS(Kickstarter!D:D, "&gt;=45000", Kickstarter!D:D, "&lt;=49999", Kickstarter!F:F, "canceled", Kickstarter!R:R, 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25">
      <c r="A13" t="s">
        <v>8401</v>
      </c>
      <c r="B13">
        <f>COUNTIFS(Kickstarter!D:D, "&gt;=50000", Kickstarter!F:F, "successful", Kickstarter!R:R, "plays")</f>
        <v>2</v>
      </c>
      <c r="C13">
        <f>COUNTIFS(Kickstarter!D:D, "&gt;=50000", Kickstarter!F:F, "failed", Kickstarter!R:R, "plays")</f>
        <v>14</v>
      </c>
      <c r="D13">
        <f>COUNTIFS(Kickstarter!D:D, "&gt;=50000", Kickstarter!F:F, "canceled", Kickstarter!R:R, "plays")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/>
  </sheetPr>
  <dimension ref="A1:U4115"/>
  <sheetViews>
    <sheetView zoomScale="95" zoomScaleNormal="95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5.140625" bestFit="1" customWidth="1"/>
    <col min="16" max="16" width="17.28515625" bestFit="1" customWidth="1"/>
    <col min="17" max="17" width="41.140625" customWidth="1"/>
    <col min="18" max="18" width="16.85546875" bestFit="1" customWidth="1"/>
    <col min="19" max="20" width="23.57031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1" t="s">
        <v>8358</v>
      </c>
      <c r="S1" s="1" t="s">
        <v>8365</v>
      </c>
      <c r="T1" s="1" t="s">
        <v>8366</v>
      </c>
      <c r="U1" s="11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 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 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 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 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 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 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 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 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 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 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 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 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 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 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 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 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 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 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 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 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 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 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 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 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 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 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 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 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 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 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 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 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 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 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 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 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 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 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 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 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 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 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 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 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 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 2),0)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 2),0)</f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 2),0)</f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 2),0)</f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 2),0)</f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 2),0)</f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 2),0)</f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 2),0)</f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 2),0)</f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 2),0)</f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 2),0)</f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 2),0)</f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 2),0)</f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 2),0)</f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 2),0)</f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 2),0)</f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 2),0)</f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 2),0)</f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 2),0)</f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 2),0)</f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 2),0)</f>
        <v>0</v>
      </c>
      <c r="Q4099" s="10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conditionalFormatting sqref="F1:F1048576">
    <cfRule type="cellIs" dxfId="3" priority="3" operator="equal">
      <formula>"live"</formula>
    </cfRule>
    <cfRule type="cellIs" dxfId="2" priority="4" operator="equal">
      <formula>"failed"</formula>
    </cfRule>
    <cfRule type="cellIs" dxfId="1" priority="5" operator="equal">
      <formula>"canceled"</formula>
    </cfRule>
    <cfRule type="cellIs" dxfId="0" priority="6" operator="equal">
      <formula>"successful"</formula>
    </cfRule>
  </conditionalFormatting>
  <conditionalFormatting sqref="O1:O1048576 P1 S1">
    <cfRule type="colorScale" priority="2">
      <colorScale>
        <cfvo type="min"/>
        <cfvo type="percentile" val="90"/>
        <color rgb="FFFF0000"/>
        <color rgb="FF00B0F0"/>
      </colorScale>
    </cfRule>
  </conditionalFormatting>
  <conditionalFormatting sqref="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  <headerFooter>
    <oddFooter>&amp;R&amp;1#&amp;"Calibri"&amp;22&amp;KFF8939RESTRICTED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FB0BD-1BD5-4ECF-AAD6-FA58E1653F2A}">
  <dimension ref="A1:F6"/>
  <sheetViews>
    <sheetView workbookViewId="0">
      <selection activeCell="A2" sqref="A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F44EC-794B-4741-9343-1059BB87E086}">
  <dimension ref="A1:E7"/>
  <sheetViews>
    <sheetView workbookViewId="0">
      <selection activeCell="E1" sqref="E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8223</v>
      </c>
    </row>
    <row r="2" spans="1:5" x14ac:dyDescent="0.25">
      <c r="A2" s="12" t="s">
        <v>8359</v>
      </c>
      <c r="B2" t="s">
        <v>8315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5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95838-9F47-401B-A868-004D3BE95F23}">
  <dimension ref="A1:F18"/>
  <sheetViews>
    <sheetView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8359</v>
      </c>
      <c r="B1" t="s">
        <v>8315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6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6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6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6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6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6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7D49F-E50A-4996-B5A5-EB2D3ECF5E99}">
  <dimension ref="A1:F6"/>
  <sheetViews>
    <sheetView workbookViewId="0">
      <selection activeCell="F1" sqref="F1"/>
    </sheetView>
  </sheetViews>
  <sheetFormatPr defaultRowHeight="15" x14ac:dyDescent="0.25"/>
  <cols>
    <col min="1" max="1" width="33.5703125" bestFit="1" customWidth="1"/>
    <col min="2" max="2" width="50.28515625" customWidth="1"/>
    <col min="5" max="5" width="17" bestFit="1" customWidth="1"/>
    <col min="6" max="7" width="13.85546875" bestFit="1" customWidth="1"/>
  </cols>
  <sheetData>
    <row r="1" spans="1:6" x14ac:dyDescent="0.25">
      <c r="A1" s="11" t="s">
        <v>8380</v>
      </c>
      <c r="B1" s="11" t="s">
        <v>4110</v>
      </c>
      <c r="C1" s="11" t="s">
        <v>8381</v>
      </c>
      <c r="D1" s="11" t="s">
        <v>8382</v>
      </c>
      <c r="E1" s="11" t="s">
        <v>8307</v>
      </c>
      <c r="F1" s="11" t="s">
        <v>8261</v>
      </c>
    </row>
    <row r="2" spans="1:6" ht="45" x14ac:dyDescent="0.25">
      <c r="A2" t="s">
        <v>3473</v>
      </c>
      <c r="B2" s="3" t="str">
        <f>VLOOKUP(A2,Kickstarter!B:C, 2, FALSE)</f>
        <v>Help us get actor-writer Ian Bonar's debut play - a hilarious, heartbreaking story of grief and loss - to the 2016 Edinburgh Fringe.</v>
      </c>
      <c r="C2" s="3">
        <f>VLOOKUP(A2,Kickstarter!B:E, 3, FALSE)</f>
        <v>2000</v>
      </c>
      <c r="D2">
        <f>VLOOKUP(A2,Kickstarter!B:E, 4, FALSE)</f>
        <v>2020</v>
      </c>
      <c r="E2">
        <f>VLOOKUP(A2,Kickstarter!B:P, 15, FALSE)</f>
        <v>51.79</v>
      </c>
      <c r="F2">
        <f>VLOOKUP(A2,Kickstarter!B:P, 11, FALSE)</f>
        <v>39</v>
      </c>
    </row>
    <row r="3" spans="1:6" ht="45" x14ac:dyDescent="0.25">
      <c r="A3" t="s">
        <v>3616</v>
      </c>
      <c r="B3" s="3" t="str">
        <f>VLOOKUP(A3,Kickstarter!B:C, 2, FALSE)</f>
        <v>The play yet to be described as "A surefire Edinburgh Fringe Festival Cult Hit". Coming to the Underbelly, Edinburgh, 5th-30th August.</v>
      </c>
      <c r="C3" s="3">
        <f>VLOOKUP(A3,Kickstarter!B:E, 3, FALSE)</f>
        <v>2000</v>
      </c>
      <c r="D3">
        <f>VLOOKUP(A3,Kickstarter!B:E, 4, FALSE)</f>
        <v>2020</v>
      </c>
      <c r="E3">
        <f>VLOOKUP(A3,Kickstarter!B:P, 15, FALSE)</f>
        <v>36.07</v>
      </c>
      <c r="F3">
        <f>VLOOKUP(A3,Kickstarter!B:P, 11, FALSE)</f>
        <v>56</v>
      </c>
    </row>
    <row r="4" spans="1:6" ht="45" x14ac:dyDescent="0.25">
      <c r="A4" t="s">
        <v>3178</v>
      </c>
      <c r="B4" s="3" t="str">
        <f>VLOOKUP(A4,Kickstarter!B:C, 2, FALSE)</f>
        <v>Cutting Off Kate Bush is a one-woman show written &amp; performed by Lucy Benson-Brown, premiering at the Edinburgh Fringe Festival 2014</v>
      </c>
      <c r="C4" s="3">
        <f>VLOOKUP(A4,Kickstarter!B:E, 3, FALSE)</f>
        <v>1500</v>
      </c>
      <c r="D4">
        <f>VLOOKUP(A4,Kickstarter!B:E, 4, FALSE)</f>
        <v>2576</v>
      </c>
      <c r="E4">
        <f>VLOOKUP(A4,Kickstarter!B:P, 15, FALSE)</f>
        <v>33.03</v>
      </c>
      <c r="F4">
        <f>VLOOKUP(A4,Kickstarter!B:P, 11, FALSE)</f>
        <v>78</v>
      </c>
    </row>
    <row r="5" spans="1:6" ht="45" x14ac:dyDescent="0.25">
      <c r="A5" t="s">
        <v>3329</v>
      </c>
      <c r="B5" s="3" t="str">
        <f>VLOOKUP(A5,Kickstarter!B:C, 2, FALSE)</f>
        <v>Jestia and Raedon is a brand new romantic comedy play going to the Edinburgh Fringe Festival this summer.</v>
      </c>
      <c r="C5" s="3">
        <f>VLOOKUP(A5,Kickstarter!B:E, 3, FALSE)</f>
        <v>1000</v>
      </c>
      <c r="D5">
        <f>VLOOKUP(A5,Kickstarter!B:E, 4, FALSE)</f>
        <v>1168</v>
      </c>
      <c r="E5">
        <f>VLOOKUP(A5,Kickstarter!B:P, 15, FALSE)</f>
        <v>44.92</v>
      </c>
      <c r="F5">
        <f>VLOOKUP(A5,Kickstarter!B:P, 11, FALSE)</f>
        <v>26</v>
      </c>
    </row>
    <row r="6" spans="1:6" ht="45" x14ac:dyDescent="0.25">
      <c r="A6" t="s">
        <v>3221</v>
      </c>
      <c r="B6" s="3" t="str">
        <f>VLOOKUP(A6,Kickstarter!B:C, 2, FALSE)</f>
        <v>A one-man show about love, loss, and motorways, written &amp; performed by Ben Norris. Help us get to the 2015 Edinburgh Fringe and beyond!</v>
      </c>
      <c r="C6" s="3">
        <f>VLOOKUP(A6,Kickstarter!B:E, 3, FALSE)</f>
        <v>4000</v>
      </c>
      <c r="D6">
        <f>VLOOKUP(A6,Kickstarter!B:E, 4, FALSE)</f>
        <v>4137</v>
      </c>
      <c r="E6">
        <f>VLOOKUP(A6,Kickstarter!B:P, 15, FALSE)</f>
        <v>36.61</v>
      </c>
      <c r="F6">
        <f>VLOOKUP(A6,Kickstarter!B:P,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Theater Outcomes by Launch Date</vt:lpstr>
      <vt:lpstr>Outcomes Based on Goals</vt:lpstr>
      <vt:lpstr>Kickstarter</vt:lpstr>
      <vt:lpstr>Category Statistics</vt:lpstr>
      <vt:lpstr>Subcategory Statistics</vt:lpstr>
      <vt:lpstr>Outcomes Based on Launch Date</vt:lpstr>
      <vt:lpstr>Edinburgh Research</vt:lpstr>
      <vt:lpstr>Theater_Outcomes_vs_Launch_Char</vt:lpstr>
      <vt:lpstr>Outcomes Based on Goal-Chart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Mangesh Bore</cp:lastModifiedBy>
  <dcterms:created xsi:type="dcterms:W3CDTF">2017-04-20T15:17:24Z</dcterms:created>
  <dcterms:modified xsi:type="dcterms:W3CDTF">2022-05-30T18:05:50Z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c76c141-ac86-40e5-abf2-c6f60e474cee_Enabled">
    <vt:lpwstr>true</vt:lpwstr>
  </property>
  <property fmtid="{D5CDD505-2E9C-101B-9397-08002B2CF9AE}" pid="3" name="MSIP_Label_2c76c141-ac86-40e5-abf2-c6f60e474cee_SetDate">
    <vt:lpwstr>2022-05-27T19:46:16Z</vt:lpwstr>
  </property>
  <property fmtid="{D5CDD505-2E9C-101B-9397-08002B2CF9AE}" pid="4" name="MSIP_Label_2c76c141-ac86-40e5-abf2-c6f60e474cee_Method">
    <vt:lpwstr>Standard</vt:lpwstr>
  </property>
  <property fmtid="{D5CDD505-2E9C-101B-9397-08002B2CF9AE}" pid="5" name="MSIP_Label_2c76c141-ac86-40e5-abf2-c6f60e474cee_Name">
    <vt:lpwstr>2c76c141-ac86-40e5-abf2-c6f60e474cee</vt:lpwstr>
  </property>
  <property fmtid="{D5CDD505-2E9C-101B-9397-08002B2CF9AE}" pid="6" name="MSIP_Label_2c76c141-ac86-40e5-abf2-c6f60e474cee_SiteId">
    <vt:lpwstr>fcb2b37b-5da0-466b-9b83-0014b67a7c78</vt:lpwstr>
  </property>
  <property fmtid="{D5CDD505-2E9C-101B-9397-08002B2CF9AE}" pid="7" name="MSIP_Label_2c76c141-ac86-40e5-abf2-c6f60e474cee_ActionId">
    <vt:lpwstr>6252733d-dd02-40d1-8905-27289c6246c1</vt:lpwstr>
  </property>
  <property fmtid="{D5CDD505-2E9C-101B-9397-08002B2CF9AE}" pid="8" name="MSIP_Label_2c76c141-ac86-40e5-abf2-c6f60e474cee_ContentBits">
    <vt:lpwstr>2</vt:lpwstr>
  </property>
</Properties>
</file>