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cushwake1-my.sharepoint.com/personal/brian_mannlein_cushwake_com/Documents/1 - Apartment Team/Commission Tracker/"/>
    </mc:Choice>
  </mc:AlternateContent>
  <xr:revisionPtr revIDLastSave="168" documentId="8_{7F8678B9-85E4-4EC4-A774-C6888BEC35F4}" xr6:coauthVersionLast="47" xr6:coauthVersionMax="47" xr10:uidLastSave="{323D6602-8527-4712-A721-FEF02A59BE59}"/>
  <bookViews>
    <workbookView xWindow="-120" yWindow="-120" windowWidth="29040" windowHeight="15720" xr2:uid="{C7463A55-9E34-40E4-A2D4-1DEDA6E0A3B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5" i="1" l="1"/>
  <c r="F169" i="1"/>
  <c r="G169" i="1" s="1"/>
  <c r="H169" i="1" s="1"/>
  <c r="E169" i="1"/>
  <c r="I169" i="1"/>
  <c r="L169" i="1"/>
  <c r="M169" i="1"/>
  <c r="F168" i="1"/>
  <c r="G168" i="1" s="1"/>
  <c r="H168" i="1" s="1"/>
  <c r="E168" i="1"/>
  <c r="I168" i="1"/>
  <c r="L168" i="1"/>
  <c r="M168" i="1"/>
  <c r="F165" i="1"/>
  <c r="E165" i="1"/>
  <c r="L165" i="1"/>
  <c r="M165" i="1"/>
  <c r="E166" i="1"/>
  <c r="F166" i="1"/>
  <c r="G166" i="1" s="1"/>
  <c r="H166" i="1" s="1"/>
  <c r="I166" i="1"/>
  <c r="L166" i="1"/>
  <c r="M166" i="1"/>
  <c r="G170" i="1"/>
  <c r="H170" i="1" s="1"/>
  <c r="E170" i="1"/>
  <c r="I170" i="1"/>
  <c r="L170" i="1"/>
  <c r="M170" i="1"/>
  <c r="F164" i="1"/>
  <c r="G164" i="1" s="1"/>
  <c r="E164" i="1"/>
  <c r="L164" i="1"/>
  <c r="M164" i="1"/>
  <c r="F161" i="1"/>
  <c r="G161" i="1" s="1"/>
  <c r="H161" i="1" s="1"/>
  <c r="I161" i="1" s="1"/>
  <c r="E161" i="1"/>
  <c r="L161" i="1"/>
  <c r="M161" i="1"/>
  <c r="M173" i="1"/>
  <c r="L173" i="1"/>
  <c r="I173" i="1"/>
  <c r="F173" i="1"/>
  <c r="G173" i="1" s="1"/>
  <c r="H173" i="1" s="1"/>
  <c r="E173" i="1"/>
  <c r="M172" i="1"/>
  <c r="L172" i="1"/>
  <c r="I172" i="1"/>
  <c r="F172" i="1"/>
  <c r="G172" i="1" s="1"/>
  <c r="H172" i="1" s="1"/>
  <c r="E172" i="1"/>
  <c r="M171" i="1"/>
  <c r="L171" i="1"/>
  <c r="I171" i="1"/>
  <c r="F171" i="1"/>
  <c r="G171" i="1" s="1"/>
  <c r="H171" i="1" s="1"/>
  <c r="E171" i="1"/>
  <c r="M167" i="1"/>
  <c r="L167" i="1"/>
  <c r="I167" i="1"/>
  <c r="F167" i="1"/>
  <c r="G167" i="1" s="1"/>
  <c r="H167" i="1" s="1"/>
  <c r="E167" i="1"/>
  <c r="M162" i="1"/>
  <c r="L162" i="1"/>
  <c r="F162" i="1"/>
  <c r="G162" i="1" s="1"/>
  <c r="H162" i="1" s="1"/>
  <c r="I162" i="1" s="1"/>
  <c r="E162" i="1"/>
  <c r="M163" i="1"/>
  <c r="L163" i="1"/>
  <c r="F163" i="1"/>
  <c r="G163" i="1" s="1"/>
  <c r="E163" i="1"/>
  <c r="M160" i="1"/>
  <c r="L160" i="1"/>
  <c r="F160" i="1"/>
  <c r="G160" i="1" s="1"/>
  <c r="H160" i="1" s="1"/>
  <c r="I160" i="1" s="1"/>
  <c r="E160" i="1"/>
  <c r="M159" i="1"/>
  <c r="L159" i="1"/>
  <c r="C159" i="1"/>
  <c r="F159" i="1" s="1"/>
  <c r="G159" i="1" s="1"/>
  <c r="H159" i="1" s="1"/>
  <c r="M158" i="1"/>
  <c r="L158" i="1"/>
  <c r="F158" i="1"/>
  <c r="G158" i="1" s="1"/>
  <c r="H158" i="1" s="1"/>
  <c r="I158" i="1" s="1"/>
  <c r="E158" i="1"/>
  <c r="M157" i="1"/>
  <c r="L157" i="1"/>
  <c r="K157" i="1"/>
  <c r="C157" i="1"/>
  <c r="F157" i="1" s="1"/>
  <c r="G157" i="1" s="1"/>
  <c r="H157" i="1" s="1"/>
  <c r="I157" i="1" s="1"/>
  <c r="M156" i="1"/>
  <c r="L156" i="1"/>
  <c r="K156" i="1"/>
  <c r="F156" i="1"/>
  <c r="G156" i="1" s="1"/>
  <c r="H156" i="1" s="1"/>
  <c r="I156" i="1" s="1"/>
  <c r="E156" i="1"/>
  <c r="M155" i="1"/>
  <c r="L155" i="1"/>
  <c r="K155" i="1"/>
  <c r="F155" i="1"/>
  <c r="G155" i="1" s="1"/>
  <c r="H155" i="1" s="1"/>
  <c r="E155" i="1"/>
  <c r="M154" i="1"/>
  <c r="L154" i="1"/>
  <c r="K154" i="1"/>
  <c r="F154" i="1"/>
  <c r="G154" i="1" s="1"/>
  <c r="H154" i="1" s="1"/>
  <c r="I154" i="1" s="1"/>
  <c r="E154" i="1"/>
  <c r="M153" i="1"/>
  <c r="L153" i="1"/>
  <c r="K153" i="1"/>
  <c r="F153" i="1"/>
  <c r="G153" i="1" s="1"/>
  <c r="H153" i="1" s="1"/>
  <c r="I153" i="1" s="1"/>
  <c r="E153" i="1"/>
  <c r="M152" i="1"/>
  <c r="L152" i="1"/>
  <c r="K152" i="1"/>
  <c r="F152" i="1"/>
  <c r="G152" i="1" s="1"/>
  <c r="H152" i="1" s="1"/>
  <c r="I152" i="1" s="1"/>
  <c r="E152" i="1"/>
  <c r="M151" i="1"/>
  <c r="L151" i="1"/>
  <c r="K151" i="1"/>
  <c r="F151" i="1"/>
  <c r="G151" i="1" s="1"/>
  <c r="H151" i="1" s="1"/>
  <c r="I151" i="1" s="1"/>
  <c r="E151" i="1"/>
  <c r="M150" i="1"/>
  <c r="L150" i="1"/>
  <c r="K150" i="1"/>
  <c r="F150" i="1"/>
  <c r="G150" i="1" s="1"/>
  <c r="H150" i="1" s="1"/>
  <c r="I150" i="1" s="1"/>
  <c r="E150" i="1"/>
  <c r="M149" i="1"/>
  <c r="L149" i="1"/>
  <c r="K149" i="1"/>
  <c r="F149" i="1"/>
  <c r="G149" i="1" s="1"/>
  <c r="H149" i="1" s="1"/>
  <c r="I149" i="1" s="1"/>
  <c r="E149" i="1"/>
  <c r="M148" i="1"/>
  <c r="L148" i="1"/>
  <c r="K148" i="1"/>
  <c r="F148" i="1"/>
  <c r="G148" i="1" s="1"/>
  <c r="H148" i="1" s="1"/>
  <c r="I148" i="1" s="1"/>
  <c r="E148" i="1"/>
  <c r="M147" i="1"/>
  <c r="L147" i="1"/>
  <c r="K147" i="1"/>
  <c r="F147" i="1"/>
  <c r="G147" i="1" s="1"/>
  <c r="H147" i="1" s="1"/>
  <c r="I147" i="1" s="1"/>
  <c r="E147" i="1"/>
  <c r="M146" i="1"/>
  <c r="L146" i="1"/>
  <c r="K146" i="1"/>
  <c r="F146" i="1"/>
  <c r="G146" i="1" s="1"/>
  <c r="H146" i="1" s="1"/>
  <c r="I146" i="1" s="1"/>
  <c r="E146" i="1"/>
  <c r="M145" i="1"/>
  <c r="L145" i="1"/>
  <c r="K145" i="1"/>
  <c r="F145" i="1"/>
  <c r="G145" i="1" s="1"/>
  <c r="H145" i="1" s="1"/>
  <c r="I145" i="1" s="1"/>
  <c r="E145" i="1"/>
  <c r="M144" i="1"/>
  <c r="L144" i="1"/>
  <c r="K144" i="1"/>
  <c r="F144" i="1"/>
  <c r="G144" i="1" s="1"/>
  <c r="H144" i="1" s="1"/>
  <c r="E144" i="1"/>
  <c r="M143" i="1"/>
  <c r="L143" i="1"/>
  <c r="K143" i="1"/>
  <c r="F143" i="1"/>
  <c r="G143" i="1" s="1"/>
  <c r="H143" i="1" s="1"/>
  <c r="I143" i="1" s="1"/>
  <c r="E143" i="1"/>
  <c r="M142" i="1"/>
  <c r="L142" i="1"/>
  <c r="K142" i="1"/>
  <c r="F142" i="1"/>
  <c r="G142" i="1" s="1"/>
  <c r="H142" i="1" s="1"/>
  <c r="I142" i="1" s="1"/>
  <c r="E142" i="1"/>
  <c r="M141" i="1"/>
  <c r="L141" i="1"/>
  <c r="K141" i="1"/>
  <c r="F141" i="1"/>
  <c r="G141" i="1" s="1"/>
  <c r="H141" i="1" s="1"/>
  <c r="I141" i="1" s="1"/>
  <c r="E141" i="1"/>
  <c r="M140" i="1"/>
  <c r="L140" i="1"/>
  <c r="K140" i="1"/>
  <c r="F140" i="1"/>
  <c r="G140" i="1" s="1"/>
  <c r="H140" i="1" s="1"/>
  <c r="I140" i="1" s="1"/>
  <c r="E140" i="1"/>
  <c r="M139" i="1"/>
  <c r="L139" i="1"/>
  <c r="K139" i="1"/>
  <c r="F139" i="1"/>
  <c r="G139" i="1" s="1"/>
  <c r="H139" i="1" s="1"/>
  <c r="I139" i="1" s="1"/>
  <c r="E139" i="1"/>
  <c r="M138" i="1"/>
  <c r="L138" i="1"/>
  <c r="K138" i="1"/>
  <c r="F138" i="1"/>
  <c r="G138" i="1" s="1"/>
  <c r="H138" i="1" s="1"/>
  <c r="I138" i="1" s="1"/>
  <c r="E138" i="1"/>
  <c r="M137" i="1"/>
  <c r="L137" i="1"/>
  <c r="K137" i="1"/>
  <c r="C137" i="1"/>
  <c r="E137" i="1" s="1"/>
  <c r="M136" i="1"/>
  <c r="L136" i="1"/>
  <c r="K136" i="1"/>
  <c r="C136" i="1"/>
  <c r="F136" i="1" s="1"/>
  <c r="G136" i="1" s="1"/>
  <c r="H136" i="1" s="1"/>
  <c r="I136" i="1" s="1"/>
  <c r="M135" i="1"/>
  <c r="L135" i="1"/>
  <c r="K135" i="1"/>
  <c r="C135" i="1"/>
  <c r="F135" i="1" s="1"/>
  <c r="G135" i="1" s="1"/>
  <c r="H135" i="1" s="1"/>
  <c r="I135" i="1" s="1"/>
  <c r="M134" i="1"/>
  <c r="L134" i="1"/>
  <c r="K134" i="1"/>
  <c r="F134" i="1"/>
  <c r="G134" i="1" s="1"/>
  <c r="H134" i="1" s="1"/>
  <c r="I134" i="1" s="1"/>
  <c r="E134" i="1"/>
  <c r="M133" i="1"/>
  <c r="L133" i="1"/>
  <c r="K133" i="1"/>
  <c r="C133" i="1"/>
  <c r="F133" i="1" s="1"/>
  <c r="G133" i="1" s="1"/>
  <c r="H133" i="1" s="1"/>
  <c r="I133" i="1" s="1"/>
  <c r="M132" i="1"/>
  <c r="L132" i="1"/>
  <c r="K132" i="1"/>
  <c r="F132" i="1"/>
  <c r="G132" i="1" s="1"/>
  <c r="H132" i="1" s="1"/>
  <c r="I132" i="1" s="1"/>
  <c r="E132" i="1"/>
  <c r="M131" i="1"/>
  <c r="L131" i="1"/>
  <c r="K131" i="1"/>
  <c r="C131" i="1"/>
  <c r="E131" i="1" s="1"/>
  <c r="M130" i="1"/>
  <c r="L130" i="1"/>
  <c r="K130" i="1"/>
  <c r="C130" i="1"/>
  <c r="F130" i="1" s="1"/>
  <c r="G130" i="1" s="1"/>
  <c r="H130" i="1" s="1"/>
  <c r="I130" i="1" s="1"/>
  <c r="M129" i="1"/>
  <c r="K129" i="1"/>
  <c r="F129" i="1"/>
  <c r="G129" i="1" s="1"/>
  <c r="H129" i="1" s="1"/>
  <c r="E129" i="1"/>
  <c r="M128" i="1"/>
  <c r="L128" i="1"/>
  <c r="K128" i="1"/>
  <c r="C128" i="1"/>
  <c r="F128" i="1" s="1"/>
  <c r="G128" i="1" s="1"/>
  <c r="H128" i="1" s="1"/>
  <c r="M127" i="1"/>
  <c r="L127" i="1"/>
  <c r="K127" i="1"/>
  <c r="I127" i="1"/>
  <c r="G127" i="1"/>
  <c r="E127" i="1"/>
  <c r="M126" i="1"/>
  <c r="L126" i="1"/>
  <c r="K126" i="1"/>
  <c r="C126" i="1"/>
  <c r="F126" i="1" s="1"/>
  <c r="G126" i="1" s="1"/>
  <c r="H126" i="1" s="1"/>
  <c r="I126" i="1" s="1"/>
  <c r="M125" i="1"/>
  <c r="L125" i="1"/>
  <c r="K125" i="1"/>
  <c r="C125" i="1"/>
  <c r="F125" i="1" s="1"/>
  <c r="G125" i="1" s="1"/>
  <c r="H125" i="1" s="1"/>
  <c r="I125" i="1" s="1"/>
  <c r="M124" i="1"/>
  <c r="L124" i="1"/>
  <c r="K124" i="1"/>
  <c r="C124" i="1"/>
  <c r="F124" i="1" s="1"/>
  <c r="G124" i="1" s="1"/>
  <c r="H124" i="1" s="1"/>
  <c r="I124" i="1" s="1"/>
  <c r="M123" i="1"/>
  <c r="L123" i="1"/>
  <c r="K123" i="1"/>
  <c r="F123" i="1"/>
  <c r="G123" i="1" s="1"/>
  <c r="H123" i="1" s="1"/>
  <c r="I123" i="1" s="1"/>
  <c r="E123" i="1"/>
  <c r="M122" i="1"/>
  <c r="L122" i="1"/>
  <c r="K122" i="1"/>
  <c r="F122" i="1"/>
  <c r="G122" i="1" s="1"/>
  <c r="H122" i="1" s="1"/>
  <c r="I122" i="1" s="1"/>
  <c r="E122" i="1"/>
  <c r="M121" i="1"/>
  <c r="L121" i="1"/>
  <c r="K121" i="1"/>
  <c r="G121" i="1"/>
  <c r="H121" i="1" s="1"/>
  <c r="I121" i="1" s="1"/>
  <c r="M120" i="1"/>
  <c r="L120" i="1"/>
  <c r="K120" i="1"/>
  <c r="G120" i="1"/>
  <c r="H120" i="1" s="1"/>
  <c r="I120" i="1" s="1"/>
  <c r="M119" i="1"/>
  <c r="L119" i="1"/>
  <c r="K119" i="1"/>
  <c r="G119" i="1"/>
  <c r="H119" i="1" s="1"/>
  <c r="I119" i="1" s="1"/>
  <c r="M118" i="1"/>
  <c r="L118" i="1"/>
  <c r="K118" i="1"/>
  <c r="F118" i="1"/>
  <c r="G118" i="1" s="1"/>
  <c r="H118" i="1" s="1"/>
  <c r="I118" i="1" s="1"/>
  <c r="E118" i="1"/>
  <c r="M117" i="1"/>
  <c r="L117" i="1"/>
  <c r="K117" i="1"/>
  <c r="F117" i="1"/>
  <c r="G117" i="1" s="1"/>
  <c r="H117" i="1" s="1"/>
  <c r="I117" i="1" s="1"/>
  <c r="E117" i="1"/>
  <c r="M116" i="1"/>
  <c r="L116" i="1"/>
  <c r="K116" i="1"/>
  <c r="F116" i="1"/>
  <c r="G116" i="1" s="1"/>
  <c r="H116" i="1" s="1"/>
  <c r="I116" i="1" s="1"/>
  <c r="E116" i="1"/>
  <c r="M115" i="1"/>
  <c r="L115" i="1"/>
  <c r="K115" i="1"/>
  <c r="C115" i="1"/>
  <c r="M114" i="1"/>
  <c r="L114" i="1"/>
  <c r="K114" i="1"/>
  <c r="F114" i="1"/>
  <c r="G114" i="1" s="1"/>
  <c r="H114" i="1" s="1"/>
  <c r="I114" i="1" s="1"/>
  <c r="E114" i="1"/>
  <c r="M113" i="1"/>
  <c r="L113" i="1"/>
  <c r="K113" i="1"/>
  <c r="F113" i="1"/>
  <c r="G113" i="1" s="1"/>
  <c r="H113" i="1" s="1"/>
  <c r="E113" i="1"/>
  <c r="M112" i="1"/>
  <c r="L112" i="1"/>
  <c r="K112" i="1"/>
  <c r="I112" i="1"/>
  <c r="M111" i="1"/>
  <c r="L111" i="1"/>
  <c r="K111" i="1"/>
  <c r="G111" i="1"/>
  <c r="H111" i="1" s="1"/>
  <c r="I111" i="1" s="1"/>
  <c r="E111" i="1"/>
  <c r="M110" i="1"/>
  <c r="L110" i="1"/>
  <c r="K110" i="1"/>
  <c r="I110" i="1"/>
  <c r="M109" i="1"/>
  <c r="L109" i="1"/>
  <c r="K109" i="1"/>
  <c r="F109" i="1"/>
  <c r="G109" i="1" s="1"/>
  <c r="H109" i="1" s="1"/>
  <c r="I109" i="1" s="1"/>
  <c r="E109" i="1"/>
  <c r="M108" i="1"/>
  <c r="L108" i="1"/>
  <c r="K108" i="1"/>
  <c r="F108" i="1"/>
  <c r="G108" i="1" s="1"/>
  <c r="H108" i="1" s="1"/>
  <c r="I108" i="1" s="1"/>
  <c r="E108" i="1"/>
  <c r="M107" i="1"/>
  <c r="L107" i="1"/>
  <c r="K107" i="1"/>
  <c r="F107" i="1"/>
  <c r="G107" i="1" s="1"/>
  <c r="H107" i="1" s="1"/>
  <c r="E107" i="1"/>
  <c r="M106" i="1"/>
  <c r="L106" i="1"/>
  <c r="K106" i="1"/>
  <c r="I106" i="1"/>
  <c r="M105" i="1"/>
  <c r="L105" i="1"/>
  <c r="K105" i="1"/>
  <c r="I105" i="1"/>
  <c r="M104" i="1"/>
  <c r="L104" i="1"/>
  <c r="K104" i="1"/>
  <c r="F104" i="1"/>
  <c r="G104" i="1" s="1"/>
  <c r="H104" i="1" s="1"/>
  <c r="E104" i="1"/>
  <c r="M103" i="1"/>
  <c r="L103" i="1"/>
  <c r="K103" i="1"/>
  <c r="I103" i="1"/>
  <c r="M102" i="1"/>
  <c r="L102" i="1"/>
  <c r="K102" i="1"/>
  <c r="F102" i="1"/>
  <c r="G102" i="1" s="1"/>
  <c r="H102" i="1" s="1"/>
  <c r="I102" i="1" s="1"/>
  <c r="E102" i="1"/>
  <c r="M101" i="1"/>
  <c r="L101" i="1"/>
  <c r="K101" i="1"/>
  <c r="F101" i="1"/>
  <c r="G101" i="1" s="1"/>
  <c r="H101" i="1" s="1"/>
  <c r="I101" i="1" s="1"/>
  <c r="E101" i="1"/>
  <c r="M100" i="1"/>
  <c r="L100" i="1"/>
  <c r="K100" i="1"/>
  <c r="F100" i="1"/>
  <c r="G100" i="1" s="1"/>
  <c r="H100" i="1" s="1"/>
  <c r="I100" i="1" s="1"/>
  <c r="E100" i="1"/>
  <c r="M99" i="1"/>
  <c r="L99" i="1"/>
  <c r="K99" i="1"/>
  <c r="F99" i="1"/>
  <c r="G99" i="1" s="1"/>
  <c r="H99" i="1" s="1"/>
  <c r="I99" i="1" s="1"/>
  <c r="E99" i="1"/>
  <c r="M98" i="1"/>
  <c r="L98" i="1"/>
  <c r="K98" i="1"/>
  <c r="F98" i="1"/>
  <c r="G98" i="1" s="1"/>
  <c r="H98" i="1" s="1"/>
  <c r="I98" i="1" s="1"/>
  <c r="E98" i="1"/>
  <c r="M97" i="1"/>
  <c r="L97" i="1"/>
  <c r="K97" i="1"/>
  <c r="F97" i="1"/>
  <c r="G97" i="1" s="1"/>
  <c r="H97" i="1" s="1"/>
  <c r="I97" i="1" s="1"/>
  <c r="E97" i="1"/>
  <c r="M96" i="1"/>
  <c r="L96" i="1"/>
  <c r="K96" i="1"/>
  <c r="F96" i="1"/>
  <c r="G96" i="1" s="1"/>
  <c r="H96" i="1" s="1"/>
  <c r="I96" i="1" s="1"/>
  <c r="E96" i="1"/>
  <c r="M95" i="1"/>
  <c r="L95" i="1"/>
  <c r="K95" i="1"/>
  <c r="F95" i="1"/>
  <c r="G95" i="1" s="1"/>
  <c r="H95" i="1" s="1"/>
  <c r="I95" i="1" s="1"/>
  <c r="E95" i="1"/>
  <c r="M94" i="1"/>
  <c r="L94" i="1"/>
  <c r="K94" i="1"/>
  <c r="F94" i="1"/>
  <c r="G94" i="1" s="1"/>
  <c r="H94" i="1" s="1"/>
  <c r="I94" i="1" s="1"/>
  <c r="E94" i="1"/>
  <c r="M93" i="1"/>
  <c r="L93" i="1"/>
  <c r="K93" i="1"/>
  <c r="G93" i="1"/>
  <c r="H93" i="1" s="1"/>
  <c r="I93" i="1" s="1"/>
  <c r="E93" i="1"/>
  <c r="M92" i="1"/>
  <c r="L92" i="1"/>
  <c r="K92" i="1"/>
  <c r="F92" i="1"/>
  <c r="G92" i="1" s="1"/>
  <c r="H92" i="1" s="1"/>
  <c r="I92" i="1" s="1"/>
  <c r="E92" i="1"/>
  <c r="M91" i="1"/>
  <c r="L91" i="1"/>
  <c r="K91" i="1"/>
  <c r="F91" i="1"/>
  <c r="G91" i="1" s="1"/>
  <c r="H91" i="1" s="1"/>
  <c r="I91" i="1" s="1"/>
  <c r="E91" i="1"/>
  <c r="M90" i="1"/>
  <c r="L90" i="1"/>
  <c r="K90" i="1"/>
  <c r="F90" i="1"/>
  <c r="G90" i="1" s="1"/>
  <c r="H90" i="1" s="1"/>
  <c r="E90" i="1"/>
  <c r="M89" i="1"/>
  <c r="L89" i="1"/>
  <c r="K89" i="1"/>
  <c r="F89" i="1"/>
  <c r="G89" i="1" s="1"/>
  <c r="H89" i="1" s="1"/>
  <c r="I89" i="1" s="1"/>
  <c r="E89" i="1"/>
  <c r="M88" i="1"/>
  <c r="L88" i="1"/>
  <c r="K88" i="1"/>
  <c r="I88" i="1"/>
  <c r="F88" i="1"/>
  <c r="E88" i="1"/>
  <c r="M87" i="1"/>
  <c r="L87" i="1"/>
  <c r="K87" i="1"/>
  <c r="F87" i="1"/>
  <c r="G87" i="1" s="1"/>
  <c r="H87" i="1" s="1"/>
  <c r="I87" i="1" s="1"/>
  <c r="E87" i="1"/>
  <c r="M86" i="1"/>
  <c r="L86" i="1"/>
  <c r="K86" i="1"/>
  <c r="F86" i="1"/>
  <c r="G86" i="1" s="1"/>
  <c r="H86" i="1" s="1"/>
  <c r="I86" i="1" s="1"/>
  <c r="E86" i="1"/>
  <c r="M85" i="1"/>
  <c r="L85" i="1"/>
  <c r="K85" i="1"/>
  <c r="F85" i="1"/>
  <c r="G85" i="1" s="1"/>
  <c r="H85" i="1" s="1"/>
  <c r="I85" i="1" s="1"/>
  <c r="E85" i="1"/>
  <c r="M84" i="1"/>
  <c r="L84" i="1"/>
  <c r="K84" i="1"/>
  <c r="F84" i="1"/>
  <c r="G84" i="1" s="1"/>
  <c r="H84" i="1" s="1"/>
  <c r="I84" i="1" s="1"/>
  <c r="E84" i="1"/>
  <c r="M83" i="1"/>
  <c r="L83" i="1"/>
  <c r="K83" i="1"/>
  <c r="F83" i="1"/>
  <c r="G83" i="1" s="1"/>
  <c r="H83" i="1" s="1"/>
  <c r="I83" i="1" s="1"/>
  <c r="E83" i="1"/>
  <c r="M82" i="1"/>
  <c r="L82" i="1"/>
  <c r="K82" i="1"/>
  <c r="F82" i="1"/>
  <c r="G82" i="1" s="1"/>
  <c r="H82" i="1" s="1"/>
  <c r="I82" i="1" s="1"/>
  <c r="E82" i="1"/>
  <c r="M81" i="1"/>
  <c r="L81" i="1"/>
  <c r="K81" i="1"/>
  <c r="F81" i="1"/>
  <c r="G81" i="1" s="1"/>
  <c r="H81" i="1" s="1"/>
  <c r="I81" i="1" s="1"/>
  <c r="E81" i="1"/>
  <c r="M80" i="1"/>
  <c r="L80" i="1"/>
  <c r="K80" i="1"/>
  <c r="F80" i="1"/>
  <c r="G80" i="1" s="1"/>
  <c r="H80" i="1" s="1"/>
  <c r="E80" i="1"/>
  <c r="M79" i="1"/>
  <c r="L79" i="1"/>
  <c r="K79" i="1"/>
  <c r="F79" i="1"/>
  <c r="G79" i="1" s="1"/>
  <c r="H79" i="1" s="1"/>
  <c r="I79" i="1" s="1"/>
  <c r="E79" i="1"/>
  <c r="M78" i="1"/>
  <c r="L78" i="1"/>
  <c r="K78" i="1"/>
  <c r="F78" i="1"/>
  <c r="G78" i="1" s="1"/>
  <c r="H78" i="1" s="1"/>
  <c r="I78" i="1" s="1"/>
  <c r="E78" i="1"/>
  <c r="M77" i="1"/>
  <c r="L77" i="1"/>
  <c r="K77" i="1"/>
  <c r="F77" i="1"/>
  <c r="G77" i="1" s="1"/>
  <c r="H77" i="1" s="1"/>
  <c r="I77" i="1" s="1"/>
  <c r="E77" i="1"/>
  <c r="M76" i="1"/>
  <c r="L76" i="1"/>
  <c r="K76" i="1"/>
  <c r="F76" i="1"/>
  <c r="G76" i="1" s="1"/>
  <c r="H76" i="1" s="1"/>
  <c r="I76" i="1" s="1"/>
  <c r="E76" i="1"/>
  <c r="M75" i="1"/>
  <c r="L75" i="1"/>
  <c r="K75" i="1"/>
  <c r="F75" i="1"/>
  <c r="G75" i="1" s="1"/>
  <c r="H75" i="1" s="1"/>
  <c r="I75" i="1" s="1"/>
  <c r="E75" i="1"/>
  <c r="M74" i="1"/>
  <c r="L74" i="1"/>
  <c r="K74" i="1"/>
  <c r="F74" i="1"/>
  <c r="G74" i="1" s="1"/>
  <c r="H74" i="1" s="1"/>
  <c r="I74" i="1" s="1"/>
  <c r="E74" i="1"/>
  <c r="M73" i="1"/>
  <c r="L73" i="1"/>
  <c r="K73" i="1"/>
  <c r="F73" i="1"/>
  <c r="G73" i="1" s="1"/>
  <c r="H73" i="1" s="1"/>
  <c r="I73" i="1" s="1"/>
  <c r="E73" i="1"/>
  <c r="M72" i="1"/>
  <c r="L72" i="1"/>
  <c r="K72" i="1"/>
  <c r="F72" i="1"/>
  <c r="G72" i="1" s="1"/>
  <c r="H72" i="1" s="1"/>
  <c r="I72" i="1" s="1"/>
  <c r="E72" i="1"/>
  <c r="M71" i="1"/>
  <c r="L71" i="1"/>
  <c r="K71" i="1"/>
  <c r="F71" i="1"/>
  <c r="G71" i="1" s="1"/>
  <c r="H71" i="1" s="1"/>
  <c r="I71" i="1" s="1"/>
  <c r="E71" i="1"/>
  <c r="M70" i="1"/>
  <c r="L70" i="1"/>
  <c r="K70" i="1"/>
  <c r="F70" i="1"/>
  <c r="G70" i="1" s="1"/>
  <c r="H70" i="1" s="1"/>
  <c r="E70" i="1"/>
  <c r="M69" i="1"/>
  <c r="L69" i="1"/>
  <c r="K69" i="1"/>
  <c r="F69" i="1"/>
  <c r="G69" i="1" s="1"/>
  <c r="H69" i="1" s="1"/>
  <c r="I69" i="1" s="1"/>
  <c r="E69" i="1"/>
  <c r="M68" i="1"/>
  <c r="L68" i="1"/>
  <c r="K68" i="1"/>
  <c r="F68" i="1"/>
  <c r="G68" i="1" s="1"/>
  <c r="H68" i="1" s="1"/>
  <c r="E68" i="1"/>
  <c r="M67" i="1"/>
  <c r="L67" i="1"/>
  <c r="K67" i="1"/>
  <c r="F67" i="1"/>
  <c r="G67" i="1" s="1"/>
  <c r="H67" i="1" s="1"/>
  <c r="I67" i="1" s="1"/>
  <c r="E67" i="1"/>
  <c r="M66" i="1"/>
  <c r="L66" i="1"/>
  <c r="K66" i="1"/>
  <c r="F66" i="1"/>
  <c r="G66" i="1" s="1"/>
  <c r="H66" i="1" s="1"/>
  <c r="I66" i="1" s="1"/>
  <c r="E66" i="1"/>
  <c r="M65" i="1"/>
  <c r="L65" i="1"/>
  <c r="K65" i="1"/>
  <c r="F65" i="1"/>
  <c r="G65" i="1" s="1"/>
  <c r="H65" i="1" s="1"/>
  <c r="I65" i="1" s="1"/>
  <c r="E65" i="1"/>
  <c r="M64" i="1"/>
  <c r="L64" i="1"/>
  <c r="K64" i="1"/>
  <c r="F64" i="1"/>
  <c r="G64" i="1" s="1"/>
  <c r="H64" i="1" s="1"/>
  <c r="I64" i="1" s="1"/>
  <c r="E64" i="1"/>
  <c r="M63" i="1"/>
  <c r="L63" i="1"/>
  <c r="K63" i="1"/>
  <c r="F63" i="1"/>
  <c r="G63" i="1" s="1"/>
  <c r="H63" i="1" s="1"/>
  <c r="I63" i="1" s="1"/>
  <c r="E63" i="1"/>
  <c r="M62" i="1"/>
  <c r="L62" i="1"/>
  <c r="K62" i="1"/>
  <c r="F62" i="1"/>
  <c r="G62" i="1" s="1"/>
  <c r="H62" i="1" s="1"/>
  <c r="I62" i="1" s="1"/>
  <c r="E62" i="1"/>
  <c r="M61" i="1"/>
  <c r="L61" i="1"/>
  <c r="K61" i="1"/>
  <c r="F61" i="1"/>
  <c r="G61" i="1" s="1"/>
  <c r="H61" i="1" s="1"/>
  <c r="I61" i="1" s="1"/>
  <c r="E61" i="1"/>
  <c r="M60" i="1"/>
  <c r="L60" i="1"/>
  <c r="K60" i="1"/>
  <c r="F60" i="1"/>
  <c r="G60" i="1" s="1"/>
  <c r="H60" i="1" s="1"/>
  <c r="I60" i="1" s="1"/>
  <c r="E60" i="1"/>
  <c r="M59" i="1"/>
  <c r="L59" i="1"/>
  <c r="K59" i="1"/>
  <c r="F59" i="1"/>
  <c r="G59" i="1" s="1"/>
  <c r="H59" i="1" s="1"/>
  <c r="I59" i="1" s="1"/>
  <c r="E59" i="1"/>
  <c r="M58" i="1"/>
  <c r="L58" i="1"/>
  <c r="K58" i="1"/>
  <c r="F58" i="1"/>
  <c r="G58" i="1" s="1"/>
  <c r="H58" i="1" s="1"/>
  <c r="I58" i="1" s="1"/>
  <c r="E58" i="1"/>
  <c r="M57" i="1"/>
  <c r="L57" i="1"/>
  <c r="K57" i="1"/>
  <c r="F57" i="1"/>
  <c r="G57" i="1" s="1"/>
  <c r="H57" i="1" s="1"/>
  <c r="I57" i="1" s="1"/>
  <c r="E57" i="1"/>
  <c r="M56" i="1"/>
  <c r="L56" i="1"/>
  <c r="K56" i="1"/>
  <c r="F56" i="1"/>
  <c r="G56" i="1" s="1"/>
  <c r="H56" i="1" s="1"/>
  <c r="E56" i="1"/>
  <c r="M55" i="1"/>
  <c r="L55" i="1"/>
  <c r="K55" i="1"/>
  <c r="F55" i="1"/>
  <c r="G55" i="1" s="1"/>
  <c r="H55" i="1" s="1"/>
  <c r="I55" i="1" s="1"/>
  <c r="E55" i="1"/>
  <c r="M54" i="1"/>
  <c r="L54" i="1"/>
  <c r="K54" i="1"/>
  <c r="F54" i="1"/>
  <c r="G54" i="1" s="1"/>
  <c r="H54" i="1" s="1"/>
  <c r="I54" i="1" s="1"/>
  <c r="E54" i="1"/>
  <c r="M53" i="1"/>
  <c r="L53" i="1"/>
  <c r="K53" i="1"/>
  <c r="H53" i="1"/>
  <c r="I53" i="1" s="1"/>
  <c r="E53" i="1"/>
  <c r="M52" i="1"/>
  <c r="L52" i="1"/>
  <c r="K52" i="1"/>
  <c r="F52" i="1"/>
  <c r="G52" i="1" s="1"/>
  <c r="H52" i="1" s="1"/>
  <c r="I52" i="1" s="1"/>
  <c r="E52" i="1"/>
  <c r="M51" i="1"/>
  <c r="L51" i="1"/>
  <c r="K51" i="1"/>
  <c r="G51" i="1"/>
  <c r="H51" i="1" s="1"/>
  <c r="I51" i="1" s="1"/>
  <c r="E51" i="1"/>
  <c r="M50" i="1"/>
  <c r="L50" i="1"/>
  <c r="K50" i="1"/>
  <c r="H50" i="1"/>
  <c r="I50" i="1" s="1"/>
  <c r="F50" i="1"/>
  <c r="E50" i="1"/>
  <c r="M49" i="1"/>
  <c r="L49" i="1"/>
  <c r="K49" i="1"/>
  <c r="F49" i="1"/>
  <c r="G49" i="1" s="1"/>
  <c r="H49" i="1" s="1"/>
  <c r="E49" i="1"/>
  <c r="M48" i="1"/>
  <c r="L48" i="1"/>
  <c r="K48" i="1"/>
  <c r="G48" i="1"/>
  <c r="H48" i="1" s="1"/>
  <c r="I48" i="1" s="1"/>
  <c r="E48" i="1"/>
  <c r="M47" i="1"/>
  <c r="L47" i="1"/>
  <c r="K47" i="1"/>
  <c r="G47" i="1"/>
  <c r="H47" i="1" s="1"/>
  <c r="I47" i="1" s="1"/>
  <c r="E47" i="1"/>
  <c r="M46" i="1"/>
  <c r="L46" i="1"/>
  <c r="K46" i="1"/>
  <c r="F46" i="1"/>
  <c r="G46" i="1" s="1"/>
  <c r="H46" i="1" s="1"/>
  <c r="I46" i="1" s="1"/>
  <c r="E46" i="1"/>
  <c r="M45" i="1"/>
  <c r="L45" i="1"/>
  <c r="K45" i="1"/>
  <c r="F45" i="1"/>
  <c r="G45" i="1" s="1"/>
  <c r="H45" i="1" s="1"/>
  <c r="I45" i="1" s="1"/>
  <c r="E45" i="1"/>
  <c r="M44" i="1"/>
  <c r="L44" i="1"/>
  <c r="K44" i="1"/>
  <c r="F44" i="1"/>
  <c r="G44" i="1" s="1"/>
  <c r="H44" i="1" s="1"/>
  <c r="I44" i="1" s="1"/>
  <c r="E44" i="1"/>
  <c r="M43" i="1"/>
  <c r="L43" i="1"/>
  <c r="K43" i="1"/>
  <c r="F43" i="1"/>
  <c r="G43" i="1" s="1"/>
  <c r="H43" i="1" s="1"/>
  <c r="I43" i="1" s="1"/>
  <c r="E43" i="1"/>
  <c r="M42" i="1"/>
  <c r="L42" i="1"/>
  <c r="K42" i="1"/>
  <c r="F42" i="1"/>
  <c r="G42" i="1" s="1"/>
  <c r="H42" i="1" s="1"/>
  <c r="I42" i="1" s="1"/>
  <c r="E42" i="1"/>
  <c r="M41" i="1"/>
  <c r="L41" i="1"/>
  <c r="K41" i="1"/>
  <c r="F41" i="1"/>
  <c r="G41" i="1" s="1"/>
  <c r="H41" i="1" s="1"/>
  <c r="I41" i="1" s="1"/>
  <c r="E41" i="1"/>
  <c r="M40" i="1"/>
  <c r="L40" i="1"/>
  <c r="K40" i="1"/>
  <c r="F40" i="1"/>
  <c r="G40" i="1" s="1"/>
  <c r="H40" i="1" s="1"/>
  <c r="I40" i="1" s="1"/>
  <c r="E40" i="1"/>
  <c r="M39" i="1"/>
  <c r="L39" i="1"/>
  <c r="K39" i="1"/>
  <c r="F39" i="1"/>
  <c r="G39" i="1" s="1"/>
  <c r="H39" i="1" s="1"/>
  <c r="I39" i="1" s="1"/>
  <c r="E39" i="1"/>
  <c r="M38" i="1"/>
  <c r="L38" i="1"/>
  <c r="K38" i="1"/>
  <c r="F38" i="1"/>
  <c r="G38" i="1" s="1"/>
  <c r="H38" i="1" s="1"/>
  <c r="I38" i="1" s="1"/>
  <c r="E38" i="1"/>
  <c r="M37" i="1"/>
  <c r="L37" i="1"/>
  <c r="K37" i="1"/>
  <c r="G37" i="1"/>
  <c r="H37" i="1" s="1"/>
  <c r="I37" i="1" s="1"/>
  <c r="E37" i="1"/>
  <c r="M36" i="1"/>
  <c r="L36" i="1"/>
  <c r="K36" i="1"/>
  <c r="F36" i="1"/>
  <c r="G36" i="1" s="1"/>
  <c r="H36" i="1" s="1"/>
  <c r="I36" i="1" s="1"/>
  <c r="E36" i="1"/>
  <c r="M35" i="1"/>
  <c r="L35" i="1"/>
  <c r="K35" i="1"/>
  <c r="F35" i="1"/>
  <c r="G35" i="1" s="1"/>
  <c r="H35" i="1" s="1"/>
  <c r="I35" i="1" s="1"/>
  <c r="E35" i="1"/>
  <c r="M34" i="1"/>
  <c r="L34" i="1"/>
  <c r="K34" i="1"/>
  <c r="F34" i="1"/>
  <c r="G34" i="1" s="1"/>
  <c r="H34" i="1" s="1"/>
  <c r="I34" i="1" s="1"/>
  <c r="E34" i="1"/>
  <c r="M33" i="1"/>
  <c r="L33" i="1"/>
  <c r="K33" i="1"/>
  <c r="F33" i="1"/>
  <c r="G33" i="1" s="1"/>
  <c r="H33" i="1" s="1"/>
  <c r="I33" i="1" s="1"/>
  <c r="E33" i="1"/>
  <c r="M32" i="1"/>
  <c r="L32" i="1"/>
  <c r="K32" i="1"/>
  <c r="F32" i="1"/>
  <c r="G32" i="1" s="1"/>
  <c r="H32" i="1" s="1"/>
  <c r="I32" i="1" s="1"/>
  <c r="E32" i="1"/>
  <c r="M31" i="1"/>
  <c r="L31" i="1"/>
  <c r="K31" i="1"/>
  <c r="F31" i="1"/>
  <c r="G31" i="1" s="1"/>
  <c r="H31" i="1" s="1"/>
  <c r="I31" i="1" s="1"/>
  <c r="E31" i="1"/>
  <c r="M30" i="1"/>
  <c r="L30" i="1"/>
  <c r="K30" i="1"/>
  <c r="G30" i="1"/>
  <c r="H30" i="1" s="1"/>
  <c r="I30" i="1" s="1"/>
  <c r="E30" i="1"/>
  <c r="M29" i="1"/>
  <c r="L29" i="1"/>
  <c r="K29" i="1"/>
  <c r="F29" i="1"/>
  <c r="G29" i="1" s="1"/>
  <c r="H29" i="1" s="1"/>
  <c r="I29" i="1" s="1"/>
  <c r="E29" i="1"/>
  <c r="M28" i="1"/>
  <c r="L28" i="1"/>
  <c r="K28" i="1"/>
  <c r="F28" i="1"/>
  <c r="G28" i="1" s="1"/>
  <c r="H28" i="1" s="1"/>
  <c r="I28" i="1" s="1"/>
  <c r="E28" i="1"/>
  <c r="M27" i="1"/>
  <c r="L27" i="1"/>
  <c r="K27" i="1"/>
  <c r="F27" i="1"/>
  <c r="G27" i="1" s="1"/>
  <c r="H27" i="1" s="1"/>
  <c r="E27" i="1"/>
  <c r="M26" i="1"/>
  <c r="L26" i="1"/>
  <c r="K26" i="1"/>
  <c r="G26" i="1"/>
  <c r="H26" i="1" s="1"/>
  <c r="I26" i="1" s="1"/>
  <c r="E26" i="1"/>
  <c r="M25" i="1"/>
  <c r="L25" i="1"/>
  <c r="K25" i="1"/>
  <c r="F25" i="1"/>
  <c r="G25" i="1" s="1"/>
  <c r="H25" i="1" s="1"/>
  <c r="I25" i="1" s="1"/>
  <c r="E25" i="1"/>
  <c r="M24" i="1"/>
  <c r="L24" i="1"/>
  <c r="K24" i="1"/>
  <c r="F24" i="1"/>
  <c r="G24" i="1" s="1"/>
  <c r="H24" i="1" s="1"/>
  <c r="I24" i="1" s="1"/>
  <c r="E24" i="1"/>
  <c r="M23" i="1"/>
  <c r="L23" i="1"/>
  <c r="K23" i="1"/>
  <c r="F23" i="1"/>
  <c r="G23" i="1" s="1"/>
  <c r="H23" i="1" s="1"/>
  <c r="I23" i="1" s="1"/>
  <c r="E23" i="1"/>
  <c r="M22" i="1"/>
  <c r="L22" i="1"/>
  <c r="K22" i="1"/>
  <c r="F22" i="1"/>
  <c r="G22" i="1" s="1"/>
  <c r="H22" i="1" s="1"/>
  <c r="I22" i="1" s="1"/>
  <c r="E22" i="1"/>
  <c r="M21" i="1"/>
  <c r="L21" i="1"/>
  <c r="K21" i="1"/>
  <c r="F21" i="1"/>
  <c r="G21" i="1" s="1"/>
  <c r="H21" i="1" s="1"/>
  <c r="I21" i="1" s="1"/>
  <c r="E21" i="1"/>
  <c r="M20" i="1"/>
  <c r="L20" i="1"/>
  <c r="K20" i="1"/>
  <c r="F20" i="1"/>
  <c r="G20" i="1" s="1"/>
  <c r="H20" i="1" s="1"/>
  <c r="I20" i="1" s="1"/>
  <c r="E20" i="1"/>
  <c r="M19" i="1"/>
  <c r="L19" i="1"/>
  <c r="K19" i="1"/>
  <c r="F19" i="1"/>
  <c r="G19" i="1" s="1"/>
  <c r="H19" i="1" s="1"/>
  <c r="E19" i="1"/>
  <c r="M18" i="1"/>
  <c r="L18" i="1"/>
  <c r="K18" i="1"/>
  <c r="F18" i="1"/>
  <c r="G18" i="1" s="1"/>
  <c r="H18" i="1" s="1"/>
  <c r="I18" i="1" s="1"/>
  <c r="E18" i="1"/>
  <c r="M17" i="1"/>
  <c r="L17" i="1"/>
  <c r="K17" i="1"/>
  <c r="F17" i="1"/>
  <c r="G17" i="1" s="1"/>
  <c r="H17" i="1" s="1"/>
  <c r="I17" i="1" s="1"/>
  <c r="E17" i="1"/>
  <c r="M16" i="1"/>
  <c r="L16" i="1"/>
  <c r="K16" i="1"/>
  <c r="F16" i="1"/>
  <c r="G16" i="1" s="1"/>
  <c r="H16" i="1" s="1"/>
  <c r="I16" i="1" s="1"/>
  <c r="E16" i="1"/>
  <c r="M15" i="1"/>
  <c r="L15" i="1"/>
  <c r="K15" i="1"/>
  <c r="F15" i="1"/>
  <c r="G15" i="1" s="1"/>
  <c r="H15" i="1" s="1"/>
  <c r="I15" i="1" s="1"/>
  <c r="E15" i="1"/>
  <c r="M14" i="1"/>
  <c r="L14" i="1"/>
  <c r="K14" i="1"/>
  <c r="F14" i="1"/>
  <c r="G14" i="1" s="1"/>
  <c r="H14" i="1" s="1"/>
  <c r="I14" i="1" s="1"/>
  <c r="E14" i="1"/>
  <c r="M13" i="1"/>
  <c r="L13" i="1"/>
  <c r="K13" i="1"/>
  <c r="G13" i="1"/>
  <c r="H13" i="1" s="1"/>
  <c r="I13" i="1" s="1"/>
  <c r="F13" i="1"/>
  <c r="E13" i="1"/>
  <c r="M12" i="1"/>
  <c r="L12" i="1"/>
  <c r="K12" i="1"/>
  <c r="F12" i="1"/>
  <c r="G12" i="1" s="1"/>
  <c r="H12" i="1" s="1"/>
  <c r="I12" i="1" s="1"/>
  <c r="E12" i="1"/>
  <c r="M11" i="1"/>
  <c r="L11" i="1"/>
  <c r="K11" i="1"/>
  <c r="G11" i="1"/>
  <c r="H11" i="1" s="1"/>
  <c r="I11" i="1" s="1"/>
  <c r="F11" i="1"/>
  <c r="E11" i="1"/>
  <c r="M10" i="1"/>
  <c r="L10" i="1"/>
  <c r="K10" i="1"/>
  <c r="F10" i="1"/>
  <c r="G10" i="1" s="1"/>
  <c r="H10" i="1" s="1"/>
  <c r="I10" i="1" s="1"/>
  <c r="E10" i="1"/>
  <c r="M9" i="1"/>
  <c r="L9" i="1"/>
  <c r="K9" i="1"/>
  <c r="F9" i="1"/>
  <c r="G9" i="1" s="1"/>
  <c r="H9" i="1" s="1"/>
  <c r="I9" i="1" s="1"/>
  <c r="E9" i="1"/>
  <c r="M8" i="1"/>
  <c r="L8" i="1"/>
  <c r="K8" i="1"/>
  <c r="G8" i="1"/>
  <c r="H8" i="1" s="1"/>
  <c r="I8" i="1" s="1"/>
  <c r="F8" i="1"/>
  <c r="E8" i="1"/>
  <c r="M7" i="1"/>
  <c r="L7" i="1"/>
  <c r="K7" i="1"/>
  <c r="G7" i="1"/>
  <c r="H7" i="1" s="1"/>
  <c r="I7" i="1" s="1"/>
  <c r="F7" i="1"/>
  <c r="E7" i="1"/>
  <c r="M6" i="1"/>
  <c r="L6" i="1"/>
  <c r="K6" i="1"/>
  <c r="F6" i="1"/>
  <c r="G6" i="1" s="1"/>
  <c r="H6" i="1" s="1"/>
  <c r="I6" i="1" s="1"/>
  <c r="E6" i="1"/>
  <c r="M5" i="1"/>
  <c r="L5" i="1"/>
  <c r="K5" i="1"/>
  <c r="F5" i="1"/>
  <c r="G5" i="1" s="1"/>
  <c r="H5" i="1" s="1"/>
  <c r="I5" i="1" s="1"/>
  <c r="E5" i="1"/>
  <c r="M4" i="1"/>
  <c r="L4" i="1"/>
  <c r="K4" i="1"/>
  <c r="G4" i="1"/>
  <c r="H4" i="1" s="1"/>
  <c r="F4" i="1"/>
  <c r="E4" i="1"/>
  <c r="M3" i="1"/>
  <c r="L3" i="1"/>
  <c r="K3" i="1"/>
  <c r="F3" i="1"/>
  <c r="G3" i="1" s="1"/>
  <c r="H3" i="1" s="1"/>
  <c r="I3" i="1" s="1"/>
  <c r="E3" i="1"/>
  <c r="M2" i="1"/>
  <c r="L2" i="1"/>
  <c r="K2" i="1"/>
  <c r="F2" i="1"/>
  <c r="G2" i="1" s="1"/>
  <c r="H2" i="1" s="1"/>
  <c r="E2" i="1"/>
  <c r="H165" i="1" l="1"/>
  <c r="I165" i="1" s="1"/>
  <c r="H163" i="1"/>
  <c r="I163" i="1" s="1"/>
  <c r="H164" i="1"/>
  <c r="I164" i="1" s="1"/>
  <c r="F137" i="1"/>
  <c r="G137" i="1" s="1"/>
  <c r="H137" i="1" s="1"/>
  <c r="I137" i="1" s="1"/>
  <c r="E135" i="1"/>
  <c r="J173" i="1"/>
  <c r="K173" i="1" s="1"/>
  <c r="E159" i="1"/>
  <c r="E126" i="1"/>
  <c r="E130" i="1"/>
  <c r="J93" i="1"/>
  <c r="J101" i="1"/>
  <c r="J172" i="1"/>
  <c r="K172" i="1" s="1"/>
  <c r="J171" i="1"/>
  <c r="K171" i="1" s="1"/>
  <c r="I129" i="1"/>
  <c r="J36" i="1"/>
  <c r="J49" i="1"/>
  <c r="I49" i="1"/>
  <c r="J51" i="1"/>
  <c r="J47" i="1"/>
  <c r="J54" i="1"/>
  <c r="J19" i="1"/>
  <c r="J22" i="1"/>
  <c r="I19" i="1"/>
  <c r="I113" i="1"/>
  <c r="I27" i="1"/>
  <c r="J37" i="1"/>
  <c r="I155" i="1"/>
  <c r="J156" i="1"/>
  <c r="J111" i="1"/>
  <c r="J107" i="1"/>
  <c r="J103" i="1"/>
  <c r="I107" i="1"/>
  <c r="J147" i="1"/>
  <c r="I144" i="1"/>
  <c r="J148" i="1"/>
  <c r="J153" i="1"/>
  <c r="J150" i="1"/>
  <c r="J7" i="1"/>
  <c r="J5" i="1"/>
  <c r="J9" i="1"/>
  <c r="I4" i="1"/>
  <c r="J16" i="1"/>
  <c r="J3" i="1"/>
  <c r="J14" i="1"/>
  <c r="J82" i="1"/>
  <c r="J94" i="1"/>
  <c r="J95" i="1"/>
  <c r="J90" i="1"/>
  <c r="I90" i="1"/>
  <c r="J98" i="1"/>
  <c r="J52" i="1"/>
  <c r="I70" i="1"/>
  <c r="J76" i="1"/>
  <c r="J74" i="1"/>
  <c r="J68" i="1"/>
  <c r="J105" i="1"/>
  <c r="J145" i="1"/>
  <c r="J73" i="1"/>
  <c r="J58" i="1"/>
  <c r="I56" i="1"/>
  <c r="J60" i="1"/>
  <c r="J61" i="1"/>
  <c r="J59" i="1"/>
  <c r="J65" i="1"/>
  <c r="J57" i="1"/>
  <c r="J62" i="1"/>
  <c r="J25" i="1"/>
  <c r="J33" i="1"/>
  <c r="J85" i="1"/>
  <c r="I159" i="1"/>
  <c r="J56" i="1"/>
  <c r="J20" i="1"/>
  <c r="J112" i="1"/>
  <c r="J70" i="1"/>
  <c r="J26" i="1"/>
  <c r="J78" i="1"/>
  <c r="J152" i="1"/>
  <c r="J80" i="1"/>
  <c r="J11" i="1"/>
  <c r="J2" i="1"/>
  <c r="J84" i="1"/>
  <c r="J104" i="1"/>
  <c r="J13" i="1"/>
  <c r="J10" i="1"/>
  <c r="J50" i="1"/>
  <c r="J143" i="1"/>
  <c r="J41" i="1"/>
  <c r="J45" i="1"/>
  <c r="J88" i="1"/>
  <c r="J96" i="1"/>
  <c r="J100" i="1"/>
  <c r="I128" i="1"/>
  <c r="J4" i="1"/>
  <c r="J55" i="1"/>
  <c r="J75" i="1"/>
  <c r="J102" i="1"/>
  <c r="J144" i="1"/>
  <c r="J110" i="1"/>
  <c r="J64" i="1"/>
  <c r="J86" i="1"/>
  <c r="I80" i="1"/>
  <c r="J35" i="1"/>
  <c r="I2" i="1"/>
  <c r="J43" i="1"/>
  <c r="J53" i="1"/>
  <c r="J32" i="1"/>
  <c r="J71" i="1"/>
  <c r="J79" i="1"/>
  <c r="J92" i="1"/>
  <c r="J157" i="1"/>
  <c r="J46" i="1"/>
  <c r="J106" i="1"/>
  <c r="J39" i="1"/>
  <c r="J17" i="1"/>
  <c r="J38" i="1"/>
  <c r="J67" i="1"/>
  <c r="J8" i="1"/>
  <c r="J44" i="1"/>
  <c r="J69" i="1"/>
  <c r="J109" i="1"/>
  <c r="J66" i="1"/>
  <c r="J154" i="1"/>
  <c r="J24" i="1"/>
  <c r="J28" i="1"/>
  <c r="J34" i="1"/>
  <c r="J63" i="1"/>
  <c r="J21" i="1"/>
  <c r="J40" i="1"/>
  <c r="J77" i="1"/>
  <c r="J81" i="1"/>
  <c r="J146" i="1"/>
  <c r="J155" i="1"/>
  <c r="J99" i="1"/>
  <c r="J87" i="1"/>
  <c r="F115" i="1"/>
  <c r="G115" i="1" s="1"/>
  <c r="H115" i="1" s="1"/>
  <c r="I115" i="1" s="1"/>
  <c r="E115" i="1"/>
  <c r="J151" i="1"/>
  <c r="J162" i="1"/>
  <c r="K162" i="1" s="1"/>
  <c r="J31" i="1"/>
  <c r="J89" i="1"/>
  <c r="J18" i="1"/>
  <c r="J91" i="1"/>
  <c r="J108" i="1"/>
  <c r="J30" i="1"/>
  <c r="J15" i="1"/>
  <c r="J6" i="1"/>
  <c r="J12" i="1"/>
  <c r="J23" i="1"/>
  <c r="J27" i="1"/>
  <c r="J42" i="1"/>
  <c r="J72" i="1"/>
  <c r="J83" i="1"/>
  <c r="J29" i="1"/>
  <c r="J48" i="1"/>
  <c r="I68" i="1"/>
  <c r="J97" i="1"/>
  <c r="E128" i="1"/>
  <c r="E125" i="1"/>
  <c r="F131" i="1"/>
  <c r="G131" i="1" s="1"/>
  <c r="H131" i="1" s="1"/>
  <c r="I131" i="1" s="1"/>
  <c r="E157" i="1"/>
  <c r="J149" i="1"/>
  <c r="I104" i="1"/>
  <c r="E124" i="1"/>
  <c r="E133" i="1"/>
  <c r="E136" i="1"/>
  <c r="J169" i="1" l="1"/>
  <c r="K169" i="1" s="1"/>
  <c r="J163" i="1"/>
  <c r="K163" i="1" s="1"/>
  <c r="J168" i="1"/>
  <c r="K168" i="1" s="1"/>
  <c r="J167" i="1"/>
  <c r="K167" i="1" s="1"/>
  <c r="J159" i="1"/>
  <c r="K159" i="1" s="1"/>
  <c r="J160" i="1"/>
  <c r="K160" i="1" s="1"/>
  <c r="J165" i="1"/>
  <c r="K165" i="1" s="1"/>
  <c r="J158" i="1"/>
  <c r="K158" i="1" s="1"/>
  <c r="J166" i="1"/>
  <c r="K166" i="1" s="1"/>
  <c r="J161" i="1"/>
  <c r="K161" i="1" s="1"/>
  <c r="J170" i="1"/>
  <c r="K170" i="1" s="1"/>
  <c r="J164" i="1"/>
  <c r="K164" i="1" s="1"/>
  <c r="J125" i="1"/>
  <c r="J122" i="1"/>
  <c r="J138" i="1"/>
  <c r="J141" i="1"/>
  <c r="J128" i="1"/>
  <c r="J139" i="1"/>
  <c r="J119" i="1"/>
  <c r="J113" i="1"/>
  <c r="J114" i="1"/>
  <c r="J124" i="1"/>
  <c r="J137" i="1"/>
  <c r="J116" i="1"/>
  <c r="J127" i="1"/>
  <c r="J131" i="1"/>
  <c r="J123" i="1"/>
  <c r="J118" i="1"/>
  <c r="J142" i="1"/>
  <c r="J126" i="1"/>
  <c r="J140" i="1"/>
  <c r="J120" i="1"/>
  <c r="J136" i="1"/>
  <c r="J133" i="1"/>
  <c r="J121" i="1"/>
  <c r="J134" i="1"/>
  <c r="J132" i="1"/>
  <c r="J135" i="1"/>
  <c r="J115" i="1"/>
  <c r="J130" i="1"/>
  <c r="J129" i="1"/>
  <c r="J117" i="1"/>
</calcChain>
</file>

<file path=xl/sharedStrings.xml><?xml version="1.0" encoding="utf-8"?>
<sst xmlns="http://schemas.openxmlformats.org/spreadsheetml/2006/main" count="360" uniqueCount="184">
  <si>
    <t>PROPERTY</t>
  </si>
  <si>
    <t>SALE DATE</t>
  </si>
  <si>
    <t>SALE PRICE</t>
  </si>
  <si>
    <t>SIZE</t>
  </si>
  <si>
    <t>$/UNIT</t>
  </si>
  <si>
    <t>COMMISSION</t>
  </si>
  <si>
    <t>COOP</t>
  </si>
  <si>
    <t>SPLIT</t>
  </si>
  <si>
    <t>INCOME</t>
  </si>
  <si>
    <t>POTENTIAL</t>
  </si>
  <si>
    <t>DIFFERENCE</t>
  </si>
  <si>
    <t>UNITS</t>
  </si>
  <si>
    <t>YEAR</t>
  </si>
  <si>
    <t>PRODUCT</t>
  </si>
  <si>
    <t>NickelDr-1302-LV</t>
  </si>
  <si>
    <t>APT</t>
  </si>
  <si>
    <t>22ndSt-525-GR</t>
  </si>
  <si>
    <t>13thSt-525-529-LV</t>
  </si>
  <si>
    <t>43rdStW-444-448-LV</t>
  </si>
  <si>
    <t>JamesCt-917-FC</t>
  </si>
  <si>
    <t>CollegeAveN-123-Suite310-FC</t>
  </si>
  <si>
    <t>OFC</t>
  </si>
  <si>
    <t>JFKPkwy-3932-FC</t>
  </si>
  <si>
    <t>10thSt-709-711-LV</t>
  </si>
  <si>
    <t>17thAve-3616-EV</t>
  </si>
  <si>
    <t>OakridgeDr-1330-FC</t>
  </si>
  <si>
    <t>EstrellaAve-1702-LV</t>
  </si>
  <si>
    <t>RonaldReaganDr-5255-JT</t>
  </si>
  <si>
    <t>16thSt-805-GR</t>
  </si>
  <si>
    <t>KFC-Watertown-SD</t>
  </si>
  <si>
    <t>RET</t>
  </si>
  <si>
    <t>17thAve-3600-EV</t>
  </si>
  <si>
    <t>10thSt-1464-GR</t>
  </si>
  <si>
    <t>ButternutDr-3492-LV</t>
  </si>
  <si>
    <t>RichmondDr-1114-1132-FC</t>
  </si>
  <si>
    <t>HaysSt-1100-FC</t>
  </si>
  <si>
    <t>PitkinSt-1644-FC</t>
  </si>
  <si>
    <t>8thAve-2215-GR</t>
  </si>
  <si>
    <t>PomonaSt-1206-1218-FC</t>
  </si>
  <si>
    <t>KansasDr-4803-FC</t>
  </si>
  <si>
    <t>15thSt-811-GR</t>
  </si>
  <si>
    <t>Windrow Referral</t>
  </si>
  <si>
    <t>14thSt-822-GR</t>
  </si>
  <si>
    <t>Dripping Rock-5850-FC</t>
  </si>
  <si>
    <t>BoardwalkDr-4501-BldgP-FC</t>
  </si>
  <si>
    <t>ProspectRd-808-FC</t>
  </si>
  <si>
    <t>LAN</t>
  </si>
  <si>
    <t>7thSt-808-Stonegate-WI</t>
  </si>
  <si>
    <t>9thAve-1303-GR</t>
  </si>
  <si>
    <t>11thAve-1605-GR</t>
  </si>
  <si>
    <t>ElizabethStW-1517-FC</t>
  </si>
  <si>
    <t>RichmondDr-1114-FC</t>
  </si>
  <si>
    <t>CarribouDr-2126-FC</t>
  </si>
  <si>
    <t>Detroit Referral</t>
  </si>
  <si>
    <t>11thAve-1521-GR</t>
  </si>
  <si>
    <t>7thAve-1812-GR</t>
  </si>
  <si>
    <t>TimberlineRd-3702-FC</t>
  </si>
  <si>
    <t>28thSt-1815-1817-GR</t>
  </si>
  <si>
    <t>16thStE-1707-1721-LV</t>
  </si>
  <si>
    <t>28thAveCt-2140-2142-GR</t>
  </si>
  <si>
    <t>30thSt-1745-1773-GR</t>
  </si>
  <si>
    <t>30thSt-1753-1765-GR</t>
  </si>
  <si>
    <t>39thAve-GR-Tommy C's Square</t>
  </si>
  <si>
    <t>FlagDr-4125-4213-LA</t>
  </si>
  <si>
    <t>HarmonyRdE-2121-Suite350-FC</t>
  </si>
  <si>
    <t>Berthoud Water</t>
  </si>
  <si>
    <t>OTH</t>
  </si>
  <si>
    <t>LindenSt-217 - Locks &amp; Mane</t>
  </si>
  <si>
    <t>28thSt-1901-2003-GR</t>
  </si>
  <si>
    <t>69thAve-3206-GR-Osborn Referral</t>
  </si>
  <si>
    <t>PecanSt-1717-1719-FC</t>
  </si>
  <si>
    <t>Juniper45th-LV</t>
  </si>
  <si>
    <t>Horsetooth &amp; Stanford Land</t>
  </si>
  <si>
    <t>SumacSt-3024-FC</t>
  </si>
  <si>
    <t>LoweSt-2001-FC</t>
  </si>
  <si>
    <t>StateFarmRd-2924-GR</t>
  </si>
  <si>
    <t>StoneyCreekDr-FC</t>
  </si>
  <si>
    <t>EmpireSt-1502-LV</t>
  </si>
  <si>
    <t>AutomationDr-3942-FC</t>
  </si>
  <si>
    <t>IND</t>
  </si>
  <si>
    <t>ButternutDr-3566-LV</t>
  </si>
  <si>
    <t>ButternutDr-3408-LV</t>
  </si>
  <si>
    <t>CenterplaceRd-3333-GR</t>
  </si>
  <si>
    <t>ElizabethStW-2226-FC</t>
  </si>
  <si>
    <t>DriftwoodDr-1040-FC</t>
  </si>
  <si>
    <t>4thAve-601-LincolnSquareApartments-GR</t>
  </si>
  <si>
    <t>WilsonAveN-1250-LV</t>
  </si>
  <si>
    <t>24thSt-2402-GR</t>
  </si>
  <si>
    <t>DavidsonDr-2601-CimarronApartments-FC</t>
  </si>
  <si>
    <t>StuartStE-112-FC</t>
  </si>
  <si>
    <t>HowesSt-526-FC</t>
  </si>
  <si>
    <t>24St-11407-GR</t>
  </si>
  <si>
    <t>BasswoodDr-4927-LV</t>
  </si>
  <si>
    <t>SculptorDr-1385-1395-LV</t>
  </si>
  <si>
    <t>8thStW-1051-1055-LV</t>
  </si>
  <si>
    <t>BighornDr-2105-FC</t>
  </si>
  <si>
    <t>SnowMesaDr-4674-FC</t>
  </si>
  <si>
    <t>DrakeRdW-323-FC</t>
  </si>
  <si>
    <t>SundanceCt-331-FC</t>
  </si>
  <si>
    <t>KirkwoodDr-1312-FC</t>
  </si>
  <si>
    <t>SnapdragonWy-645-SB</t>
  </si>
  <si>
    <t>16thStE-1314-LV</t>
  </si>
  <si>
    <t>ElizabethStE-1148-FC</t>
  </si>
  <si>
    <t>GarfieldAveN-341-LV</t>
  </si>
  <si>
    <t>AutomationWy-4007-FC</t>
  </si>
  <si>
    <t>GarfieldAveN-713-LV</t>
  </si>
  <si>
    <t>McHughSt-1008-1010-FC</t>
  </si>
  <si>
    <t>ClevelandAve-873-LV</t>
  </si>
  <si>
    <t>SculptorDr-LV-AT&amp;T</t>
  </si>
  <si>
    <t>HorsetoothRdE-375-FC-CountryFin</t>
  </si>
  <si>
    <t>CollegeAveS-3519-FC</t>
  </si>
  <si>
    <t>DouglasAveN-910-LV</t>
  </si>
  <si>
    <t>DenverSt-3011-EV</t>
  </si>
  <si>
    <t>9thAve-1632-GR</t>
  </si>
  <si>
    <t>MainSt-125-LS</t>
  </si>
  <si>
    <t>65thStW-125-LV</t>
  </si>
  <si>
    <t>DellRangeBlvd-1211-CH</t>
  </si>
  <si>
    <t>FrontageRdSW-7795-FC</t>
  </si>
  <si>
    <t>10thSt-1412-GR-Maples</t>
  </si>
  <si>
    <t>12thAve-1315-GR</t>
  </si>
  <si>
    <t>DouglasAveN-905-LV</t>
  </si>
  <si>
    <t>Heritage Ridge</t>
  </si>
  <si>
    <t>ButternutDr-3558</t>
  </si>
  <si>
    <t>1stStE-1344-LV</t>
  </si>
  <si>
    <t>CR5-3064-TM</t>
  </si>
  <si>
    <t>Solstice</t>
  </si>
  <si>
    <t>3rdSt-358-FS</t>
  </si>
  <si>
    <t>SculptorRd-LV</t>
  </si>
  <si>
    <t>ChestnutSt-601-WI</t>
  </si>
  <si>
    <t>Villaggio at Tuscany-EV</t>
  </si>
  <si>
    <t>8thAve-1919-GR</t>
  </si>
  <si>
    <t>BighornDr-2105-Sale-FC</t>
  </si>
  <si>
    <t>MyersCt-3306-CH</t>
  </si>
  <si>
    <t>Donalsonville</t>
  </si>
  <si>
    <t>Donalsonville Loan Referral</t>
  </si>
  <si>
    <t>Kunneman Referral</t>
  </si>
  <si>
    <t>Sculptor Referral 1</t>
  </si>
  <si>
    <t>Sculptor Referral 2</t>
  </si>
  <si>
    <t>Pumpkin Ridge</t>
  </si>
  <si>
    <t>InnovationDr-4862-FC</t>
  </si>
  <si>
    <t>HarmonyRdE-2121-Opthalmologist1-FC</t>
  </si>
  <si>
    <t>HarmonyRdE-2121-UCHealth1-FC</t>
  </si>
  <si>
    <t>HarmonyRdE-2121-Opthalmologist2-FC</t>
  </si>
  <si>
    <t>MeldrumStN-116-FC</t>
  </si>
  <si>
    <t>InnovationDr-4862-Baseline1-FC</t>
  </si>
  <si>
    <t>RomaValleyDr-833-FC-Referral</t>
  </si>
  <si>
    <t>24thStRd-4355-GR-Deng</t>
  </si>
  <si>
    <t>HarmonyRdE-2121-UCHealth2-FC</t>
  </si>
  <si>
    <t>InnovationCir-621-WI</t>
  </si>
  <si>
    <t>24thStRd-4355-GR-Markus</t>
  </si>
  <si>
    <t>PumpkinRidge-GR</t>
  </si>
  <si>
    <t>InnovationDr-4862-Baseline2-FC</t>
  </si>
  <si>
    <t>TransportationCt-26958-1-KS</t>
  </si>
  <si>
    <t>TransportationCt-26958-2-KS</t>
  </si>
  <si>
    <t>GreenridgeRd-7355-WI</t>
  </si>
  <si>
    <t>Rudolph Farm</t>
  </si>
  <si>
    <t>ElizabethStE-1124-FC</t>
  </si>
  <si>
    <t>Swanson Farm-BT</t>
  </si>
  <si>
    <t>Promenade at Carolina Pavilion</t>
  </si>
  <si>
    <t>ParkviewDr-4500-CH</t>
  </si>
  <si>
    <t>SevenGenerations-FC</t>
  </si>
  <si>
    <t>RiversideAve-1420-FC</t>
  </si>
  <si>
    <t>SwansonCBT-LotHoldings</t>
  </si>
  <si>
    <t>BaselineRdW-1319-1-LF</t>
  </si>
  <si>
    <t>Fleener Referral (Southmoor, Custer, Eagle)</t>
  </si>
  <si>
    <t>DrakeRdW-323-2Suites-FC</t>
  </si>
  <si>
    <t>Fleener Referral (Del Clair, Adobe)</t>
  </si>
  <si>
    <t>BaselineRdW-1319-2-LF</t>
  </si>
  <si>
    <t>SwansonCBT-Vidler</t>
  </si>
  <si>
    <t>SculptorDr-LV-Slice Pizza</t>
  </si>
  <si>
    <t>IrisPkwy-5969-FR</t>
  </si>
  <si>
    <t>ButternutDr-3018-3028-LV</t>
  </si>
  <si>
    <t>CollegeAveS-3660-FC</t>
  </si>
  <si>
    <t>Integrity Urgent Care-FW-TX</t>
  </si>
  <si>
    <t>PowerPark-CH-WY</t>
  </si>
  <si>
    <t>SugarCreek-LV</t>
  </si>
  <si>
    <t>Overland368-WI</t>
  </si>
  <si>
    <t>EmpireAveN-1505-LV</t>
  </si>
  <si>
    <t xml:space="preserve"> </t>
  </si>
  <si>
    <t>ClevelandAve-4012-WE</t>
  </si>
  <si>
    <t>4thStE-635-LV</t>
  </si>
  <si>
    <t>EstrellaAveN-1704-LV</t>
  </si>
  <si>
    <t>ColoradoAve-610-618-BR</t>
  </si>
  <si>
    <t>LovelandPortfolio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</si>
</sst>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&quot;$&quot;#,##0;[Red]&quot;$&quot;#,##0"/>
    <numFmt numFmtId="166" formatCode="&quot;$&quot;#,##0"/>
  </numFmts>
  <fonts count="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1"/>
      <color theme="2" tint="-0.499984740745262"/>
      <name val="Century Gothic"/>
      <family val="2"/>
      <scheme val="minor"/>
    </font>
    <font>
      <sz val="10"/>
      <color theme="2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5" fontId="3" fillId="0" borderId="0" xfId="2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2" applyNumberFormat="1" applyFont="1" applyFill="1" applyAlignment="1">
      <alignment horizontal="center"/>
    </xf>
    <xf numFmtId="37" fontId="3" fillId="0" borderId="0" xfId="1" applyNumberFormat="1" applyFont="1" applyFill="1" applyAlignment="1">
      <alignment horizontal="center"/>
    </xf>
    <xf numFmtId="166" fontId="0" fillId="0" borderId="0" xfId="0" applyNumberFormat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3" fillId="0" borderId="2" xfId="2" applyNumberFormat="1" applyFont="1" applyFill="1" applyBorder="1" applyAlignment="1">
      <alignment horizontal="center"/>
    </xf>
    <xf numFmtId="165" fontId="3" fillId="0" borderId="0" xfId="2" applyNumberFormat="1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Century Gothic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2" tint="-0.499984740745262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numFmt numFmtId="165" formatCode="&quot;$&quot;#,##0;[Red]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numFmt numFmtId="165" formatCode="&quot;$&quot;#,##0;[Red]&quot;$&quot;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numFmt numFmtId="165" formatCode="&quot;$&quot;#,##0;[Red]&quot;$&quot;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numFmt numFmtId="165" formatCode="&quot;$&quot;#,##0;[Red]&quot;$&quot;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numFmt numFmtId="165" formatCode="&quot;$&quot;#,##0;[Red]&quot;$&quot;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numFmt numFmtId="165" formatCode="&quot;$&quot;#,##0;[Red]&quot;$&quot;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numFmt numFmtId="165" formatCode="&quot;$&quot;#,##0;[Red]&quot;$&quot;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numFmt numFmtId="165" formatCode="&quot;$&quot;#,##0;[Red]&quot;$&quot;#,##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scheme val="none"/>
      </font>
      <numFmt numFmtId="164" formatCode="mm/dd/yy;@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fill>
        <patternFill patternType="none">
          <bgColor auto="1"/>
        </patternFill>
      </fill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4BCF1-79B9-4CD2-9FC1-2581E762904B}" name="Table1" displayName="Table1" ref="A1:N173" totalsRowShown="0" headerRowDxfId="17" dataDxfId="15" headerRowBorderDxfId="16" tableBorderDxfId="14" dataCellStyle="Currency">
  <autoFilter ref="A1:N173" xr:uid="{00A677B0-35A7-4373-A094-C8E751E7868C}"/>
  <sortState xmlns:xlrd2="http://schemas.microsoft.com/office/spreadsheetml/2017/richdata2" ref="A2:N173">
    <sortCondition ref="B1:B173"/>
  </sortState>
  <tableColumns count="14">
    <tableColumn id="1" xr3:uid="{BD1DFD78-1399-472B-BCC1-5F776FE24097}" name="PROPERTY" dataDxfId="13"/>
    <tableColumn id="2" xr3:uid="{4F729C66-50D3-40FA-ABE0-1E34690926E1}" name="SALE DATE" dataDxfId="12"/>
    <tableColumn id="3" xr3:uid="{577BF9B8-5FD6-458A-8B5E-AF972FD28272}" name="SALE PRICE" dataDxfId="11" dataCellStyle="Currency"/>
    <tableColumn id="4" xr3:uid="{F779646E-9E82-40F9-83A5-F83D435EDEB9}" name="SIZE" dataDxfId="10"/>
    <tableColumn id="5" xr3:uid="{7049476C-B102-4919-B6EE-639BE0C310F4}" name="$/UNIT" dataDxfId="9" dataCellStyle="Currency"/>
    <tableColumn id="6" xr3:uid="{A87366AC-05F0-4B5A-AD43-29CEA3CD21A0}" name="COMMISSION" dataDxfId="8" dataCellStyle="Currency"/>
    <tableColumn id="7" xr3:uid="{AB171E17-0F0E-4E4C-A43A-527D9F0CFF5D}" name="COOP" dataDxfId="7" dataCellStyle="Currency"/>
    <tableColumn id="8" xr3:uid="{38F67654-0CF8-4537-B22B-13B7A6B09F64}" name="SPLIT" dataDxfId="6" dataCellStyle="Currency">
      <calculatedColumnFormula>IF(B2="",0,G2*0.91)</calculatedColumnFormula>
    </tableColumn>
    <tableColumn id="9" xr3:uid="{88F8088C-BBF2-4D1C-9468-1943092C56BA}" name="INCOME" dataDxfId="5" dataCellStyle="Currency">
      <calculatedColumnFormula>IF(B2&lt;=TODAY(),Table1[[#This Row],[SPLIT]],0)</calculatedColumnFormula>
    </tableColumn>
    <tableColumn id="12" xr3:uid="{9B5D4DE7-17D3-4EA0-A77F-46979CC2E571}" name="POTENTIAL" dataDxfId="4" dataCellStyle="Currency">
      <calculatedColumnFormula>SUMIFS(H:H, B:B,"&gt;=" &amp; DATE(M2,1,1), B:B, "&lt;="&amp;DATE(M2,12,31))</calculatedColumnFormula>
    </tableColumn>
    <tableColumn id="14" xr3:uid="{7EE29791-9E63-48C2-B855-BB520275A406}" name="DIFFERENCE" dataDxfId="3" dataCellStyle="Currency">
      <calculatedColumnFormula>IF(B2&gt;DATE((YEAR(TODAY())-1),12,31), J2-(SUMIFS(H:H, B:B,"&gt;=" &amp; DATE(M2,1,1), B:B, "&lt;="&amp;TODAY())),"")</calculatedColumnFormula>
    </tableColumn>
    <tableColumn id="10" xr3:uid="{A8239840-F6C9-4C41-8E6B-7692F72EFFAB}" name="UNITS" dataDxfId="2">
      <calculatedColumnFormula>IF(Table1[[#This Row],[PRODUCT]]="APT",Table1[[#This Row],[SIZE]],"")</calculatedColumnFormula>
    </tableColumn>
    <tableColumn id="11" xr3:uid="{85288A13-5722-4F52-9038-D7674AE24886}" name="YEAR" dataDxfId="1">
      <calculatedColumnFormula>YEAR(Table1[[#This Row],[SALE DATE]])</calculatedColumnFormula>
    </tableColumn>
    <tableColumn id="13" xr3:uid="{4D0A7F79-2E3A-4AEB-8CB4-04C23C266FF6}" name="PRODUCT" dataDxfId="0" dataCellStyle="Currency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sh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840C-6325-4F0E-98B9-B86C91C32315}">
  <dimension ref="A1:AB177"/>
  <sheetViews>
    <sheetView tabSelected="1" topLeftCell="A144" workbookViewId="0">
      <selection activeCell="L167" sqref="L167"/>
    </sheetView>
  </sheetViews>
  <sheetFormatPr defaultRowHeight="16.5" x14ac:dyDescent="0.3"/>
  <cols>
    <col min="1" max="1" width="32.5" customWidth="1"/>
    <col min="2" max="2" width="13.375" style="14" customWidth="1"/>
    <col min="3" max="3" width="14" style="15" customWidth="1"/>
    <col min="5" max="5" width="13" style="15" customWidth="1"/>
    <col min="6" max="6" width="15.375" style="15" customWidth="1"/>
    <col min="7" max="11" width="13" style="15" customWidth="1"/>
    <col min="15" max="15" width="9" customWidth="1"/>
    <col min="16" max="16" width="2.75" customWidth="1"/>
    <col min="17" max="17" width="17" bestFit="1" customWidth="1"/>
    <col min="18" max="18" width="7.375" bestFit="1" customWidth="1"/>
    <col min="19" max="19" width="12.125" bestFit="1" customWidth="1"/>
    <col min="20" max="20" width="18.125" bestFit="1" customWidth="1"/>
    <col min="21" max="21" width="15.375" bestFit="1" customWidth="1"/>
    <col min="22" max="22" width="17.875" bestFit="1" customWidth="1"/>
    <col min="23" max="23" width="11.625" bestFit="1" customWidth="1"/>
    <col min="24" max="24" width="17.625" bestFit="1" customWidth="1"/>
    <col min="25" max="25" width="7.5" bestFit="1" customWidth="1"/>
    <col min="26" max="26" width="11.875" bestFit="1" customWidth="1"/>
    <col min="27" max="27" width="14.125" bestFit="1" customWidth="1"/>
    <col min="28" max="28" width="11.875" bestFit="1" customWidth="1"/>
  </cols>
  <sheetData>
    <row r="1" spans="1:28" ht="17.2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</row>
    <row r="2" spans="1:28" x14ac:dyDescent="0.3">
      <c r="A2" s="4" t="s">
        <v>14</v>
      </c>
      <c r="B2" s="5">
        <v>40940</v>
      </c>
      <c r="C2" s="6">
        <v>268000</v>
      </c>
      <c r="D2" s="7">
        <v>4</v>
      </c>
      <c r="E2" s="6">
        <f t="shared" ref="E2:E27" si="0">C2/D2</f>
        <v>67000</v>
      </c>
      <c r="F2" s="6">
        <f>C2*0.06</f>
        <v>16080</v>
      </c>
      <c r="G2" s="6">
        <f>F2*0.5</f>
        <v>8040</v>
      </c>
      <c r="H2" s="6">
        <f>(G2)*0.9</f>
        <v>7236</v>
      </c>
      <c r="I2" s="6">
        <f ca="1">IF(B2&lt;=TODAY(),Table1[[#This Row],[SPLIT]],0)</f>
        <v>7236</v>
      </c>
      <c r="J2" s="6">
        <f t="shared" ref="J2:J33" si="1">SUMIFS(H:H, B:B,"&gt;=" &amp; DATE(M2,1,1), B:B, "&lt;="&amp;DATE(M2,12,31))</f>
        <v>185409.823</v>
      </c>
      <c r="K2" s="6" t="str">
        <f t="shared" ref="K2:K33" ca="1" si="2">IF(B2&gt;DATE((YEAR(TODAY())-1),12,31), J2-(SUMIFS(H:H, B:B,"&gt;=" &amp; DATE(M2,1,1), B:B, "&lt;="&amp;TODAY())),"")</f>
        <v/>
      </c>
      <c r="L2" s="8">
        <f>IF(Table1[[#This Row],[PRODUCT]]="APT",Table1[[#This Row],[SIZE]],"")</f>
        <v>4</v>
      </c>
      <c r="M2" s="8">
        <f>YEAR(Table1[[#This Row],[SALE DATE]])</f>
        <v>2012</v>
      </c>
      <c r="N2" s="9" t="s">
        <v>15</v>
      </c>
      <c r="O2" s="10"/>
      <c r="P2" s="10"/>
    </row>
    <row r="3" spans="1:28" x14ac:dyDescent="0.3">
      <c r="A3" s="4" t="s">
        <v>16</v>
      </c>
      <c r="B3" s="5">
        <v>41005</v>
      </c>
      <c r="C3" s="6">
        <v>347000</v>
      </c>
      <c r="D3" s="7">
        <v>8</v>
      </c>
      <c r="E3" s="6">
        <f t="shared" si="0"/>
        <v>43375</v>
      </c>
      <c r="F3" s="6">
        <f>C3*0.06</f>
        <v>20820</v>
      </c>
      <c r="G3" s="6">
        <f>F3*0.25</f>
        <v>5205</v>
      </c>
      <c r="H3" s="6">
        <f>(G3)*0.9</f>
        <v>4684.5</v>
      </c>
      <c r="I3" s="6">
        <f ca="1">IF(B3&lt;=TODAY(),Table1[[#This Row],[SPLIT]],0)</f>
        <v>4684.5</v>
      </c>
      <c r="J3" s="6">
        <f t="shared" si="1"/>
        <v>185409.823</v>
      </c>
      <c r="K3" s="6" t="str">
        <f t="shared" ca="1" si="2"/>
        <v/>
      </c>
      <c r="L3" s="8">
        <f>IF(Table1[[#This Row],[PRODUCT]]="APT",Table1[[#This Row],[SIZE]],"")</f>
        <v>8</v>
      </c>
      <c r="M3" s="8">
        <f>YEAR(Table1[[#This Row],[SALE DATE]])</f>
        <v>2012</v>
      </c>
      <c r="N3" s="9" t="s">
        <v>15</v>
      </c>
      <c r="O3" s="10"/>
      <c r="P3" s="10"/>
      <c r="X3" s="11"/>
    </row>
    <row r="4" spans="1:28" x14ac:dyDescent="0.3">
      <c r="A4" s="4" t="s">
        <v>17</v>
      </c>
      <c r="B4" s="5">
        <v>41024</v>
      </c>
      <c r="C4" s="6">
        <v>1100000</v>
      </c>
      <c r="D4" s="7">
        <v>21</v>
      </c>
      <c r="E4" s="6">
        <f t="shared" si="0"/>
        <v>52380.952380952382</v>
      </c>
      <c r="F4" s="6">
        <f>C4*0.05</f>
        <v>55000</v>
      </c>
      <c r="G4" s="6">
        <f>C4*0.015-30</f>
        <v>16470</v>
      </c>
      <c r="H4" s="6">
        <f>(G4)*0.9</f>
        <v>14823</v>
      </c>
      <c r="I4" s="6">
        <f ca="1">IF(B4&lt;=TODAY(),Table1[[#This Row],[SPLIT]],0)</f>
        <v>14823</v>
      </c>
      <c r="J4" s="6">
        <f t="shared" si="1"/>
        <v>185409.823</v>
      </c>
      <c r="K4" s="6" t="str">
        <f t="shared" ca="1" si="2"/>
        <v/>
      </c>
      <c r="L4" s="8">
        <f>IF(Table1[[#This Row],[PRODUCT]]="APT",Table1[[#This Row],[SIZE]],"")</f>
        <v>21</v>
      </c>
      <c r="M4" s="8">
        <f>YEAR(Table1[[#This Row],[SALE DATE]])</f>
        <v>2012</v>
      </c>
      <c r="N4" s="9" t="s">
        <v>15</v>
      </c>
      <c r="O4" s="8"/>
      <c r="P4" s="8"/>
      <c r="X4" s="11"/>
    </row>
    <row r="5" spans="1:28" x14ac:dyDescent="0.3">
      <c r="A5" s="4" t="s">
        <v>18</v>
      </c>
      <c r="B5" s="5">
        <v>41033</v>
      </c>
      <c r="C5" s="6">
        <v>215000</v>
      </c>
      <c r="D5" s="7">
        <v>2</v>
      </c>
      <c r="E5" s="6">
        <f t="shared" si="0"/>
        <v>107500</v>
      </c>
      <c r="F5" s="6">
        <f>C5*0.06</f>
        <v>12900</v>
      </c>
      <c r="G5" s="6">
        <f>F5*0.5</f>
        <v>6450</v>
      </c>
      <c r="H5" s="6">
        <f>(G5)*0.9</f>
        <v>5805</v>
      </c>
      <c r="I5" s="6">
        <f ca="1">IF(B5&lt;=TODAY(),Table1[[#This Row],[SPLIT]],0)</f>
        <v>5805</v>
      </c>
      <c r="J5" s="6">
        <f t="shared" si="1"/>
        <v>185409.823</v>
      </c>
      <c r="K5" s="6" t="str">
        <f t="shared" ca="1" si="2"/>
        <v/>
      </c>
      <c r="L5" s="8">
        <f>IF(Table1[[#This Row],[PRODUCT]]="APT",Table1[[#This Row],[SIZE]],"")</f>
        <v>2</v>
      </c>
      <c r="M5" s="8">
        <f>YEAR(Table1[[#This Row],[SALE DATE]])</f>
        <v>2012</v>
      </c>
      <c r="N5" s="9" t="s">
        <v>15</v>
      </c>
      <c r="O5" s="8"/>
      <c r="P5" s="8"/>
      <c r="X5" s="11"/>
    </row>
    <row r="6" spans="1:28" x14ac:dyDescent="0.3">
      <c r="A6" s="4" t="s">
        <v>19</v>
      </c>
      <c r="B6" s="5">
        <v>41040</v>
      </c>
      <c r="C6" s="6">
        <v>325000</v>
      </c>
      <c r="D6" s="7">
        <v>4</v>
      </c>
      <c r="E6" s="6">
        <f t="shared" si="0"/>
        <v>81250</v>
      </c>
      <c r="F6" s="6">
        <f>C6*0.06</f>
        <v>19500</v>
      </c>
      <c r="G6" s="6">
        <f>F6*0.5-5</f>
        <v>9745</v>
      </c>
      <c r="H6" s="6">
        <f>(G6)*0.9</f>
        <v>8770.5</v>
      </c>
      <c r="I6" s="6">
        <f ca="1">IF(B6&lt;=TODAY(),Table1[[#This Row],[SPLIT]],0)</f>
        <v>8770.5</v>
      </c>
      <c r="J6" s="6">
        <f t="shared" si="1"/>
        <v>185409.823</v>
      </c>
      <c r="K6" s="6" t="str">
        <f t="shared" ca="1" si="2"/>
        <v/>
      </c>
      <c r="L6" s="8">
        <f>IF(Table1[[#This Row],[PRODUCT]]="APT",Table1[[#This Row],[SIZE]],"")</f>
        <v>4</v>
      </c>
      <c r="M6" s="8">
        <f>YEAR(Table1[[#This Row],[SALE DATE]])</f>
        <v>2012</v>
      </c>
      <c r="N6" s="9" t="s">
        <v>15</v>
      </c>
      <c r="O6" s="8"/>
      <c r="P6" s="8"/>
      <c r="X6" s="11"/>
    </row>
    <row r="7" spans="1:28" x14ac:dyDescent="0.3">
      <c r="A7" s="4" t="s">
        <v>20</v>
      </c>
      <c r="B7" s="5">
        <v>41040</v>
      </c>
      <c r="C7" s="6">
        <v>365000</v>
      </c>
      <c r="D7" s="7">
        <v>2856</v>
      </c>
      <c r="E7" s="6">
        <f t="shared" si="0"/>
        <v>127.80112044817928</v>
      </c>
      <c r="F7" s="6">
        <f>C7*0.06</f>
        <v>21900</v>
      </c>
      <c r="G7" s="6">
        <f>C7*0.03</f>
        <v>10950</v>
      </c>
      <c r="H7" s="6">
        <f>G7*0.9</f>
        <v>9855</v>
      </c>
      <c r="I7" s="6">
        <f ca="1">IF(B7&lt;=TODAY(),Table1[[#This Row],[SPLIT]],0)</f>
        <v>9855</v>
      </c>
      <c r="J7" s="6">
        <f t="shared" si="1"/>
        <v>185409.823</v>
      </c>
      <c r="K7" s="6" t="str">
        <f t="shared" ca="1" si="2"/>
        <v/>
      </c>
      <c r="L7" s="8" t="str">
        <f>IF(Table1[[#This Row],[PRODUCT]]="APT",Table1[[#This Row],[SIZE]],"")</f>
        <v/>
      </c>
      <c r="M7" s="8">
        <f>YEAR(Table1[[#This Row],[SALE DATE]])</f>
        <v>2012</v>
      </c>
      <c r="N7" s="9" t="s">
        <v>21</v>
      </c>
      <c r="O7" s="8"/>
      <c r="P7" s="8"/>
      <c r="X7" s="11"/>
    </row>
    <row r="8" spans="1:28" x14ac:dyDescent="0.3">
      <c r="A8" s="4" t="s">
        <v>22</v>
      </c>
      <c r="B8" s="5">
        <v>41061</v>
      </c>
      <c r="C8" s="6">
        <v>160825</v>
      </c>
      <c r="D8" s="7">
        <v>3676</v>
      </c>
      <c r="E8" s="6">
        <f t="shared" si="0"/>
        <v>43.75</v>
      </c>
      <c r="F8" s="6">
        <f>C8*0.06</f>
        <v>9649.5</v>
      </c>
      <c r="G8" s="6">
        <f>C8*0.03</f>
        <v>4824.75</v>
      </c>
      <c r="H8" s="6">
        <f>G8*0.9</f>
        <v>4342.2750000000005</v>
      </c>
      <c r="I8" s="6">
        <f ca="1">IF(B8&lt;=TODAY(),Table1[[#This Row],[SPLIT]],0)</f>
        <v>4342.2750000000005</v>
      </c>
      <c r="J8" s="6">
        <f t="shared" si="1"/>
        <v>185409.823</v>
      </c>
      <c r="K8" s="6" t="str">
        <f t="shared" ca="1" si="2"/>
        <v/>
      </c>
      <c r="L8" s="8" t="str">
        <f>IF(Table1[[#This Row],[PRODUCT]]="APT",Table1[[#This Row],[SIZE]],"")</f>
        <v/>
      </c>
      <c r="M8" s="8">
        <f>YEAR(Table1[[#This Row],[SALE DATE]])</f>
        <v>2012</v>
      </c>
      <c r="N8" s="9" t="s">
        <v>21</v>
      </c>
      <c r="O8" s="8"/>
      <c r="P8" s="8"/>
      <c r="W8" s="11"/>
      <c r="X8" s="11"/>
      <c r="AB8" s="11"/>
    </row>
    <row r="9" spans="1:28" x14ac:dyDescent="0.3">
      <c r="A9" s="4" t="s">
        <v>23</v>
      </c>
      <c r="B9" s="5">
        <v>41122</v>
      </c>
      <c r="C9" s="6">
        <v>500000</v>
      </c>
      <c r="D9" s="7">
        <v>7</v>
      </c>
      <c r="E9" s="6">
        <f t="shared" si="0"/>
        <v>71428.571428571435</v>
      </c>
      <c r="F9" s="6">
        <f>C9*0.05</f>
        <v>25000</v>
      </c>
      <c r="G9" s="6">
        <f>F9-3005</f>
        <v>21995</v>
      </c>
      <c r="H9" s="6">
        <f>(G9)*0.9</f>
        <v>19795.5</v>
      </c>
      <c r="I9" s="6">
        <f ca="1">IF(B9&lt;=TODAY(),Table1[[#This Row],[SPLIT]],0)</f>
        <v>19795.5</v>
      </c>
      <c r="J9" s="6">
        <f t="shared" si="1"/>
        <v>185409.823</v>
      </c>
      <c r="K9" s="6" t="str">
        <f t="shared" ca="1" si="2"/>
        <v/>
      </c>
      <c r="L9" s="8">
        <f>IF(Table1[[#This Row],[PRODUCT]]="APT",Table1[[#This Row],[SIZE]],"")</f>
        <v>7</v>
      </c>
      <c r="M9" s="8">
        <f>YEAR(Table1[[#This Row],[SALE DATE]])</f>
        <v>2012</v>
      </c>
      <c r="N9" s="9" t="s">
        <v>15</v>
      </c>
      <c r="O9" s="8"/>
      <c r="P9" s="8"/>
    </row>
    <row r="10" spans="1:28" x14ac:dyDescent="0.3">
      <c r="A10" s="4" t="s">
        <v>24</v>
      </c>
      <c r="B10" s="5">
        <v>41122</v>
      </c>
      <c r="C10" s="6">
        <v>1198800</v>
      </c>
      <c r="D10" s="7">
        <v>17</v>
      </c>
      <c r="E10" s="6">
        <f t="shared" si="0"/>
        <v>70517.647058823524</v>
      </c>
      <c r="F10" s="6">
        <f>C10*0.06</f>
        <v>71928</v>
      </c>
      <c r="G10" s="6">
        <f>F10*0.5</f>
        <v>35964</v>
      </c>
      <c r="H10" s="6">
        <f>(G10)*0.9</f>
        <v>32367.600000000002</v>
      </c>
      <c r="I10" s="6">
        <f ca="1">IF(B10&lt;=TODAY(),Table1[[#This Row],[SPLIT]],0)</f>
        <v>32367.600000000002</v>
      </c>
      <c r="J10" s="6">
        <f t="shared" si="1"/>
        <v>185409.823</v>
      </c>
      <c r="K10" s="6" t="str">
        <f t="shared" ca="1" si="2"/>
        <v/>
      </c>
      <c r="L10" s="8">
        <f>IF(Table1[[#This Row],[PRODUCT]]="APT",Table1[[#This Row],[SIZE]],"")</f>
        <v>17</v>
      </c>
      <c r="M10" s="8">
        <f>YEAR(Table1[[#This Row],[SALE DATE]])</f>
        <v>2012</v>
      </c>
      <c r="N10" s="9" t="s">
        <v>15</v>
      </c>
      <c r="O10" s="8"/>
      <c r="P10" s="8"/>
    </row>
    <row r="11" spans="1:28" x14ac:dyDescent="0.3">
      <c r="A11" s="4" t="s">
        <v>25</v>
      </c>
      <c r="B11" s="5">
        <v>41122</v>
      </c>
      <c r="C11" s="6">
        <v>57024</v>
      </c>
      <c r="D11" s="7">
        <v>1800</v>
      </c>
      <c r="E11" s="6">
        <f t="shared" si="0"/>
        <v>31.68</v>
      </c>
      <c r="F11" s="6">
        <f>C11*0.06</f>
        <v>3421.44</v>
      </c>
      <c r="G11" s="6">
        <f>C11*0.03</f>
        <v>1710.72</v>
      </c>
      <c r="H11" s="6">
        <f>G11*0.9</f>
        <v>1539.6480000000001</v>
      </c>
      <c r="I11" s="6">
        <f ca="1">IF(B11&lt;=TODAY(),Table1[[#This Row],[SPLIT]],0)</f>
        <v>1539.6480000000001</v>
      </c>
      <c r="J11" s="6">
        <f t="shared" si="1"/>
        <v>185409.823</v>
      </c>
      <c r="K11" s="6" t="str">
        <f t="shared" ca="1" si="2"/>
        <v/>
      </c>
      <c r="L11" s="8" t="str">
        <f>IF(Table1[[#This Row],[PRODUCT]]="APT",Table1[[#This Row],[SIZE]],"")</f>
        <v/>
      </c>
      <c r="M11" s="8">
        <f>YEAR(Table1[[#This Row],[SALE DATE]])</f>
        <v>2012</v>
      </c>
      <c r="N11" s="9" t="s">
        <v>21</v>
      </c>
      <c r="O11" s="8"/>
      <c r="P11" s="8"/>
    </row>
    <row r="12" spans="1:28" x14ac:dyDescent="0.3">
      <c r="A12" s="4" t="s">
        <v>26</v>
      </c>
      <c r="B12" s="5">
        <v>41141</v>
      </c>
      <c r="C12" s="6">
        <v>221500</v>
      </c>
      <c r="D12" s="7">
        <v>2</v>
      </c>
      <c r="E12" s="6">
        <f t="shared" si="0"/>
        <v>110750</v>
      </c>
      <c r="F12" s="6">
        <f>C12*0.06</f>
        <v>13290</v>
      </c>
      <c r="G12" s="6">
        <f>F12*0.5</f>
        <v>6645</v>
      </c>
      <c r="H12" s="6">
        <f>(G12)*0.9</f>
        <v>5980.5</v>
      </c>
      <c r="I12" s="6">
        <f ca="1">IF(B12&lt;=TODAY(),Table1[[#This Row],[SPLIT]],0)</f>
        <v>5980.5</v>
      </c>
      <c r="J12" s="6">
        <f t="shared" si="1"/>
        <v>185409.823</v>
      </c>
      <c r="K12" s="6" t="str">
        <f t="shared" ca="1" si="2"/>
        <v/>
      </c>
      <c r="L12" s="8">
        <f>IF(Table1[[#This Row],[PRODUCT]]="APT",Table1[[#This Row],[SIZE]],"")</f>
        <v>2</v>
      </c>
      <c r="M12" s="8">
        <f>YEAR(Table1[[#This Row],[SALE DATE]])</f>
        <v>2012</v>
      </c>
      <c r="N12" s="9" t="s">
        <v>15</v>
      </c>
      <c r="O12" s="8"/>
      <c r="P12" s="8"/>
    </row>
    <row r="13" spans="1:28" x14ac:dyDescent="0.3">
      <c r="A13" s="4" t="s">
        <v>27</v>
      </c>
      <c r="B13" s="5">
        <v>41205</v>
      </c>
      <c r="C13" s="6">
        <v>167500</v>
      </c>
      <c r="D13" s="7">
        <v>2584</v>
      </c>
      <c r="E13" s="6">
        <f t="shared" si="0"/>
        <v>64.821981424148603</v>
      </c>
      <c r="F13" s="6">
        <f>C13*0.06</f>
        <v>10050</v>
      </c>
      <c r="G13" s="6">
        <f>(C13*0.03)-3</f>
        <v>5022</v>
      </c>
      <c r="H13" s="6">
        <f>G13*0.9</f>
        <v>4519.8</v>
      </c>
      <c r="I13" s="6">
        <f ca="1">IF(B13&lt;=TODAY(),Table1[[#This Row],[SPLIT]],0)</f>
        <v>4519.8</v>
      </c>
      <c r="J13" s="6">
        <f t="shared" si="1"/>
        <v>185409.823</v>
      </c>
      <c r="K13" s="6" t="str">
        <f t="shared" ca="1" si="2"/>
        <v/>
      </c>
      <c r="L13" s="8" t="str">
        <f>IF(Table1[[#This Row],[PRODUCT]]="APT",Table1[[#This Row],[SIZE]],"")</f>
        <v/>
      </c>
      <c r="M13" s="8">
        <f>YEAR(Table1[[#This Row],[SALE DATE]])</f>
        <v>2012</v>
      </c>
      <c r="N13" s="9" t="s">
        <v>21</v>
      </c>
      <c r="O13" s="8"/>
      <c r="P13" s="8"/>
    </row>
    <row r="14" spans="1:28" x14ac:dyDescent="0.3">
      <c r="A14" s="4" t="s">
        <v>28</v>
      </c>
      <c r="B14" s="5">
        <v>41229</v>
      </c>
      <c r="C14" s="6">
        <v>640000</v>
      </c>
      <c r="D14" s="7">
        <v>8</v>
      </c>
      <c r="E14" s="6">
        <f t="shared" si="0"/>
        <v>80000</v>
      </c>
      <c r="F14" s="6">
        <f>C14*0.015625</f>
        <v>10000</v>
      </c>
      <c r="G14" s="6">
        <f>F14</f>
        <v>10000</v>
      </c>
      <c r="H14" s="6">
        <f>(G14)*0.9-5</f>
        <v>8995</v>
      </c>
      <c r="I14" s="6">
        <f ca="1">IF(B14&lt;=TODAY(),Table1[[#This Row],[SPLIT]],0)</f>
        <v>8995</v>
      </c>
      <c r="J14" s="6">
        <f t="shared" si="1"/>
        <v>185409.823</v>
      </c>
      <c r="K14" s="6" t="str">
        <f t="shared" ca="1" si="2"/>
        <v/>
      </c>
      <c r="L14" s="8">
        <f>IF(Table1[[#This Row],[PRODUCT]]="APT",Table1[[#This Row],[SIZE]],"")</f>
        <v>8</v>
      </c>
      <c r="M14" s="8">
        <f>YEAR(Table1[[#This Row],[SALE DATE]])</f>
        <v>2012</v>
      </c>
      <c r="N14" s="9" t="s">
        <v>15</v>
      </c>
      <c r="O14" s="8"/>
      <c r="P14" s="8"/>
    </row>
    <row r="15" spans="1:28" x14ac:dyDescent="0.3">
      <c r="A15" s="4" t="s">
        <v>29</v>
      </c>
      <c r="B15" s="5">
        <v>41250</v>
      </c>
      <c r="C15" s="6">
        <v>1400000</v>
      </c>
      <c r="D15" s="7">
        <v>3281</v>
      </c>
      <c r="E15" s="6">
        <f t="shared" si="0"/>
        <v>426.69917708015851</v>
      </c>
      <c r="F15" s="6">
        <f>C15*0.04</f>
        <v>56000</v>
      </c>
      <c r="G15" s="6">
        <f>F15*0.5</f>
        <v>28000</v>
      </c>
      <c r="H15" s="6">
        <f>G15*0.9</f>
        <v>25200</v>
      </c>
      <c r="I15" s="6">
        <f ca="1">IF(B15&lt;=TODAY(),Table1[[#This Row],[SPLIT]],0)</f>
        <v>25200</v>
      </c>
      <c r="J15" s="6">
        <f t="shared" si="1"/>
        <v>185409.823</v>
      </c>
      <c r="K15" s="6" t="str">
        <f t="shared" ca="1" si="2"/>
        <v/>
      </c>
      <c r="L15" s="8" t="str">
        <f>IF(Table1[[#This Row],[PRODUCT]]="APT",Table1[[#This Row],[SIZE]],"")</f>
        <v/>
      </c>
      <c r="M15" s="8">
        <f>YEAR(Table1[[#This Row],[SALE DATE]])</f>
        <v>2012</v>
      </c>
      <c r="N15" s="9" t="s">
        <v>30</v>
      </c>
      <c r="O15" s="8"/>
      <c r="P15" s="8"/>
    </row>
    <row r="16" spans="1:28" x14ac:dyDescent="0.3">
      <c r="A16" s="4" t="s">
        <v>31</v>
      </c>
      <c r="B16" s="5">
        <v>41253</v>
      </c>
      <c r="C16" s="6">
        <v>898000</v>
      </c>
      <c r="D16" s="7">
        <v>16</v>
      </c>
      <c r="E16" s="6">
        <f t="shared" si="0"/>
        <v>56125</v>
      </c>
      <c r="F16" s="6">
        <f>C16*0.06</f>
        <v>53880</v>
      </c>
      <c r="G16" s="6">
        <f>F16*0.5</f>
        <v>26940</v>
      </c>
      <c r="H16" s="6">
        <f>(G16)*0.9</f>
        <v>24246</v>
      </c>
      <c r="I16" s="6">
        <f ca="1">IF(B16&lt;=TODAY(),Table1[[#This Row],[SPLIT]],0)</f>
        <v>24246</v>
      </c>
      <c r="J16" s="6">
        <f t="shared" si="1"/>
        <v>185409.823</v>
      </c>
      <c r="K16" s="6" t="str">
        <f t="shared" ca="1" si="2"/>
        <v/>
      </c>
      <c r="L16" s="8">
        <f>IF(Table1[[#This Row],[PRODUCT]]="APT",Table1[[#This Row],[SIZE]],"")</f>
        <v>16</v>
      </c>
      <c r="M16" s="8">
        <f>YEAR(Table1[[#This Row],[SALE DATE]])</f>
        <v>2012</v>
      </c>
      <c r="N16" s="9" t="s">
        <v>15</v>
      </c>
      <c r="O16" s="8"/>
      <c r="P16" s="8"/>
    </row>
    <row r="17" spans="1:16" x14ac:dyDescent="0.3">
      <c r="A17" s="4" t="s">
        <v>32</v>
      </c>
      <c r="B17" s="5">
        <v>41271</v>
      </c>
      <c r="C17" s="6">
        <v>537000</v>
      </c>
      <c r="D17" s="7">
        <v>12</v>
      </c>
      <c r="E17" s="6">
        <f t="shared" si="0"/>
        <v>44750</v>
      </c>
      <c r="F17" s="6">
        <f>C17*0.06</f>
        <v>32220</v>
      </c>
      <c r="G17" s="6">
        <f>F17*0.5*0.5</f>
        <v>8055</v>
      </c>
      <c r="H17" s="6">
        <f>(G17)*0.9</f>
        <v>7249.5</v>
      </c>
      <c r="I17" s="6">
        <f ca="1">IF(B17&lt;=TODAY(),Table1[[#This Row],[SPLIT]],0)</f>
        <v>7249.5</v>
      </c>
      <c r="J17" s="6">
        <f t="shared" si="1"/>
        <v>185409.823</v>
      </c>
      <c r="K17" s="6" t="str">
        <f t="shared" ca="1" si="2"/>
        <v/>
      </c>
      <c r="L17" s="8">
        <f>IF(Table1[[#This Row],[PRODUCT]]="APT",Table1[[#This Row],[SIZE]],"")</f>
        <v>12</v>
      </c>
      <c r="M17" s="8">
        <f>YEAR(Table1[[#This Row],[SALE DATE]])</f>
        <v>2012</v>
      </c>
      <c r="N17" s="9" t="s">
        <v>15</v>
      </c>
      <c r="O17" s="8"/>
      <c r="P17" s="8"/>
    </row>
    <row r="18" spans="1:16" x14ac:dyDescent="0.3">
      <c r="A18" s="4" t="s">
        <v>33</v>
      </c>
      <c r="B18" s="5">
        <v>41298</v>
      </c>
      <c r="C18" s="6">
        <v>285000</v>
      </c>
      <c r="D18" s="7">
        <v>4</v>
      </c>
      <c r="E18" s="6">
        <f t="shared" si="0"/>
        <v>71250</v>
      </c>
      <c r="F18" s="6">
        <f>C18*0.06</f>
        <v>17100</v>
      </c>
      <c r="G18" s="6">
        <f>F18*0.5</f>
        <v>8550</v>
      </c>
      <c r="H18" s="6">
        <f>(G18)*0.9</f>
        <v>7695</v>
      </c>
      <c r="I18" s="6">
        <f ca="1">IF(B18&lt;=TODAY(),Table1[[#This Row],[SPLIT]],0)</f>
        <v>7695</v>
      </c>
      <c r="J18" s="6">
        <f t="shared" si="1"/>
        <v>227531.3</v>
      </c>
      <c r="K18" s="6" t="str">
        <f t="shared" ca="1" si="2"/>
        <v/>
      </c>
      <c r="L18" s="8">
        <f>IF(Table1[[#This Row],[PRODUCT]]="APT",Table1[[#This Row],[SIZE]],"")</f>
        <v>4</v>
      </c>
      <c r="M18" s="8">
        <f>YEAR(Table1[[#This Row],[SALE DATE]])</f>
        <v>2013</v>
      </c>
      <c r="N18" s="9" t="s">
        <v>15</v>
      </c>
      <c r="O18" s="8"/>
      <c r="P18" s="8"/>
    </row>
    <row r="19" spans="1:16" x14ac:dyDescent="0.3">
      <c r="A19" s="4" t="s">
        <v>34</v>
      </c>
      <c r="B19" s="5">
        <v>41334</v>
      </c>
      <c r="C19" s="6">
        <v>710000</v>
      </c>
      <c r="D19" s="7">
        <v>10</v>
      </c>
      <c r="E19" s="6">
        <f t="shared" si="0"/>
        <v>71000</v>
      </c>
      <c r="F19" s="6">
        <f>C19*0.05</f>
        <v>35500</v>
      </c>
      <c r="G19" s="6">
        <f>F19</f>
        <v>35500</v>
      </c>
      <c r="H19" s="6">
        <f>(G19)*0.9-4.5</f>
        <v>31945.5</v>
      </c>
      <c r="I19" s="6">
        <f ca="1">IF(B19&lt;=TODAY(),Table1[[#This Row],[SPLIT]],0)</f>
        <v>31945.5</v>
      </c>
      <c r="J19" s="6">
        <f t="shared" si="1"/>
        <v>227531.3</v>
      </c>
      <c r="K19" s="6" t="str">
        <f t="shared" ca="1" si="2"/>
        <v/>
      </c>
      <c r="L19" s="8">
        <f>IF(Table1[[#This Row],[PRODUCT]]="APT",Table1[[#This Row],[SIZE]],"")</f>
        <v>10</v>
      </c>
      <c r="M19" s="8">
        <f>YEAR(Table1[[#This Row],[SALE DATE]])</f>
        <v>2013</v>
      </c>
      <c r="N19" s="9" t="s">
        <v>15</v>
      </c>
      <c r="O19" s="8"/>
      <c r="P19" s="8"/>
    </row>
    <row r="20" spans="1:16" x14ac:dyDescent="0.3">
      <c r="A20" s="4" t="s">
        <v>35</v>
      </c>
      <c r="B20" s="5">
        <v>41365</v>
      </c>
      <c r="C20" s="6">
        <v>1050000</v>
      </c>
      <c r="D20" s="7">
        <v>11</v>
      </c>
      <c r="E20" s="6">
        <f t="shared" si="0"/>
        <v>95454.545454545456</v>
      </c>
      <c r="F20" s="6">
        <f>C20*0.055</f>
        <v>57750</v>
      </c>
      <c r="G20" s="6">
        <f>F20*0.7</f>
        <v>40425</v>
      </c>
      <c r="H20" s="6">
        <f>(G20)*0.9-4</f>
        <v>36378.5</v>
      </c>
      <c r="I20" s="6">
        <f ca="1">IF(B20&lt;=TODAY(),Table1[[#This Row],[SPLIT]],0)</f>
        <v>36378.5</v>
      </c>
      <c r="J20" s="6">
        <f t="shared" si="1"/>
        <v>227531.3</v>
      </c>
      <c r="K20" s="6" t="str">
        <f t="shared" ca="1" si="2"/>
        <v/>
      </c>
      <c r="L20" s="8">
        <f>IF(Table1[[#This Row],[PRODUCT]]="APT",Table1[[#This Row],[SIZE]],"")</f>
        <v>11</v>
      </c>
      <c r="M20" s="8">
        <f>YEAR(Table1[[#This Row],[SALE DATE]])</f>
        <v>2013</v>
      </c>
      <c r="N20" s="9" t="s">
        <v>15</v>
      </c>
      <c r="O20" s="8"/>
      <c r="P20" s="8"/>
    </row>
    <row r="21" spans="1:16" x14ac:dyDescent="0.3">
      <c r="A21" s="4" t="s">
        <v>36</v>
      </c>
      <c r="B21" s="5">
        <v>41395</v>
      </c>
      <c r="C21" s="6">
        <v>405000</v>
      </c>
      <c r="D21" s="7">
        <v>4</v>
      </c>
      <c r="E21" s="6">
        <f t="shared" si="0"/>
        <v>101250</v>
      </c>
      <c r="F21" s="6">
        <f>20000</f>
        <v>20000</v>
      </c>
      <c r="G21" s="6">
        <f>F21*0.5</f>
        <v>10000</v>
      </c>
      <c r="H21" s="6">
        <f>(G21)*0.9</f>
        <v>9000</v>
      </c>
      <c r="I21" s="6">
        <f ca="1">IF(B21&lt;=TODAY(),Table1[[#This Row],[SPLIT]],0)</f>
        <v>9000</v>
      </c>
      <c r="J21" s="6">
        <f t="shared" si="1"/>
        <v>227531.3</v>
      </c>
      <c r="K21" s="6" t="str">
        <f t="shared" ca="1" si="2"/>
        <v/>
      </c>
      <c r="L21" s="8">
        <f>IF(Table1[[#This Row],[PRODUCT]]="APT",Table1[[#This Row],[SIZE]],"")</f>
        <v>4</v>
      </c>
      <c r="M21" s="8">
        <f>YEAR(Table1[[#This Row],[SALE DATE]])</f>
        <v>2013</v>
      </c>
      <c r="N21" s="9" t="s">
        <v>15</v>
      </c>
      <c r="O21" s="8"/>
      <c r="P21" s="8"/>
    </row>
    <row r="22" spans="1:16" x14ac:dyDescent="0.3">
      <c r="A22" s="4" t="s">
        <v>37</v>
      </c>
      <c r="B22" s="5">
        <v>41437</v>
      </c>
      <c r="C22" s="6">
        <v>1085000</v>
      </c>
      <c r="D22" s="7">
        <v>32</v>
      </c>
      <c r="E22" s="6">
        <f t="shared" si="0"/>
        <v>33906.25</v>
      </c>
      <c r="F22" s="6">
        <f>C22*0.05</f>
        <v>54250</v>
      </c>
      <c r="G22" s="6">
        <f>F22*0.6</f>
        <v>32550</v>
      </c>
      <c r="H22" s="6">
        <f>(G22)*0.9</f>
        <v>29295</v>
      </c>
      <c r="I22" s="6">
        <f ca="1">IF(B22&lt;=TODAY(),Table1[[#This Row],[SPLIT]],0)</f>
        <v>29295</v>
      </c>
      <c r="J22" s="6">
        <f t="shared" si="1"/>
        <v>227531.3</v>
      </c>
      <c r="K22" s="6" t="str">
        <f t="shared" ca="1" si="2"/>
        <v/>
      </c>
      <c r="L22" s="8">
        <f>IF(Table1[[#This Row],[PRODUCT]]="APT",Table1[[#This Row],[SIZE]],"")</f>
        <v>32</v>
      </c>
      <c r="M22" s="8">
        <f>YEAR(Table1[[#This Row],[SALE DATE]])</f>
        <v>2013</v>
      </c>
      <c r="N22" s="9" t="s">
        <v>15</v>
      </c>
      <c r="O22" s="8"/>
      <c r="P22" s="8"/>
    </row>
    <row r="23" spans="1:16" x14ac:dyDescent="0.3">
      <c r="A23" s="4" t="s">
        <v>38</v>
      </c>
      <c r="B23" s="5">
        <v>41465</v>
      </c>
      <c r="C23" s="6">
        <v>950000</v>
      </c>
      <c r="D23" s="7">
        <v>10</v>
      </c>
      <c r="E23" s="6">
        <f t="shared" si="0"/>
        <v>95000</v>
      </c>
      <c r="F23" s="6">
        <f>C23*0.06</f>
        <v>57000</v>
      </c>
      <c r="G23" s="6">
        <f>F23*0.5</f>
        <v>28500</v>
      </c>
      <c r="H23" s="6">
        <f>(G23)*0.9</f>
        <v>25650</v>
      </c>
      <c r="I23" s="6">
        <f ca="1">IF(B23&lt;=TODAY(),Table1[[#This Row],[SPLIT]],0)</f>
        <v>25650</v>
      </c>
      <c r="J23" s="6">
        <f t="shared" si="1"/>
        <v>227531.3</v>
      </c>
      <c r="K23" s="6" t="str">
        <f t="shared" ca="1" si="2"/>
        <v/>
      </c>
      <c r="L23" s="8">
        <f>IF(Table1[[#This Row],[PRODUCT]]="APT",Table1[[#This Row],[SIZE]],"")</f>
        <v>10</v>
      </c>
      <c r="M23" s="8">
        <f>YEAR(Table1[[#This Row],[SALE DATE]])</f>
        <v>2013</v>
      </c>
      <c r="N23" s="9" t="s">
        <v>15</v>
      </c>
      <c r="O23" s="8"/>
      <c r="P23" s="8"/>
    </row>
    <row r="24" spans="1:16" x14ac:dyDescent="0.3">
      <c r="A24" s="4" t="s">
        <v>39</v>
      </c>
      <c r="B24" s="5">
        <v>41586</v>
      </c>
      <c r="C24" s="6">
        <v>3350000</v>
      </c>
      <c r="D24" s="7">
        <v>24</v>
      </c>
      <c r="E24" s="6">
        <f t="shared" si="0"/>
        <v>139583.33333333334</v>
      </c>
      <c r="F24" s="6">
        <f>C24*0.05</f>
        <v>167500</v>
      </c>
      <c r="G24" s="6">
        <f>F24*0.6*0.6</f>
        <v>60300</v>
      </c>
      <c r="H24" s="6">
        <f>(G24)*0.9-2.7</f>
        <v>54267.3</v>
      </c>
      <c r="I24" s="6">
        <f ca="1">IF(B24&lt;=TODAY(),Table1[[#This Row],[SPLIT]],0)</f>
        <v>54267.3</v>
      </c>
      <c r="J24" s="6">
        <f t="shared" si="1"/>
        <v>227531.3</v>
      </c>
      <c r="K24" s="6" t="str">
        <f t="shared" ca="1" si="2"/>
        <v/>
      </c>
      <c r="L24" s="8">
        <f>IF(Table1[[#This Row],[PRODUCT]]="APT",Table1[[#This Row],[SIZE]],"")</f>
        <v>24</v>
      </c>
      <c r="M24" s="8">
        <f>YEAR(Table1[[#This Row],[SALE DATE]])</f>
        <v>2013</v>
      </c>
      <c r="N24" s="9" t="s">
        <v>15</v>
      </c>
      <c r="O24" s="8"/>
      <c r="P24" s="8"/>
    </row>
    <row r="25" spans="1:16" x14ac:dyDescent="0.3">
      <c r="A25" s="4" t="s">
        <v>40</v>
      </c>
      <c r="B25" s="5">
        <v>41626</v>
      </c>
      <c r="C25" s="6">
        <v>1850000</v>
      </c>
      <c r="D25" s="7">
        <v>44</v>
      </c>
      <c r="E25" s="6">
        <f t="shared" si="0"/>
        <v>42045.454545454544</v>
      </c>
      <c r="F25" s="6">
        <f>C25*0.04</f>
        <v>74000</v>
      </c>
      <c r="G25" s="6">
        <f>F25*0.5</f>
        <v>37000</v>
      </c>
      <c r="H25" s="6">
        <f>(G25)*0.9</f>
        <v>33300</v>
      </c>
      <c r="I25" s="6">
        <f ca="1">IF(B25&lt;=TODAY(),Table1[[#This Row],[SPLIT]],0)</f>
        <v>33300</v>
      </c>
      <c r="J25" s="6">
        <f t="shared" si="1"/>
        <v>227531.3</v>
      </c>
      <c r="K25" s="6" t="str">
        <f t="shared" ca="1" si="2"/>
        <v/>
      </c>
      <c r="L25" s="8">
        <f>IF(Table1[[#This Row],[PRODUCT]]="APT",Table1[[#This Row],[SIZE]],"")</f>
        <v>44</v>
      </c>
      <c r="M25" s="8">
        <f>YEAR(Table1[[#This Row],[SALE DATE]])</f>
        <v>2013</v>
      </c>
      <c r="N25" s="9" t="s">
        <v>15</v>
      </c>
      <c r="O25" s="8"/>
      <c r="P25" s="8"/>
    </row>
    <row r="26" spans="1:16" x14ac:dyDescent="0.3">
      <c r="A26" s="4" t="s">
        <v>41</v>
      </c>
      <c r="B26" s="5">
        <v>41666</v>
      </c>
      <c r="C26" s="6">
        <v>0</v>
      </c>
      <c r="D26" s="7">
        <v>0</v>
      </c>
      <c r="E26" s="6" t="e">
        <f t="shared" si="0"/>
        <v>#DIV/0!</v>
      </c>
      <c r="F26" s="6">
        <v>8378</v>
      </c>
      <c r="G26" s="6">
        <f>F26*0.5</f>
        <v>4189</v>
      </c>
      <c r="H26" s="6">
        <f>(G26)*0.9</f>
        <v>3770.1</v>
      </c>
      <c r="I26" s="6">
        <f ca="1">IF(B26&lt;=TODAY(),Table1[[#This Row],[SPLIT]],0)</f>
        <v>3770.1</v>
      </c>
      <c r="J26" s="6">
        <f t="shared" si="1"/>
        <v>367404.30000000005</v>
      </c>
      <c r="K26" s="6" t="str">
        <f t="shared" ca="1" si="2"/>
        <v/>
      </c>
      <c r="L26" s="8">
        <f>IF(Table1[[#This Row],[PRODUCT]]="APT",Table1[[#This Row],[SIZE]],"")</f>
        <v>0</v>
      </c>
      <c r="M26" s="8">
        <f>YEAR(Table1[[#This Row],[SALE DATE]])</f>
        <v>2014</v>
      </c>
      <c r="N26" s="9" t="s">
        <v>15</v>
      </c>
      <c r="O26" s="8"/>
      <c r="P26" s="8"/>
    </row>
    <row r="27" spans="1:16" x14ac:dyDescent="0.3">
      <c r="A27" s="4" t="s">
        <v>42</v>
      </c>
      <c r="B27" s="5">
        <v>41666</v>
      </c>
      <c r="C27" s="6">
        <v>855000</v>
      </c>
      <c r="D27" s="7">
        <v>6316</v>
      </c>
      <c r="E27" s="6">
        <f t="shared" si="0"/>
        <v>135.37048765041166</v>
      </c>
      <c r="F27" s="6">
        <f>C27*0.05</f>
        <v>42750</v>
      </c>
      <c r="G27" s="6">
        <f>F27*0.5*0.4-2</f>
        <v>8548</v>
      </c>
      <c r="H27" s="6">
        <f>G27*0.9</f>
        <v>7693.2</v>
      </c>
      <c r="I27" s="6">
        <f ca="1">IF(B27&lt;=TODAY(),Table1[[#This Row],[SPLIT]],0)</f>
        <v>7693.2</v>
      </c>
      <c r="J27" s="6">
        <f t="shared" si="1"/>
        <v>367404.30000000005</v>
      </c>
      <c r="K27" s="6" t="str">
        <f t="shared" ca="1" si="2"/>
        <v/>
      </c>
      <c r="L27" s="8" t="str">
        <f>IF(Table1[[#This Row],[PRODUCT]]="APT",Table1[[#This Row],[SIZE]],"")</f>
        <v/>
      </c>
      <c r="M27" s="8">
        <f>YEAR(Table1[[#This Row],[SALE DATE]])</f>
        <v>2014</v>
      </c>
      <c r="N27" s="9" t="s">
        <v>30</v>
      </c>
      <c r="O27" s="8"/>
      <c r="P27" s="8"/>
    </row>
    <row r="28" spans="1:16" x14ac:dyDescent="0.3">
      <c r="A28" s="4" t="s">
        <v>43</v>
      </c>
      <c r="B28" s="5">
        <v>41729</v>
      </c>
      <c r="C28" s="6">
        <v>439800</v>
      </c>
      <c r="D28" s="7">
        <v>2</v>
      </c>
      <c r="E28" s="6">
        <f>IF(C28=0, (B28/D28), C28/D28)</f>
        <v>219900</v>
      </c>
      <c r="F28" s="6">
        <f>C28*0.06</f>
        <v>26388</v>
      </c>
      <c r="G28" s="6">
        <f>F28*0.5</f>
        <v>13194</v>
      </c>
      <c r="H28" s="6">
        <f>(G28)*0.9</f>
        <v>11874.6</v>
      </c>
      <c r="I28" s="6">
        <f ca="1">IF(B28&lt;=TODAY(),Table1[[#This Row],[SPLIT]],0)</f>
        <v>11874.6</v>
      </c>
      <c r="J28" s="6">
        <f t="shared" si="1"/>
        <v>367404.30000000005</v>
      </c>
      <c r="K28" s="6" t="str">
        <f t="shared" ca="1" si="2"/>
        <v/>
      </c>
      <c r="L28" s="8">
        <f>IF(Table1[[#This Row],[PRODUCT]]="APT",Table1[[#This Row],[SIZE]],"")</f>
        <v>2</v>
      </c>
      <c r="M28" s="8">
        <f>YEAR(Table1[[#This Row],[SALE DATE]])</f>
        <v>2014</v>
      </c>
      <c r="N28" s="9" t="s">
        <v>15</v>
      </c>
      <c r="O28" s="8"/>
      <c r="P28" s="8"/>
    </row>
    <row r="29" spans="1:16" x14ac:dyDescent="0.3">
      <c r="A29" s="4" t="s">
        <v>44</v>
      </c>
      <c r="B29" s="5">
        <v>41740</v>
      </c>
      <c r="C29" s="6">
        <v>850000</v>
      </c>
      <c r="D29" s="7">
        <v>10</v>
      </c>
      <c r="E29" s="6">
        <f>IF(C29=0, (B29/D29), C29/D29)</f>
        <v>85000</v>
      </c>
      <c r="F29" s="6">
        <f>C29*0.06</f>
        <v>51000</v>
      </c>
      <c r="G29" s="6">
        <f>F29*0.5-5</f>
        <v>25495</v>
      </c>
      <c r="H29" s="6">
        <f>(G29)*0.9</f>
        <v>22945.5</v>
      </c>
      <c r="I29" s="6">
        <f ca="1">IF(B29&lt;=TODAY(),Table1[[#This Row],[SPLIT]],0)</f>
        <v>22945.5</v>
      </c>
      <c r="J29" s="6">
        <f t="shared" si="1"/>
        <v>367404.30000000005</v>
      </c>
      <c r="K29" s="6" t="str">
        <f t="shared" ca="1" si="2"/>
        <v/>
      </c>
      <c r="L29" s="8">
        <f>IF(Table1[[#This Row],[PRODUCT]]="APT",Table1[[#This Row],[SIZE]],"")</f>
        <v>10</v>
      </c>
      <c r="M29" s="8">
        <f>YEAR(Table1[[#This Row],[SALE DATE]])</f>
        <v>2014</v>
      </c>
      <c r="N29" s="9" t="s">
        <v>15</v>
      </c>
      <c r="O29" s="8"/>
      <c r="P29" s="8"/>
    </row>
    <row r="30" spans="1:16" x14ac:dyDescent="0.3">
      <c r="A30" s="4" t="s">
        <v>45</v>
      </c>
      <c r="B30" s="5">
        <v>41771</v>
      </c>
      <c r="C30" s="6">
        <v>1850000</v>
      </c>
      <c r="D30" s="7">
        <v>114127</v>
      </c>
      <c r="E30" s="6">
        <f>C30/D30</f>
        <v>16.210011653684052</v>
      </c>
      <c r="F30" s="6">
        <v>56103</v>
      </c>
      <c r="G30" s="6">
        <f>(F30*0.9)/3</f>
        <v>16830.900000000001</v>
      </c>
      <c r="H30" s="6">
        <f>G30*0.9</f>
        <v>15147.810000000001</v>
      </c>
      <c r="I30" s="6">
        <f ca="1">IF(B30&lt;=TODAY(),Table1[[#This Row],[SPLIT]],0)</f>
        <v>15147.810000000001</v>
      </c>
      <c r="J30" s="6">
        <f t="shared" si="1"/>
        <v>367404.30000000005</v>
      </c>
      <c r="K30" s="6" t="str">
        <f t="shared" ca="1" si="2"/>
        <v/>
      </c>
      <c r="L30" s="8" t="str">
        <f>IF(Table1[[#This Row],[PRODUCT]]="APT",Table1[[#This Row],[SIZE]],"")</f>
        <v/>
      </c>
      <c r="M30" s="8">
        <f>YEAR(Table1[[#This Row],[SALE DATE]])</f>
        <v>2014</v>
      </c>
      <c r="N30" s="9" t="s">
        <v>46</v>
      </c>
      <c r="O30" s="8"/>
      <c r="P30" s="8"/>
    </row>
    <row r="31" spans="1:16" x14ac:dyDescent="0.3">
      <c r="A31" s="4" t="s">
        <v>47</v>
      </c>
      <c r="B31" s="5">
        <v>41786</v>
      </c>
      <c r="C31" s="6">
        <v>3950000</v>
      </c>
      <c r="D31" s="7">
        <v>52</v>
      </c>
      <c r="E31" s="6">
        <f>IF(C31=0, (B31/D31), C31/D31)</f>
        <v>75961.538461538468</v>
      </c>
      <c r="F31" s="6">
        <f>C31*0.04</f>
        <v>158000</v>
      </c>
      <c r="G31" s="6">
        <f>F31-5</f>
        <v>157995</v>
      </c>
      <c r="H31" s="6">
        <f>(G31)*0.9</f>
        <v>142195.5</v>
      </c>
      <c r="I31" s="6">
        <f ca="1">IF(B31&lt;=TODAY(),Table1[[#This Row],[SPLIT]],0)</f>
        <v>142195.5</v>
      </c>
      <c r="J31" s="6">
        <f t="shared" si="1"/>
        <v>367404.30000000005</v>
      </c>
      <c r="K31" s="6" t="str">
        <f t="shared" ca="1" si="2"/>
        <v/>
      </c>
      <c r="L31" s="8">
        <f>IF(Table1[[#This Row],[PRODUCT]]="APT",Table1[[#This Row],[SIZE]],"")</f>
        <v>52</v>
      </c>
      <c r="M31" s="8">
        <f>YEAR(Table1[[#This Row],[SALE DATE]])</f>
        <v>2014</v>
      </c>
      <c r="N31" s="9" t="s">
        <v>15</v>
      </c>
      <c r="O31" s="8"/>
      <c r="P31" s="8"/>
    </row>
    <row r="32" spans="1:16" x14ac:dyDescent="0.3">
      <c r="A32" s="4" t="s">
        <v>48</v>
      </c>
      <c r="B32" s="5">
        <v>41810</v>
      </c>
      <c r="C32" s="6">
        <v>681500</v>
      </c>
      <c r="D32" s="7">
        <v>12</v>
      </c>
      <c r="E32" s="6">
        <f>IF(C32=0, (B32/D32), C32/D32)</f>
        <v>56791.666666666664</v>
      </c>
      <c r="F32" s="6">
        <f>C32*0</f>
        <v>0</v>
      </c>
      <c r="G32" s="6">
        <f>F32*0.5</f>
        <v>0</v>
      </c>
      <c r="H32" s="6">
        <f>G32*0.9</f>
        <v>0</v>
      </c>
      <c r="I32" s="6">
        <f ca="1">IF(B32&lt;=TODAY(),Table1[[#This Row],[SPLIT]],0)</f>
        <v>0</v>
      </c>
      <c r="J32" s="6">
        <f t="shared" si="1"/>
        <v>367404.30000000005</v>
      </c>
      <c r="K32" s="6" t="str">
        <f t="shared" ca="1" si="2"/>
        <v/>
      </c>
      <c r="L32" s="8">
        <f>IF(Table1[[#This Row],[PRODUCT]]="APT",Table1[[#This Row],[SIZE]],"")</f>
        <v>12</v>
      </c>
      <c r="M32" s="8">
        <f>YEAR(Table1[[#This Row],[SALE DATE]])</f>
        <v>2014</v>
      </c>
      <c r="N32" s="9" t="s">
        <v>15</v>
      </c>
      <c r="O32" s="8"/>
      <c r="P32" s="8"/>
    </row>
    <row r="33" spans="1:16" x14ac:dyDescent="0.3">
      <c r="A33" s="4" t="s">
        <v>49</v>
      </c>
      <c r="B33" s="5">
        <v>41810</v>
      </c>
      <c r="C33" s="6">
        <v>295000</v>
      </c>
      <c r="D33" s="7">
        <v>3</v>
      </c>
      <c r="E33" s="6">
        <f>IF(C33=0, (B33/D33), C33/D33)</f>
        <v>98333.333333333328</v>
      </c>
      <c r="F33" s="6">
        <f>C33*0.06</f>
        <v>17700</v>
      </c>
      <c r="G33" s="6">
        <f>F33*0.5*0.6</f>
        <v>5310</v>
      </c>
      <c r="H33" s="6">
        <f>(G33)*0.9</f>
        <v>4779</v>
      </c>
      <c r="I33" s="6">
        <f ca="1">IF(B33&lt;=TODAY(),Table1[[#This Row],[SPLIT]],0)</f>
        <v>4779</v>
      </c>
      <c r="J33" s="6">
        <f t="shared" si="1"/>
        <v>367404.30000000005</v>
      </c>
      <c r="K33" s="6" t="str">
        <f t="shared" ca="1" si="2"/>
        <v/>
      </c>
      <c r="L33" s="8">
        <f>IF(Table1[[#This Row],[PRODUCT]]="APT",Table1[[#This Row],[SIZE]],"")</f>
        <v>3</v>
      </c>
      <c r="M33" s="8">
        <f>YEAR(Table1[[#This Row],[SALE DATE]])</f>
        <v>2014</v>
      </c>
      <c r="N33" s="9" t="s">
        <v>15</v>
      </c>
      <c r="O33" s="8"/>
      <c r="P33" s="8"/>
    </row>
    <row r="34" spans="1:16" x14ac:dyDescent="0.3">
      <c r="A34" s="4" t="s">
        <v>50</v>
      </c>
      <c r="B34" s="5">
        <v>41820</v>
      </c>
      <c r="C34" s="6">
        <v>2810000</v>
      </c>
      <c r="D34" s="7">
        <v>22</v>
      </c>
      <c r="E34" s="6">
        <f>IF(C34=0, (B34/D34), C34/D34)</f>
        <v>127727.27272727272</v>
      </c>
      <c r="F34" s="6">
        <f>C34*0.04</f>
        <v>112400</v>
      </c>
      <c r="G34" s="6">
        <f>F34*0.5</f>
        <v>56200</v>
      </c>
      <c r="H34" s="6">
        <f>(G34)*0.9-5</f>
        <v>50575</v>
      </c>
      <c r="I34" s="6">
        <f ca="1">IF(B34&lt;=TODAY(),Table1[[#This Row],[SPLIT]],0)</f>
        <v>50575</v>
      </c>
      <c r="J34" s="6">
        <f t="shared" ref="J34:J65" si="3">SUMIFS(H:H, B:B,"&gt;=" &amp; DATE(M34,1,1), B:B, "&lt;="&amp;DATE(M34,12,31))</f>
        <v>367404.30000000005</v>
      </c>
      <c r="K34" s="6" t="str">
        <f t="shared" ref="K34:K65" ca="1" si="4">IF(B34&gt;DATE((YEAR(TODAY())-1),12,31), J34-(SUMIFS(H:H, B:B,"&gt;=" &amp; DATE(M34,1,1), B:B, "&lt;="&amp;TODAY())),"")</f>
        <v/>
      </c>
      <c r="L34" s="8">
        <f>IF(Table1[[#This Row],[PRODUCT]]="APT",Table1[[#This Row],[SIZE]],"")</f>
        <v>22</v>
      </c>
      <c r="M34" s="8">
        <f>YEAR(Table1[[#This Row],[SALE DATE]])</f>
        <v>2014</v>
      </c>
      <c r="N34" s="9" t="s">
        <v>15</v>
      </c>
      <c r="O34" s="8"/>
      <c r="P34" s="8"/>
    </row>
    <row r="35" spans="1:16" x14ac:dyDescent="0.3">
      <c r="A35" s="4" t="s">
        <v>51</v>
      </c>
      <c r="B35" s="5">
        <v>41841</v>
      </c>
      <c r="C35" s="6">
        <v>830000</v>
      </c>
      <c r="D35" s="7">
        <v>10</v>
      </c>
      <c r="E35" s="6">
        <f>IF(C35=0, (B35/D35), C35/D35)</f>
        <v>83000</v>
      </c>
      <c r="F35" s="6">
        <f>C35*0.03012</f>
        <v>24999.600000000002</v>
      </c>
      <c r="G35" s="6">
        <f>F35</f>
        <v>24999.600000000002</v>
      </c>
      <c r="H35" s="6">
        <f>(G35*0.9)-4.5</f>
        <v>22495.140000000003</v>
      </c>
      <c r="I35" s="6">
        <f ca="1">IF(B35&lt;=TODAY(),Table1[[#This Row],[SPLIT]],0)</f>
        <v>22495.140000000003</v>
      </c>
      <c r="J35" s="6">
        <f t="shared" si="3"/>
        <v>367404.30000000005</v>
      </c>
      <c r="K35" s="6" t="str">
        <f t="shared" ca="1" si="4"/>
        <v/>
      </c>
      <c r="L35" s="8">
        <f>IF(Table1[[#This Row],[PRODUCT]]="APT",Table1[[#This Row],[SIZE]],"")</f>
        <v>10</v>
      </c>
      <c r="M35" s="8">
        <f>YEAR(Table1[[#This Row],[SALE DATE]])</f>
        <v>2014</v>
      </c>
      <c r="N35" s="9" t="s">
        <v>15</v>
      </c>
      <c r="O35" s="8"/>
      <c r="P35" s="8"/>
    </row>
    <row r="36" spans="1:16" x14ac:dyDescent="0.3">
      <c r="A36" s="4" t="s">
        <v>52</v>
      </c>
      <c r="B36" s="5">
        <v>41845</v>
      </c>
      <c r="C36" s="6">
        <v>125000</v>
      </c>
      <c r="D36" s="7">
        <v>7200</v>
      </c>
      <c r="E36" s="6">
        <f>C36/D36</f>
        <v>17.361111111111111</v>
      </c>
      <c r="F36" s="6">
        <f>C36*0.07</f>
        <v>8750</v>
      </c>
      <c r="G36" s="6">
        <f>F36*0.25</f>
        <v>2187.5</v>
      </c>
      <c r="H36" s="6">
        <f>(G36*0.9)-2.5</f>
        <v>1966.25</v>
      </c>
      <c r="I36" s="6">
        <f ca="1">IF(B36&lt;=TODAY(),Table1[[#This Row],[SPLIT]],0)</f>
        <v>1966.25</v>
      </c>
      <c r="J36" s="6">
        <f t="shared" si="3"/>
        <v>367404.30000000005</v>
      </c>
      <c r="K36" s="6" t="str">
        <f t="shared" ca="1" si="4"/>
        <v/>
      </c>
      <c r="L36" s="8" t="str">
        <f>IF(Table1[[#This Row],[PRODUCT]]="APT",Table1[[#This Row],[SIZE]],"")</f>
        <v/>
      </c>
      <c r="M36" s="8">
        <f>YEAR(Table1[[#This Row],[SALE DATE]])</f>
        <v>2014</v>
      </c>
      <c r="N36" s="9" t="s">
        <v>46</v>
      </c>
      <c r="O36" s="8"/>
      <c r="P36" s="8"/>
    </row>
    <row r="37" spans="1:16" x14ac:dyDescent="0.3">
      <c r="A37" s="4" t="s">
        <v>53</v>
      </c>
      <c r="B37" s="5">
        <v>41848</v>
      </c>
      <c r="C37" s="6">
        <v>0</v>
      </c>
      <c r="D37" s="7">
        <v>0</v>
      </c>
      <c r="E37" s="6" t="e">
        <f>IF(C37=0, (B37/D37), C37/D37)</f>
        <v>#DIV/0!</v>
      </c>
      <c r="F37" s="6">
        <v>4680</v>
      </c>
      <c r="G37" s="6">
        <f>F37</f>
        <v>4680</v>
      </c>
      <c r="H37" s="6">
        <f>(G37)*0.9</f>
        <v>4212</v>
      </c>
      <c r="I37" s="6">
        <f ca="1">IF(B37&lt;=TODAY(),Table1[[#This Row],[SPLIT]],0)</f>
        <v>4212</v>
      </c>
      <c r="J37" s="6">
        <f t="shared" si="3"/>
        <v>367404.30000000005</v>
      </c>
      <c r="K37" s="6" t="str">
        <f t="shared" ca="1" si="4"/>
        <v/>
      </c>
      <c r="L37" s="8">
        <f>IF(Table1[[#This Row],[PRODUCT]]="APT",Table1[[#This Row],[SIZE]],"")</f>
        <v>0</v>
      </c>
      <c r="M37" s="8">
        <f>YEAR(Table1[[#This Row],[SALE DATE]])</f>
        <v>2014</v>
      </c>
      <c r="N37" s="9" t="s">
        <v>15</v>
      </c>
      <c r="O37" s="8"/>
      <c r="P37" s="8"/>
    </row>
    <row r="38" spans="1:16" x14ac:dyDescent="0.3">
      <c r="A38" s="4" t="s">
        <v>54</v>
      </c>
      <c r="B38" s="5">
        <v>41855</v>
      </c>
      <c r="C38" s="6">
        <v>432000</v>
      </c>
      <c r="D38" s="7">
        <v>8</v>
      </c>
      <c r="E38" s="6">
        <f>IF(C38=0, (B38/D38), C38/D38)</f>
        <v>54000</v>
      </c>
      <c r="F38" s="6">
        <f>C38*0.04</f>
        <v>17280</v>
      </c>
      <c r="G38" s="6">
        <f>F38</f>
        <v>17280</v>
      </c>
      <c r="H38" s="6">
        <f>(G38)*0.9</f>
        <v>15552</v>
      </c>
      <c r="I38" s="6">
        <f ca="1">IF(B38&lt;=TODAY(),Table1[[#This Row],[SPLIT]],0)</f>
        <v>15552</v>
      </c>
      <c r="J38" s="6">
        <f t="shared" si="3"/>
        <v>367404.30000000005</v>
      </c>
      <c r="K38" s="6" t="str">
        <f t="shared" ca="1" si="4"/>
        <v/>
      </c>
      <c r="L38" s="8">
        <f>IF(Table1[[#This Row],[PRODUCT]]="APT",Table1[[#This Row],[SIZE]],"")</f>
        <v>8</v>
      </c>
      <c r="M38" s="8">
        <f>YEAR(Table1[[#This Row],[SALE DATE]])</f>
        <v>2014</v>
      </c>
      <c r="N38" s="9" t="s">
        <v>15</v>
      </c>
      <c r="O38" s="8"/>
      <c r="P38" s="8"/>
    </row>
    <row r="39" spans="1:16" x14ac:dyDescent="0.3">
      <c r="A39" s="4" t="s">
        <v>55</v>
      </c>
      <c r="B39" s="5">
        <v>41871</v>
      </c>
      <c r="C39" s="6">
        <v>470000</v>
      </c>
      <c r="D39" s="7">
        <v>7</v>
      </c>
      <c r="E39" s="6">
        <f>IF(C39=0, (B39/D39), C39/D39)</f>
        <v>67142.857142857145</v>
      </c>
      <c r="F39" s="6">
        <f>C39*0.06</f>
        <v>28200</v>
      </c>
      <c r="G39" s="6">
        <f>F39*0.25</f>
        <v>7050</v>
      </c>
      <c r="H39" s="6">
        <f>(G39*0.9)-195.3</f>
        <v>6149.7</v>
      </c>
      <c r="I39" s="6">
        <f ca="1">IF(B39&lt;=TODAY(),Table1[[#This Row],[SPLIT]],0)</f>
        <v>6149.7</v>
      </c>
      <c r="J39" s="6">
        <f t="shared" si="3"/>
        <v>367404.30000000005</v>
      </c>
      <c r="K39" s="6" t="str">
        <f t="shared" ca="1" si="4"/>
        <v/>
      </c>
      <c r="L39" s="8">
        <f>IF(Table1[[#This Row],[PRODUCT]]="APT",Table1[[#This Row],[SIZE]],"")</f>
        <v>7</v>
      </c>
      <c r="M39" s="8">
        <f>YEAR(Table1[[#This Row],[SALE DATE]])</f>
        <v>2014</v>
      </c>
      <c r="N39" s="9" t="s">
        <v>15</v>
      </c>
      <c r="O39" s="8"/>
      <c r="P39" s="8"/>
    </row>
    <row r="40" spans="1:16" x14ac:dyDescent="0.3">
      <c r="A40" s="4" t="s">
        <v>56</v>
      </c>
      <c r="B40" s="5">
        <v>41955</v>
      </c>
      <c r="C40" s="6">
        <v>2750000</v>
      </c>
      <c r="D40" s="7">
        <v>11158</v>
      </c>
      <c r="E40" s="6">
        <f>C40/D40</f>
        <v>246.4599390571787</v>
      </c>
      <c r="F40" s="6">
        <f>C40*0.06</f>
        <v>165000</v>
      </c>
      <c r="G40" s="6">
        <f>F40*0.25</f>
        <v>41250</v>
      </c>
      <c r="H40" s="6">
        <f>(G40*0.9)-1.5</f>
        <v>37123.5</v>
      </c>
      <c r="I40" s="6">
        <f ca="1">IF(B40&lt;=TODAY(),Table1[[#This Row],[SPLIT]],0)</f>
        <v>37123.5</v>
      </c>
      <c r="J40" s="6">
        <f t="shared" si="3"/>
        <v>367404.30000000005</v>
      </c>
      <c r="K40" s="6" t="str">
        <f t="shared" ca="1" si="4"/>
        <v/>
      </c>
      <c r="L40" s="8" t="str">
        <f>IF(Table1[[#This Row],[PRODUCT]]="APT",Table1[[#This Row],[SIZE]],"")</f>
        <v/>
      </c>
      <c r="M40" s="8">
        <f>YEAR(Table1[[#This Row],[SALE DATE]])</f>
        <v>2014</v>
      </c>
      <c r="N40" s="9" t="s">
        <v>21</v>
      </c>
      <c r="O40" s="8"/>
      <c r="P40" s="8"/>
    </row>
    <row r="41" spans="1:16" x14ac:dyDescent="0.3">
      <c r="A41" s="4" t="s">
        <v>57</v>
      </c>
      <c r="B41" s="5">
        <v>42003</v>
      </c>
      <c r="C41" s="6">
        <v>775000</v>
      </c>
      <c r="D41" s="7">
        <v>12</v>
      </c>
      <c r="E41" s="6">
        <f>IF(C41=0, (B41/D41), C41/D41)</f>
        <v>64583.333333333336</v>
      </c>
      <c r="F41" s="6">
        <f>C41*0.06</f>
        <v>46500</v>
      </c>
      <c r="G41" s="6">
        <f>F41/2</f>
        <v>23250</v>
      </c>
      <c r="H41" s="6">
        <f>(G41)*0.9</f>
        <v>20925</v>
      </c>
      <c r="I41" s="6">
        <f ca="1">IF(B41&lt;=TODAY(),Table1[[#This Row],[SPLIT]],0)</f>
        <v>20925</v>
      </c>
      <c r="J41" s="6">
        <f t="shared" si="3"/>
        <v>367404.30000000005</v>
      </c>
      <c r="K41" s="6" t="str">
        <f t="shared" ca="1" si="4"/>
        <v/>
      </c>
      <c r="L41" s="8">
        <f>IF(Table1[[#This Row],[PRODUCT]]="APT",Table1[[#This Row],[SIZE]],"")</f>
        <v>12</v>
      </c>
      <c r="M41" s="8">
        <f>YEAR(Table1[[#This Row],[SALE DATE]])</f>
        <v>2014</v>
      </c>
      <c r="N41" s="9" t="s">
        <v>15</v>
      </c>
      <c r="O41" s="8"/>
      <c r="P41" s="8"/>
    </row>
    <row r="42" spans="1:16" x14ac:dyDescent="0.3">
      <c r="A42" s="4" t="s">
        <v>58</v>
      </c>
      <c r="B42" s="5">
        <v>42009</v>
      </c>
      <c r="C42" s="6">
        <v>715000</v>
      </c>
      <c r="D42" s="7">
        <v>8</v>
      </c>
      <c r="E42" s="6">
        <f>IF(C42=0, (B42/D42), C42/D42)</f>
        <v>89375</v>
      </c>
      <c r="F42" s="6">
        <f>C42*0.015</f>
        <v>10725</v>
      </c>
      <c r="G42" s="6">
        <f>F42</f>
        <v>10725</v>
      </c>
      <c r="H42" s="6">
        <f>(G42)</f>
        <v>10725</v>
      </c>
      <c r="I42" s="6">
        <f ca="1">IF(B42&lt;=TODAY(),Table1[[#This Row],[SPLIT]],0)</f>
        <v>10725</v>
      </c>
      <c r="J42" s="6">
        <f t="shared" si="3"/>
        <v>104971.25</v>
      </c>
      <c r="K42" s="6" t="str">
        <f t="shared" ca="1" si="4"/>
        <v/>
      </c>
      <c r="L42" s="8">
        <f>IF(Table1[[#This Row],[PRODUCT]]="APT",Table1[[#This Row],[SIZE]],"")</f>
        <v>8</v>
      </c>
      <c r="M42" s="8">
        <f>YEAR(Table1[[#This Row],[SALE DATE]])</f>
        <v>2015</v>
      </c>
      <c r="N42" s="9" t="s">
        <v>15</v>
      </c>
      <c r="O42" s="8"/>
      <c r="P42" s="8"/>
    </row>
    <row r="43" spans="1:16" x14ac:dyDescent="0.3">
      <c r="A43" s="4" t="s">
        <v>59</v>
      </c>
      <c r="B43" s="5">
        <v>42086</v>
      </c>
      <c r="C43" s="6">
        <v>735000</v>
      </c>
      <c r="D43" s="7">
        <v>8</v>
      </c>
      <c r="E43" s="6">
        <f>IF(C43=0, (B43/D43), C43/D43)</f>
        <v>91875</v>
      </c>
      <c r="F43" s="6">
        <f>C43*0.05</f>
        <v>36750</v>
      </c>
      <c r="G43" s="6">
        <f>F43</f>
        <v>36750</v>
      </c>
      <c r="H43" s="6">
        <f>(G43)*0.9</f>
        <v>33075</v>
      </c>
      <c r="I43" s="6">
        <f ca="1">IF(B43&lt;=TODAY(),Table1[[#This Row],[SPLIT]],0)</f>
        <v>33075</v>
      </c>
      <c r="J43" s="6">
        <f t="shared" si="3"/>
        <v>104971.25</v>
      </c>
      <c r="K43" s="6" t="str">
        <f t="shared" ca="1" si="4"/>
        <v/>
      </c>
      <c r="L43" s="8">
        <f>IF(Table1[[#This Row],[PRODUCT]]="APT",Table1[[#This Row],[SIZE]],"")</f>
        <v>8</v>
      </c>
      <c r="M43" s="8">
        <f>YEAR(Table1[[#This Row],[SALE DATE]])</f>
        <v>2015</v>
      </c>
      <c r="N43" s="9" t="s">
        <v>15</v>
      </c>
      <c r="O43" s="8"/>
      <c r="P43" s="8"/>
    </row>
    <row r="44" spans="1:16" x14ac:dyDescent="0.3">
      <c r="A44" s="4" t="s">
        <v>60</v>
      </c>
      <c r="B44" s="5">
        <v>42192</v>
      </c>
      <c r="C44" s="6">
        <v>1525000</v>
      </c>
      <c r="D44" s="7">
        <v>20</v>
      </c>
      <c r="E44" s="6">
        <f>IF(C44=0, (B44/D44), C44/D44)</f>
        <v>76250</v>
      </c>
      <c r="F44" s="6">
        <f>C44*0.06</f>
        <v>91500</v>
      </c>
      <c r="G44" s="6">
        <f>((F44/2)*0.9)-5</f>
        <v>41170</v>
      </c>
      <c r="H44" s="6">
        <f>(G44)*0.8</f>
        <v>32936</v>
      </c>
      <c r="I44" s="6">
        <f ca="1">IF(B44&lt;=TODAY(),Table1[[#This Row],[SPLIT]],0)</f>
        <v>32936</v>
      </c>
      <c r="J44" s="6">
        <f t="shared" si="3"/>
        <v>104971.25</v>
      </c>
      <c r="K44" s="6" t="str">
        <f t="shared" ca="1" si="4"/>
        <v/>
      </c>
      <c r="L44" s="8">
        <f>IF(Table1[[#This Row],[PRODUCT]]="APT",Table1[[#This Row],[SIZE]],"")</f>
        <v>20</v>
      </c>
      <c r="M44" s="8">
        <f>YEAR(Table1[[#This Row],[SALE DATE]])</f>
        <v>2015</v>
      </c>
      <c r="N44" s="9" t="s">
        <v>15</v>
      </c>
      <c r="O44" s="8"/>
      <c r="P44" s="8"/>
    </row>
    <row r="45" spans="1:16" x14ac:dyDescent="0.3">
      <c r="A45" s="4" t="s">
        <v>61</v>
      </c>
      <c r="B45" s="5">
        <v>42192</v>
      </c>
      <c r="C45" s="6">
        <v>850000</v>
      </c>
      <c r="D45" s="7">
        <v>10</v>
      </c>
      <c r="E45" s="6">
        <f>IF(C45=0, (B45/D45), C45/D45)</f>
        <v>85000</v>
      </c>
      <c r="F45" s="6">
        <f>(C45)*0.07</f>
        <v>59500.000000000007</v>
      </c>
      <c r="G45" s="6">
        <f>(F45/4)-2.5</f>
        <v>14872.500000000002</v>
      </c>
      <c r="H45" s="6">
        <f>(G45)*0.9</f>
        <v>13385.250000000002</v>
      </c>
      <c r="I45" s="6">
        <f ca="1">IF(B45&lt;=TODAY(),Table1[[#This Row],[SPLIT]],0)</f>
        <v>13385.250000000002</v>
      </c>
      <c r="J45" s="6">
        <f t="shared" si="3"/>
        <v>104971.25</v>
      </c>
      <c r="K45" s="6" t="str">
        <f t="shared" ca="1" si="4"/>
        <v/>
      </c>
      <c r="L45" s="8">
        <f>IF(Table1[[#This Row],[PRODUCT]]="APT",Table1[[#This Row],[SIZE]],"")</f>
        <v>10</v>
      </c>
      <c r="M45" s="8">
        <f>YEAR(Table1[[#This Row],[SALE DATE]])</f>
        <v>2015</v>
      </c>
      <c r="N45" s="9" t="s">
        <v>15</v>
      </c>
      <c r="O45" s="8"/>
      <c r="P45" s="8"/>
    </row>
    <row r="46" spans="1:16" x14ac:dyDescent="0.3">
      <c r="A46" s="4" t="s">
        <v>62</v>
      </c>
      <c r="B46" s="5">
        <v>42207</v>
      </c>
      <c r="C46" s="6">
        <v>1650000</v>
      </c>
      <c r="D46" s="7">
        <v>28880</v>
      </c>
      <c r="E46" s="6">
        <f>C46/D46</f>
        <v>57.13296398891967</v>
      </c>
      <c r="F46" s="6">
        <f>C46*0.06</f>
        <v>99000</v>
      </c>
      <c r="G46" s="6">
        <f>(F46*0.5)/3</f>
        <v>16500</v>
      </c>
      <c r="H46" s="6">
        <f>(G46)*0.9</f>
        <v>14850</v>
      </c>
      <c r="I46" s="6">
        <f ca="1">IF(B46&lt;=TODAY(),Table1[[#This Row],[SPLIT]],0)</f>
        <v>14850</v>
      </c>
      <c r="J46" s="6">
        <f t="shared" si="3"/>
        <v>104971.25</v>
      </c>
      <c r="K46" s="6" t="str">
        <f t="shared" ca="1" si="4"/>
        <v/>
      </c>
      <c r="L46" s="8" t="str">
        <f>IF(Table1[[#This Row],[PRODUCT]]="APT",Table1[[#This Row],[SIZE]],"")</f>
        <v/>
      </c>
      <c r="M46" s="8">
        <f>YEAR(Table1[[#This Row],[SALE DATE]])</f>
        <v>2015</v>
      </c>
      <c r="N46" s="9" t="s">
        <v>21</v>
      </c>
      <c r="O46" s="8"/>
      <c r="P46" s="8"/>
    </row>
    <row r="47" spans="1:16" x14ac:dyDescent="0.3">
      <c r="A47" s="4" t="s">
        <v>63</v>
      </c>
      <c r="B47" s="5">
        <v>42398</v>
      </c>
      <c r="C47" s="6">
        <v>1795000</v>
      </c>
      <c r="D47" s="7">
        <v>24</v>
      </c>
      <c r="E47" s="6">
        <f>IF(C47=0, (B47/D47), C47/D47)</f>
        <v>74791.666666666672</v>
      </c>
      <c r="F47" s="6">
        <v>77250</v>
      </c>
      <c r="G47" s="6">
        <f>F47</f>
        <v>77250</v>
      </c>
      <c r="H47" s="6">
        <f>IF(A47="",0,G47*0.9)</f>
        <v>69525</v>
      </c>
      <c r="I47" s="6">
        <f ca="1">IF(B47&lt;=TODAY(),Table1[[#This Row],[SPLIT]],0)</f>
        <v>69525</v>
      </c>
      <c r="J47" s="6">
        <f t="shared" si="3"/>
        <v>356337.44467500004</v>
      </c>
      <c r="K47" s="6" t="str">
        <f t="shared" ca="1" si="4"/>
        <v/>
      </c>
      <c r="L47" s="8">
        <f>IF(Table1[[#This Row],[PRODUCT]]="APT",Table1[[#This Row],[SIZE]],"")</f>
        <v>24</v>
      </c>
      <c r="M47" s="8">
        <f>YEAR(Table1[[#This Row],[SALE DATE]])</f>
        <v>2016</v>
      </c>
      <c r="N47" s="9" t="s">
        <v>15</v>
      </c>
      <c r="O47" s="8"/>
      <c r="P47" s="8"/>
    </row>
    <row r="48" spans="1:16" x14ac:dyDescent="0.3">
      <c r="A48" s="4" t="s">
        <v>20</v>
      </c>
      <c r="B48" s="5">
        <v>42491</v>
      </c>
      <c r="C48" s="6">
        <v>234819</v>
      </c>
      <c r="D48" s="7">
        <v>2856</v>
      </c>
      <c r="E48" s="6">
        <f>C48/D48</f>
        <v>82.219537815126046</v>
      </c>
      <c r="F48" s="6">
        <v>14101.49</v>
      </c>
      <c r="G48" s="6">
        <f>(F48*0.5)*0.35</f>
        <v>2467.7607499999999</v>
      </c>
      <c r="H48" s="6">
        <f>IF(A48="",0,G48*0.9)</f>
        <v>2220.9846750000002</v>
      </c>
      <c r="I48" s="6">
        <f ca="1">IF(B48&lt;=TODAY(),Table1[[#This Row],[SPLIT]],0)</f>
        <v>2220.9846750000002</v>
      </c>
      <c r="J48" s="6">
        <f t="shared" si="3"/>
        <v>356337.44467500004</v>
      </c>
      <c r="K48" s="6" t="str">
        <f t="shared" ca="1" si="4"/>
        <v/>
      </c>
      <c r="L48" s="8" t="str">
        <f>IF(Table1[[#This Row],[PRODUCT]]="APT",Table1[[#This Row],[SIZE]],"")</f>
        <v/>
      </c>
      <c r="M48" s="8">
        <f>YEAR(Table1[[#This Row],[SALE DATE]])</f>
        <v>2016</v>
      </c>
      <c r="N48" s="9" t="s">
        <v>21</v>
      </c>
      <c r="O48" s="8"/>
      <c r="P48" s="8"/>
    </row>
    <row r="49" spans="1:16" x14ac:dyDescent="0.3">
      <c r="A49" s="4" t="s">
        <v>64</v>
      </c>
      <c r="B49" s="5">
        <v>42493</v>
      </c>
      <c r="C49" s="6">
        <v>2100000</v>
      </c>
      <c r="D49" s="7">
        <v>6356</v>
      </c>
      <c r="E49" s="6">
        <f>C49/D49</f>
        <v>330.39647577092512</v>
      </c>
      <c r="F49" s="6">
        <f>C49*0.04</f>
        <v>84000</v>
      </c>
      <c r="G49" s="6">
        <f>F49*0.9</f>
        <v>75600</v>
      </c>
      <c r="H49" s="6">
        <f>IF(A49="",0,G49*0.9)</f>
        <v>68040</v>
      </c>
      <c r="I49" s="6">
        <f ca="1">IF(B49&lt;=TODAY(),Table1[[#This Row],[SPLIT]],0)</f>
        <v>68040</v>
      </c>
      <c r="J49" s="6">
        <f t="shared" si="3"/>
        <v>356337.44467500004</v>
      </c>
      <c r="K49" s="6" t="str">
        <f t="shared" ca="1" si="4"/>
        <v/>
      </c>
      <c r="L49" s="8" t="str">
        <f>IF(Table1[[#This Row],[PRODUCT]]="APT",Table1[[#This Row],[SIZE]],"")</f>
        <v/>
      </c>
      <c r="M49" s="8">
        <f>YEAR(Table1[[#This Row],[SALE DATE]])</f>
        <v>2016</v>
      </c>
      <c r="N49" s="9" t="s">
        <v>21</v>
      </c>
      <c r="O49" s="8"/>
      <c r="P49" s="8"/>
    </row>
    <row r="50" spans="1:16" x14ac:dyDescent="0.3">
      <c r="A50" s="4" t="s">
        <v>65</v>
      </c>
      <c r="B50" s="5">
        <v>42522</v>
      </c>
      <c r="C50" s="6">
        <v>30000</v>
      </c>
      <c r="D50" s="7">
        <v>0</v>
      </c>
      <c r="E50" s="6" t="e">
        <f>C50/D50</f>
        <v>#DIV/0!</v>
      </c>
      <c r="F50" s="6">
        <f>C50</f>
        <v>30000</v>
      </c>
      <c r="G50" s="6">
        <v>0</v>
      </c>
      <c r="H50" s="6">
        <f>IF(A50="",0,G50*0.9)</f>
        <v>0</v>
      </c>
      <c r="I50" s="6">
        <f ca="1">IF(B50&lt;=TODAY(),Table1[[#This Row],[SPLIT]],0)</f>
        <v>0</v>
      </c>
      <c r="J50" s="6">
        <f t="shared" si="3"/>
        <v>356337.44467500004</v>
      </c>
      <c r="K50" s="6" t="str">
        <f t="shared" ca="1" si="4"/>
        <v/>
      </c>
      <c r="L50" s="8" t="str">
        <f>IF(Table1[[#This Row],[PRODUCT]]="APT",Table1[[#This Row],[SIZE]],"")</f>
        <v/>
      </c>
      <c r="M50" s="8">
        <f>YEAR(Table1[[#This Row],[SALE DATE]])</f>
        <v>2016</v>
      </c>
      <c r="N50" s="9" t="s">
        <v>66</v>
      </c>
      <c r="O50" s="8"/>
      <c r="P50" s="8"/>
    </row>
    <row r="51" spans="1:16" x14ac:dyDescent="0.3">
      <c r="A51" s="4" t="s">
        <v>67</v>
      </c>
      <c r="B51" s="5">
        <v>42522</v>
      </c>
      <c r="C51" s="6">
        <v>65000</v>
      </c>
      <c r="D51" s="7">
        <v>600</v>
      </c>
      <c r="E51" s="6">
        <f>C51/D51</f>
        <v>108.33333333333333</v>
      </c>
      <c r="F51" s="6">
        <v>1920</v>
      </c>
      <c r="G51" s="6">
        <f>F51*0.5</f>
        <v>960</v>
      </c>
      <c r="H51" s="6">
        <f>IF(A51="",0,G51*0.9)</f>
        <v>864</v>
      </c>
      <c r="I51" s="6">
        <f ca="1">IF(B51&lt;=TODAY(),Table1[[#This Row],[SPLIT]],0)</f>
        <v>864</v>
      </c>
      <c r="J51" s="6">
        <f t="shared" si="3"/>
        <v>356337.44467500004</v>
      </c>
      <c r="K51" s="6" t="str">
        <f t="shared" ca="1" si="4"/>
        <v/>
      </c>
      <c r="L51" s="8" t="str">
        <f>IF(Table1[[#This Row],[PRODUCT]]="APT",Table1[[#This Row],[SIZE]],"")</f>
        <v/>
      </c>
      <c r="M51" s="8">
        <f>YEAR(Table1[[#This Row],[SALE DATE]])</f>
        <v>2016</v>
      </c>
      <c r="N51" s="9" t="s">
        <v>30</v>
      </c>
      <c r="O51" s="8"/>
      <c r="P51" s="8"/>
    </row>
    <row r="52" spans="1:16" x14ac:dyDescent="0.3">
      <c r="A52" s="4" t="s">
        <v>68</v>
      </c>
      <c r="B52" s="5">
        <v>42566</v>
      </c>
      <c r="C52" s="6">
        <v>3425000</v>
      </c>
      <c r="D52" s="7">
        <v>44</v>
      </c>
      <c r="E52" s="6">
        <f>IF(C52=0, (B52/D52), C52/D52)</f>
        <v>77840.909090909088</v>
      </c>
      <c r="F52" s="6">
        <f>C52*0.06</f>
        <v>205500</v>
      </c>
      <c r="G52" s="6">
        <f>(F52/2)-10000</f>
        <v>92750</v>
      </c>
      <c r="H52" s="6">
        <f>IF(A52="",0,G52*0.9)-5</f>
        <v>83470</v>
      </c>
      <c r="I52" s="6">
        <f ca="1">IF(B52&lt;=TODAY(),Table1[[#This Row],[SPLIT]],0)</f>
        <v>83470</v>
      </c>
      <c r="J52" s="6">
        <f t="shared" si="3"/>
        <v>356337.44467500004</v>
      </c>
      <c r="K52" s="6" t="str">
        <f t="shared" ca="1" si="4"/>
        <v/>
      </c>
      <c r="L52" s="8">
        <f>IF(Table1[[#This Row],[PRODUCT]]="APT",Table1[[#This Row],[SIZE]],"")</f>
        <v>44</v>
      </c>
      <c r="M52" s="8">
        <f>YEAR(Table1[[#This Row],[SALE DATE]])</f>
        <v>2016</v>
      </c>
      <c r="N52" s="9" t="s">
        <v>15</v>
      </c>
      <c r="O52" s="8"/>
      <c r="P52" s="8"/>
    </row>
    <row r="53" spans="1:16" x14ac:dyDescent="0.3">
      <c r="A53" s="4" t="s">
        <v>69</v>
      </c>
      <c r="B53" s="5">
        <v>42579</v>
      </c>
      <c r="C53" s="6">
        <v>0</v>
      </c>
      <c r="D53" s="7">
        <v>0</v>
      </c>
      <c r="E53" s="6" t="e">
        <f>C53/D53</f>
        <v>#DIV/0!</v>
      </c>
      <c r="F53" s="6">
        <v>1619.4</v>
      </c>
      <c r="G53" s="6">
        <v>1619.4</v>
      </c>
      <c r="H53" s="6">
        <f>IF(A53="",0,G53*0.9)</f>
        <v>1457.46</v>
      </c>
      <c r="I53" s="6">
        <f ca="1">IF(B53&lt;=TODAY(),Table1[[#This Row],[SPLIT]],0)</f>
        <v>1457.46</v>
      </c>
      <c r="J53" s="6">
        <f t="shared" si="3"/>
        <v>356337.44467500004</v>
      </c>
      <c r="K53" s="6" t="str">
        <f t="shared" ca="1" si="4"/>
        <v/>
      </c>
      <c r="L53" s="8">
        <f>IF(Table1[[#This Row],[PRODUCT]]="APT",Table1[[#This Row],[SIZE]],"")</f>
        <v>0</v>
      </c>
      <c r="M53" s="8">
        <f>YEAR(Table1[[#This Row],[SALE DATE]])</f>
        <v>2016</v>
      </c>
      <c r="N53" s="9" t="s">
        <v>15</v>
      </c>
      <c r="O53" s="8"/>
      <c r="P53" s="8"/>
    </row>
    <row r="54" spans="1:16" x14ac:dyDescent="0.3">
      <c r="A54" s="4" t="s">
        <v>70</v>
      </c>
      <c r="B54" s="5">
        <v>42627</v>
      </c>
      <c r="C54" s="6">
        <v>310000</v>
      </c>
      <c r="D54" s="7">
        <v>2</v>
      </c>
      <c r="E54" s="6">
        <f>IF(C54=0, (B54/D54), C54/D54)</f>
        <v>155000</v>
      </c>
      <c r="F54" s="6">
        <f>C54*0.06</f>
        <v>18600</v>
      </c>
      <c r="G54" s="6">
        <f>F54/2</f>
        <v>9300</v>
      </c>
      <c r="H54" s="6">
        <f>IF(A54="",0,G54*0.9)-5</f>
        <v>8365</v>
      </c>
      <c r="I54" s="6">
        <f ca="1">IF(B54&lt;=TODAY(),Table1[[#This Row],[SPLIT]],0)</f>
        <v>8365</v>
      </c>
      <c r="J54" s="6">
        <f t="shared" si="3"/>
        <v>356337.44467500004</v>
      </c>
      <c r="K54" s="6" t="str">
        <f t="shared" ca="1" si="4"/>
        <v/>
      </c>
      <c r="L54" s="8">
        <f>IF(Table1[[#This Row],[PRODUCT]]="APT",Table1[[#This Row],[SIZE]],"")</f>
        <v>2</v>
      </c>
      <c r="M54" s="8">
        <f>YEAR(Table1[[#This Row],[SALE DATE]])</f>
        <v>2016</v>
      </c>
      <c r="N54" s="9" t="s">
        <v>15</v>
      </c>
      <c r="O54" s="8"/>
      <c r="P54" s="8"/>
    </row>
    <row r="55" spans="1:16" x14ac:dyDescent="0.3">
      <c r="A55" s="4" t="s">
        <v>71</v>
      </c>
      <c r="B55" s="5">
        <v>42648</v>
      </c>
      <c r="C55" s="6">
        <v>3400000</v>
      </c>
      <c r="D55" s="7">
        <v>36</v>
      </c>
      <c r="E55" s="6">
        <f>IF(C55=0, (B55/D55), C55/D55)</f>
        <v>94444.444444444438</v>
      </c>
      <c r="F55" s="6">
        <f>C55*0.04</f>
        <v>136000</v>
      </c>
      <c r="G55" s="6">
        <f>F55</f>
        <v>136000</v>
      </c>
      <c r="H55" s="6">
        <f>IF(A55="",0,G55*0.9)-5</f>
        <v>122395</v>
      </c>
      <c r="I55" s="6">
        <f ca="1">IF(B55&lt;=TODAY(),Table1[[#This Row],[SPLIT]],0)</f>
        <v>122395</v>
      </c>
      <c r="J55" s="6">
        <f t="shared" si="3"/>
        <v>356337.44467500004</v>
      </c>
      <c r="K55" s="6" t="str">
        <f t="shared" ca="1" si="4"/>
        <v/>
      </c>
      <c r="L55" s="8">
        <f>IF(Table1[[#This Row],[PRODUCT]]="APT",Table1[[#This Row],[SIZE]],"")</f>
        <v>36</v>
      </c>
      <c r="M55" s="8">
        <f>YEAR(Table1[[#This Row],[SALE DATE]])</f>
        <v>2016</v>
      </c>
      <c r="N55" s="9" t="s">
        <v>15</v>
      </c>
      <c r="O55" s="8"/>
      <c r="P55" s="8"/>
    </row>
    <row r="56" spans="1:16" x14ac:dyDescent="0.3">
      <c r="A56" s="4" t="s">
        <v>72</v>
      </c>
      <c r="B56" s="5">
        <v>42766</v>
      </c>
      <c r="C56" s="6">
        <v>1000000</v>
      </c>
      <c r="D56" s="7">
        <v>0</v>
      </c>
      <c r="E56" s="6" t="e">
        <f>C56/D56</f>
        <v>#DIV/0!</v>
      </c>
      <c r="F56" s="6">
        <f>C56*0.07</f>
        <v>70000</v>
      </c>
      <c r="G56" s="6">
        <f>(F56-7000)*0.5</f>
        <v>31500</v>
      </c>
      <c r="H56" s="6">
        <f>IF(A56="",0,G56*0.9)</f>
        <v>28350</v>
      </c>
      <c r="I56" s="6">
        <f ca="1">IF(B56&lt;=TODAY(),Table1[[#This Row],[SPLIT]],0)</f>
        <v>28350</v>
      </c>
      <c r="J56" s="6">
        <f t="shared" si="3"/>
        <v>371924.1</v>
      </c>
      <c r="K56" s="6" t="str">
        <f t="shared" ca="1" si="4"/>
        <v/>
      </c>
      <c r="L56" s="8" t="str">
        <f>IF(Table1[[#This Row],[PRODUCT]]="APT",Table1[[#This Row],[SIZE]],"")</f>
        <v/>
      </c>
      <c r="M56" s="8">
        <f>YEAR(Table1[[#This Row],[SALE DATE]])</f>
        <v>2017</v>
      </c>
      <c r="N56" s="9" t="s">
        <v>46</v>
      </c>
      <c r="O56" s="8"/>
      <c r="P56" s="8"/>
    </row>
    <row r="57" spans="1:16" x14ac:dyDescent="0.3">
      <c r="A57" s="4" t="s">
        <v>73</v>
      </c>
      <c r="B57" s="5">
        <v>42807</v>
      </c>
      <c r="C57" s="6">
        <v>527000</v>
      </c>
      <c r="D57" s="7">
        <v>4</v>
      </c>
      <c r="E57" s="6">
        <f>IF(C57=0, (B57/D57), C57/D57)</f>
        <v>131750</v>
      </c>
      <c r="F57" s="6">
        <f>C57*0.06</f>
        <v>31620</v>
      </c>
      <c r="G57" s="6">
        <f>((F57/2)-5)*0.8</f>
        <v>12644</v>
      </c>
      <c r="H57" s="6">
        <f>IF(A57="",0,G57*0.9)</f>
        <v>11379.6</v>
      </c>
      <c r="I57" s="6">
        <f ca="1">IF(B57&lt;=TODAY(),Table1[[#This Row],[SPLIT]],0)</f>
        <v>11379.6</v>
      </c>
      <c r="J57" s="6">
        <f t="shared" si="3"/>
        <v>371924.1</v>
      </c>
      <c r="K57" s="6" t="str">
        <f t="shared" ca="1" si="4"/>
        <v/>
      </c>
      <c r="L57" s="8">
        <f>IF(Table1[[#This Row],[PRODUCT]]="APT",Table1[[#This Row],[SIZE]],"")</f>
        <v>4</v>
      </c>
      <c r="M57" s="8">
        <f>YEAR(Table1[[#This Row],[SALE DATE]])</f>
        <v>2017</v>
      </c>
      <c r="N57" s="9" t="s">
        <v>15</v>
      </c>
      <c r="O57" s="8"/>
      <c r="P57" s="8"/>
    </row>
    <row r="58" spans="1:16" x14ac:dyDescent="0.3">
      <c r="A58" s="4" t="s">
        <v>74</v>
      </c>
      <c r="B58" s="5">
        <v>42823</v>
      </c>
      <c r="C58" s="6">
        <v>1900000</v>
      </c>
      <c r="D58" s="7">
        <v>10476</v>
      </c>
      <c r="E58" s="6">
        <f>C58/D58</f>
        <v>181.36693394425353</v>
      </c>
      <c r="F58" s="6">
        <f>C58*0.06</f>
        <v>114000</v>
      </c>
      <c r="G58" s="6">
        <f>((F58*0.5)*0.75)*0.5</f>
        <v>21375</v>
      </c>
      <c r="H58" s="6">
        <f>IF(A58="",0,(G58)*0.9)</f>
        <v>19237.5</v>
      </c>
      <c r="I58" s="6">
        <f ca="1">IF(B58&lt;=TODAY(),Table1[[#This Row],[SPLIT]],0)</f>
        <v>19237.5</v>
      </c>
      <c r="J58" s="6">
        <f t="shared" si="3"/>
        <v>371924.1</v>
      </c>
      <c r="K58" s="6" t="str">
        <f t="shared" ca="1" si="4"/>
        <v/>
      </c>
      <c r="L58" s="8" t="str">
        <f>IF(Table1[[#This Row],[PRODUCT]]="APT",Table1[[#This Row],[SIZE]],"")</f>
        <v/>
      </c>
      <c r="M58" s="8">
        <f>YEAR(Table1[[#This Row],[SALE DATE]])</f>
        <v>2017</v>
      </c>
      <c r="N58" s="9" t="s">
        <v>21</v>
      </c>
      <c r="O58" s="8"/>
      <c r="P58" s="8"/>
    </row>
    <row r="59" spans="1:16" x14ac:dyDescent="0.3">
      <c r="A59" s="4" t="s">
        <v>75</v>
      </c>
      <c r="B59" s="5">
        <v>42853</v>
      </c>
      <c r="C59" s="6">
        <v>405000</v>
      </c>
      <c r="D59" s="7">
        <v>6</v>
      </c>
      <c r="E59" s="6">
        <f>IF(C59=0, (B59/D59), C59/D59)</f>
        <v>67500</v>
      </c>
      <c r="F59" s="6">
        <f>C59*0.05</f>
        <v>20250</v>
      </c>
      <c r="G59" s="6">
        <f>F59</f>
        <v>20250</v>
      </c>
      <c r="H59" s="6">
        <f t="shared" ref="H59:H79" si="5">IF(A59="",0,G59*0.9)</f>
        <v>18225</v>
      </c>
      <c r="I59" s="6">
        <f ca="1">IF(B59&lt;=TODAY(),Table1[[#This Row],[SPLIT]],0)</f>
        <v>18225</v>
      </c>
      <c r="J59" s="6">
        <f t="shared" si="3"/>
        <v>371924.1</v>
      </c>
      <c r="K59" s="6" t="str">
        <f t="shared" ca="1" si="4"/>
        <v/>
      </c>
      <c r="L59" s="8">
        <f>IF(Table1[[#This Row],[PRODUCT]]="APT",Table1[[#This Row],[SIZE]],"")</f>
        <v>6</v>
      </c>
      <c r="M59" s="8">
        <f>YEAR(Table1[[#This Row],[SALE DATE]])</f>
        <v>2017</v>
      </c>
      <c r="N59" s="9" t="s">
        <v>15</v>
      </c>
      <c r="O59" s="8"/>
      <c r="P59" s="8"/>
    </row>
    <row r="60" spans="1:16" x14ac:dyDescent="0.3">
      <c r="A60" s="4" t="s">
        <v>76</v>
      </c>
      <c r="B60" s="5">
        <v>42874</v>
      </c>
      <c r="C60" s="6">
        <v>160000</v>
      </c>
      <c r="D60" s="7"/>
      <c r="E60" s="6" t="e">
        <f>C60/D60</f>
        <v>#DIV/0!</v>
      </c>
      <c r="F60" s="6">
        <f>C60*0.06</f>
        <v>9600</v>
      </c>
      <c r="G60" s="6">
        <f>((F60*0.5)*0.8)*0.5</f>
        <v>1920</v>
      </c>
      <c r="H60" s="6">
        <f t="shared" si="5"/>
        <v>1728</v>
      </c>
      <c r="I60" s="6">
        <f ca="1">IF(B60&lt;=TODAY(),Table1[[#This Row],[SPLIT]],0)</f>
        <v>1728</v>
      </c>
      <c r="J60" s="6">
        <f t="shared" si="3"/>
        <v>371924.1</v>
      </c>
      <c r="K60" s="6" t="str">
        <f t="shared" ca="1" si="4"/>
        <v/>
      </c>
      <c r="L60" s="8" t="str">
        <f>IF(Table1[[#This Row],[PRODUCT]]="APT",Table1[[#This Row],[SIZE]],"")</f>
        <v/>
      </c>
      <c r="M60" s="8">
        <f>YEAR(Table1[[#This Row],[SALE DATE]])</f>
        <v>2017</v>
      </c>
      <c r="N60" s="9" t="s">
        <v>46</v>
      </c>
      <c r="O60" s="8"/>
      <c r="P60" s="8"/>
    </row>
    <row r="61" spans="1:16" x14ac:dyDescent="0.3">
      <c r="A61" s="4" t="s">
        <v>77</v>
      </c>
      <c r="B61" s="5">
        <v>42901</v>
      </c>
      <c r="C61" s="6">
        <v>500000</v>
      </c>
      <c r="D61" s="7">
        <v>4</v>
      </c>
      <c r="E61" s="6">
        <f>IF(C61=0, (B61/D61), C61/D61)</f>
        <v>125000</v>
      </c>
      <c r="F61" s="6">
        <f>C61*0.06</f>
        <v>30000</v>
      </c>
      <c r="G61" s="6">
        <f>F61/2</f>
        <v>15000</v>
      </c>
      <c r="H61" s="6">
        <f t="shared" si="5"/>
        <v>13500</v>
      </c>
      <c r="I61" s="6">
        <f ca="1">IF(B61&lt;=TODAY(),Table1[[#This Row],[SPLIT]],0)</f>
        <v>13500</v>
      </c>
      <c r="J61" s="6">
        <f t="shared" si="3"/>
        <v>371924.1</v>
      </c>
      <c r="K61" s="6" t="str">
        <f t="shared" ca="1" si="4"/>
        <v/>
      </c>
      <c r="L61" s="8">
        <f>IF(Table1[[#This Row],[PRODUCT]]="APT",Table1[[#This Row],[SIZE]],"")</f>
        <v>4</v>
      </c>
      <c r="M61" s="8">
        <f>YEAR(Table1[[#This Row],[SALE DATE]])</f>
        <v>2017</v>
      </c>
      <c r="N61" s="9" t="s">
        <v>15</v>
      </c>
      <c r="O61" s="8"/>
      <c r="P61" s="8"/>
    </row>
    <row r="62" spans="1:16" x14ac:dyDescent="0.3">
      <c r="A62" s="4" t="s">
        <v>78</v>
      </c>
      <c r="B62" s="5">
        <v>42913</v>
      </c>
      <c r="C62" s="6">
        <v>2325000</v>
      </c>
      <c r="D62" s="7">
        <v>15318</v>
      </c>
      <c r="E62" s="6">
        <f>C62/D62</f>
        <v>151.78221699960829</v>
      </c>
      <c r="F62" s="6">
        <f>(C62*0.045)-5</f>
        <v>104620</v>
      </c>
      <c r="G62" s="6">
        <f>F62*0.5</f>
        <v>52310</v>
      </c>
      <c r="H62" s="6">
        <f t="shared" si="5"/>
        <v>47079</v>
      </c>
      <c r="I62" s="6">
        <f ca="1">IF(B62&lt;=TODAY(),Table1[[#This Row],[SPLIT]],0)</f>
        <v>47079</v>
      </c>
      <c r="J62" s="6">
        <f t="shared" si="3"/>
        <v>371924.1</v>
      </c>
      <c r="K62" s="6" t="str">
        <f t="shared" ca="1" si="4"/>
        <v/>
      </c>
      <c r="L62" s="8" t="str">
        <f>IF(Table1[[#This Row],[PRODUCT]]="APT",Table1[[#This Row],[SIZE]],"")</f>
        <v/>
      </c>
      <c r="M62" s="8">
        <f>YEAR(Table1[[#This Row],[SALE DATE]])</f>
        <v>2017</v>
      </c>
      <c r="N62" s="9" t="s">
        <v>79</v>
      </c>
      <c r="O62" s="8"/>
      <c r="P62" s="8"/>
    </row>
    <row r="63" spans="1:16" x14ac:dyDescent="0.3">
      <c r="A63" s="4" t="s">
        <v>80</v>
      </c>
      <c r="B63" s="5">
        <v>42948</v>
      </c>
      <c r="C63" s="6">
        <v>530000</v>
      </c>
      <c r="D63" s="7">
        <v>4</v>
      </c>
      <c r="E63" s="6">
        <f>IF(C63=0, (B63/D63), C63/D63)</f>
        <v>132500</v>
      </c>
      <c r="F63" s="6">
        <f>C63*0.05</f>
        <v>26500</v>
      </c>
      <c r="G63" s="6">
        <f>F63*0.4</f>
        <v>10600</v>
      </c>
      <c r="H63" s="6">
        <f t="shared" si="5"/>
        <v>9540</v>
      </c>
      <c r="I63" s="6">
        <f ca="1">IF(B63&lt;=TODAY(),Table1[[#This Row],[SPLIT]],0)</f>
        <v>9540</v>
      </c>
      <c r="J63" s="6">
        <f t="shared" si="3"/>
        <v>371924.1</v>
      </c>
      <c r="K63" s="6" t="str">
        <f t="shared" ca="1" si="4"/>
        <v/>
      </c>
      <c r="L63" s="8">
        <f>IF(Table1[[#This Row],[PRODUCT]]="APT",Table1[[#This Row],[SIZE]],"")</f>
        <v>4</v>
      </c>
      <c r="M63" s="8">
        <f>YEAR(Table1[[#This Row],[SALE DATE]])</f>
        <v>2017</v>
      </c>
      <c r="N63" s="9" t="s">
        <v>15</v>
      </c>
      <c r="O63" s="8"/>
      <c r="P63" s="8"/>
    </row>
    <row r="64" spans="1:16" x14ac:dyDescent="0.3">
      <c r="A64" s="4" t="s">
        <v>81</v>
      </c>
      <c r="B64" s="5">
        <v>42958</v>
      </c>
      <c r="C64" s="6">
        <v>535000</v>
      </c>
      <c r="D64" s="7">
        <v>4</v>
      </c>
      <c r="E64" s="6">
        <f>IF(C64=0, (B64/D64), C64/D64)</f>
        <v>133750</v>
      </c>
      <c r="F64" s="6">
        <f>C64*0.05</f>
        <v>26750</v>
      </c>
      <c r="G64" s="6">
        <f>F64*0.4</f>
        <v>10700</v>
      </c>
      <c r="H64" s="6">
        <f t="shared" si="5"/>
        <v>9630</v>
      </c>
      <c r="I64" s="6">
        <f ca="1">IF(B64&lt;=TODAY(),Table1[[#This Row],[SPLIT]],0)</f>
        <v>9630</v>
      </c>
      <c r="J64" s="6">
        <f t="shared" si="3"/>
        <v>371924.1</v>
      </c>
      <c r="K64" s="6" t="str">
        <f t="shared" ca="1" si="4"/>
        <v/>
      </c>
      <c r="L64" s="8">
        <f>IF(Table1[[#This Row],[PRODUCT]]="APT",Table1[[#This Row],[SIZE]],"")</f>
        <v>4</v>
      </c>
      <c r="M64" s="8">
        <f>YEAR(Table1[[#This Row],[SALE DATE]])</f>
        <v>2017</v>
      </c>
      <c r="N64" s="9" t="s">
        <v>15</v>
      </c>
      <c r="O64" s="8"/>
      <c r="P64" s="8"/>
    </row>
    <row r="65" spans="1:16" x14ac:dyDescent="0.3">
      <c r="A65" s="4" t="s">
        <v>82</v>
      </c>
      <c r="B65" s="5">
        <v>42970</v>
      </c>
      <c r="C65" s="6">
        <v>4100000</v>
      </c>
      <c r="D65" s="7">
        <v>8202</v>
      </c>
      <c r="E65" s="6">
        <f>C65/D65</f>
        <v>499.87807851743474</v>
      </c>
      <c r="F65" s="6">
        <f>C65*0.05</f>
        <v>205000</v>
      </c>
      <c r="G65" s="6">
        <f>F65*0.5</f>
        <v>102500</v>
      </c>
      <c r="H65" s="6">
        <f t="shared" si="5"/>
        <v>92250</v>
      </c>
      <c r="I65" s="6">
        <f ca="1">IF(B65&lt;=TODAY(),Table1[[#This Row],[SPLIT]],0)</f>
        <v>92250</v>
      </c>
      <c r="J65" s="6">
        <f t="shared" si="3"/>
        <v>371924.1</v>
      </c>
      <c r="K65" s="6" t="str">
        <f t="shared" ca="1" si="4"/>
        <v/>
      </c>
      <c r="L65" s="8" t="str">
        <f>IF(Table1[[#This Row],[PRODUCT]]="APT",Table1[[#This Row],[SIZE]],"")</f>
        <v/>
      </c>
      <c r="M65" s="8">
        <f>YEAR(Table1[[#This Row],[SALE DATE]])</f>
        <v>2017</v>
      </c>
      <c r="N65" s="9" t="s">
        <v>30</v>
      </c>
      <c r="O65" s="8"/>
      <c r="P65" s="8"/>
    </row>
    <row r="66" spans="1:16" x14ac:dyDescent="0.3">
      <c r="A66" s="4" t="s">
        <v>83</v>
      </c>
      <c r="B66" s="5">
        <v>42996</v>
      </c>
      <c r="C66" s="6">
        <v>12200000</v>
      </c>
      <c r="D66" s="7">
        <v>48</v>
      </c>
      <c r="E66" s="6">
        <f>IF(C66=0, (B66/D66), C66/D66)</f>
        <v>254166.66666666666</v>
      </c>
      <c r="F66" s="6">
        <f>(C66-80000)*0.02</f>
        <v>242400</v>
      </c>
      <c r="G66" s="6">
        <f>(F66/2)-10000</f>
        <v>111200</v>
      </c>
      <c r="H66" s="6">
        <f t="shared" si="5"/>
        <v>100080</v>
      </c>
      <c r="I66" s="6">
        <f ca="1">IF(B66&lt;=TODAY(),Table1[[#This Row],[SPLIT]],0)</f>
        <v>100080</v>
      </c>
      <c r="J66" s="6">
        <f t="shared" ref="J66:J97" si="6">SUMIFS(H:H, B:B,"&gt;=" &amp; DATE(M66,1,1), B:B, "&lt;="&amp;DATE(M66,12,31))</f>
        <v>371924.1</v>
      </c>
      <c r="K66" s="6" t="str">
        <f t="shared" ref="K66:K97" ca="1" si="7">IF(B66&gt;DATE((YEAR(TODAY())-1),12,31), J66-(SUMIFS(H:H, B:B,"&gt;=" &amp; DATE(M66,1,1), B:B, "&lt;="&amp;TODAY())),"")</f>
        <v/>
      </c>
      <c r="L66" s="8">
        <f>IF(Table1[[#This Row],[PRODUCT]]="APT",Table1[[#This Row],[SIZE]],"")</f>
        <v>48</v>
      </c>
      <c r="M66" s="8">
        <f>YEAR(Table1[[#This Row],[SALE DATE]])</f>
        <v>2017</v>
      </c>
      <c r="N66" s="9" t="s">
        <v>15</v>
      </c>
      <c r="O66" s="8"/>
      <c r="P66" s="8"/>
    </row>
    <row r="67" spans="1:16" x14ac:dyDescent="0.3">
      <c r="A67" s="4" t="s">
        <v>84</v>
      </c>
      <c r="B67" s="5">
        <v>43070</v>
      </c>
      <c r="C67" s="6">
        <v>775000</v>
      </c>
      <c r="D67" s="7">
        <v>4</v>
      </c>
      <c r="E67" s="6">
        <f>IF(C67=0, (B67/D67), C67/D67)</f>
        <v>193750</v>
      </c>
      <c r="F67" s="6">
        <f>C67*0.06</f>
        <v>46500</v>
      </c>
      <c r="G67" s="6">
        <f>F67/2</f>
        <v>23250</v>
      </c>
      <c r="H67" s="6">
        <f t="shared" si="5"/>
        <v>20925</v>
      </c>
      <c r="I67" s="6">
        <f ca="1">IF(B67&lt;=TODAY(),Table1[[#This Row],[SPLIT]],0)</f>
        <v>20925</v>
      </c>
      <c r="J67" s="6">
        <f t="shared" si="6"/>
        <v>371924.1</v>
      </c>
      <c r="K67" s="6" t="str">
        <f t="shared" ca="1" si="7"/>
        <v/>
      </c>
      <c r="L67" s="8">
        <f>IF(Table1[[#This Row],[PRODUCT]]="APT",Table1[[#This Row],[SIZE]],"")</f>
        <v>4</v>
      </c>
      <c r="M67" s="8">
        <f>YEAR(Table1[[#This Row],[SALE DATE]])</f>
        <v>2017</v>
      </c>
      <c r="N67" s="9" t="s">
        <v>15</v>
      </c>
      <c r="O67" s="8"/>
      <c r="P67" s="8"/>
    </row>
    <row r="68" spans="1:16" x14ac:dyDescent="0.3">
      <c r="A68" s="4" t="s">
        <v>85</v>
      </c>
      <c r="B68" s="5">
        <v>43117</v>
      </c>
      <c r="C68" s="6">
        <v>1995000</v>
      </c>
      <c r="D68" s="7">
        <v>21</v>
      </c>
      <c r="E68" s="6">
        <f>IF(C68=0, (B68/D68), C68/D68)</f>
        <v>95000</v>
      </c>
      <c r="F68" s="6">
        <f>C68*0.04</f>
        <v>79800</v>
      </c>
      <c r="G68" s="6">
        <f>F68-5</f>
        <v>79795</v>
      </c>
      <c r="H68" s="6">
        <f t="shared" si="5"/>
        <v>71815.5</v>
      </c>
      <c r="I68" s="6">
        <f ca="1">IF(B68&lt;=TODAY(),Table1[[#This Row],[SPLIT]],0)</f>
        <v>71815.5</v>
      </c>
      <c r="J68" s="6">
        <f t="shared" si="6"/>
        <v>672287.23124999995</v>
      </c>
      <c r="K68" s="6" t="str">
        <f t="shared" ca="1" si="7"/>
        <v/>
      </c>
      <c r="L68" s="8">
        <f>IF(Table1[[#This Row],[PRODUCT]]="APT",Table1[[#This Row],[SIZE]],"")</f>
        <v>21</v>
      </c>
      <c r="M68" s="8">
        <f>YEAR(Table1[[#This Row],[SALE DATE]])</f>
        <v>2018</v>
      </c>
      <c r="N68" s="9" t="s">
        <v>15</v>
      </c>
      <c r="O68" s="8"/>
      <c r="P68" s="8"/>
    </row>
    <row r="69" spans="1:16" x14ac:dyDescent="0.3">
      <c r="A69" s="4" t="s">
        <v>86</v>
      </c>
      <c r="B69" s="5">
        <v>43131</v>
      </c>
      <c r="C69" s="6">
        <v>3600000</v>
      </c>
      <c r="D69" s="7">
        <v>16660</v>
      </c>
      <c r="E69" s="6">
        <f>C69/D69</f>
        <v>216.08643457382954</v>
      </c>
      <c r="F69" s="6">
        <f>C69*0.05</f>
        <v>180000</v>
      </c>
      <c r="G69" s="6">
        <f>(F69)*0.25-1</f>
        <v>44999</v>
      </c>
      <c r="H69" s="6">
        <f t="shared" si="5"/>
        <v>40499.1</v>
      </c>
      <c r="I69" s="6">
        <f ca="1">IF(B69&lt;=TODAY(),Table1[[#This Row],[SPLIT]],0)</f>
        <v>40499.1</v>
      </c>
      <c r="J69" s="6">
        <f t="shared" si="6"/>
        <v>672287.23124999995</v>
      </c>
      <c r="K69" s="6" t="str">
        <f t="shared" ca="1" si="7"/>
        <v/>
      </c>
      <c r="L69" s="8" t="str">
        <f>IF(Table1[[#This Row],[PRODUCT]]="APT",Table1[[#This Row],[SIZE]],"")</f>
        <v/>
      </c>
      <c r="M69" s="8">
        <f>YEAR(Table1[[#This Row],[SALE DATE]])</f>
        <v>2018</v>
      </c>
      <c r="N69" s="9" t="s">
        <v>21</v>
      </c>
      <c r="O69" s="8"/>
      <c r="P69" s="8"/>
    </row>
    <row r="70" spans="1:16" x14ac:dyDescent="0.3">
      <c r="A70" s="4" t="s">
        <v>87</v>
      </c>
      <c r="B70" s="5">
        <v>43222</v>
      </c>
      <c r="C70" s="6">
        <v>665000</v>
      </c>
      <c r="D70" s="7">
        <v>6</v>
      </c>
      <c r="E70" s="6">
        <f>IF(C70=0, (B70/D70), C70/D70)</f>
        <v>110833.33333333333</v>
      </c>
      <c r="F70" s="6">
        <f>C70*0.054</f>
        <v>35910</v>
      </c>
      <c r="G70" s="6">
        <f>(F70/2)*0.7</f>
        <v>12568.5</v>
      </c>
      <c r="H70" s="6">
        <f t="shared" si="5"/>
        <v>11311.65</v>
      </c>
      <c r="I70" s="6">
        <f ca="1">IF(B70&lt;=TODAY(),Table1[[#This Row],[SPLIT]],0)</f>
        <v>11311.65</v>
      </c>
      <c r="J70" s="6">
        <f t="shared" si="6"/>
        <v>672287.23124999995</v>
      </c>
      <c r="K70" s="6" t="str">
        <f t="shared" ca="1" si="7"/>
        <v/>
      </c>
      <c r="L70" s="8">
        <f>IF(Table1[[#This Row],[PRODUCT]]="APT",Table1[[#This Row],[SIZE]],"")</f>
        <v>6</v>
      </c>
      <c r="M70" s="8">
        <f>YEAR(Table1[[#This Row],[SALE DATE]])</f>
        <v>2018</v>
      </c>
      <c r="N70" s="9" t="s">
        <v>15</v>
      </c>
      <c r="O70" s="8"/>
      <c r="P70" s="8"/>
    </row>
    <row r="71" spans="1:16" x14ac:dyDescent="0.3">
      <c r="A71" s="4" t="s">
        <v>88</v>
      </c>
      <c r="B71" s="5">
        <v>43280</v>
      </c>
      <c r="C71" s="6">
        <v>6250000</v>
      </c>
      <c r="D71" s="7">
        <v>48</v>
      </c>
      <c r="E71" s="6">
        <f>IF(C71=0, (B71/D71), C71/D71)</f>
        <v>130208.33333333333</v>
      </c>
      <c r="F71" s="6">
        <f>C71*0.04</f>
        <v>250000</v>
      </c>
      <c r="G71" s="6">
        <f>F71/2</f>
        <v>125000</v>
      </c>
      <c r="H71" s="6">
        <f t="shared" si="5"/>
        <v>112500</v>
      </c>
      <c r="I71" s="6">
        <f ca="1">IF(B71&lt;=TODAY(),Table1[[#This Row],[SPLIT]],0)</f>
        <v>112500</v>
      </c>
      <c r="J71" s="6">
        <f t="shared" si="6"/>
        <v>672287.23124999995</v>
      </c>
      <c r="K71" s="6" t="str">
        <f t="shared" ca="1" si="7"/>
        <v/>
      </c>
      <c r="L71" s="8">
        <f>IF(Table1[[#This Row],[PRODUCT]]="APT",Table1[[#This Row],[SIZE]],"")</f>
        <v>48</v>
      </c>
      <c r="M71" s="8">
        <f>YEAR(Table1[[#This Row],[SALE DATE]])</f>
        <v>2018</v>
      </c>
      <c r="N71" s="9" t="s">
        <v>15</v>
      </c>
      <c r="O71" s="8"/>
      <c r="P71" s="8"/>
    </row>
    <row r="72" spans="1:16" x14ac:dyDescent="0.3">
      <c r="A72" s="4" t="s">
        <v>89</v>
      </c>
      <c r="B72" s="5">
        <v>43315</v>
      </c>
      <c r="C72" s="6">
        <v>700000</v>
      </c>
      <c r="D72" s="7">
        <v>9</v>
      </c>
      <c r="E72" s="6">
        <f>IF(C72=0, (B72/D72), C72/D72)</f>
        <v>77777.777777777781</v>
      </c>
      <c r="F72" s="6">
        <f>C72*0.06</f>
        <v>42000</v>
      </c>
      <c r="G72" s="6">
        <f>F72/2</f>
        <v>21000</v>
      </c>
      <c r="H72" s="6">
        <f t="shared" si="5"/>
        <v>18900</v>
      </c>
      <c r="I72" s="6">
        <f ca="1">IF(B72&lt;=TODAY(),Table1[[#This Row],[SPLIT]],0)</f>
        <v>18900</v>
      </c>
      <c r="J72" s="6">
        <f t="shared" si="6"/>
        <v>672287.23124999995</v>
      </c>
      <c r="K72" s="6" t="str">
        <f t="shared" ca="1" si="7"/>
        <v/>
      </c>
      <c r="L72" s="8">
        <f>IF(Table1[[#This Row],[PRODUCT]]="APT",Table1[[#This Row],[SIZE]],"")</f>
        <v>9</v>
      </c>
      <c r="M72" s="8">
        <f>YEAR(Table1[[#This Row],[SALE DATE]])</f>
        <v>2018</v>
      </c>
      <c r="N72" s="9" t="s">
        <v>15</v>
      </c>
      <c r="O72" s="8"/>
      <c r="P72" s="8"/>
    </row>
    <row r="73" spans="1:16" x14ac:dyDescent="0.3">
      <c r="A73" s="4" t="s">
        <v>90</v>
      </c>
      <c r="B73" s="5">
        <v>43315</v>
      </c>
      <c r="C73" s="6">
        <v>1400000</v>
      </c>
      <c r="D73" s="7">
        <v>10</v>
      </c>
      <c r="E73" s="6">
        <f>IF(C73=0, (B73/D73), C73/D73)</f>
        <v>140000</v>
      </c>
      <c r="F73" s="6">
        <f>C73*0.06</f>
        <v>84000</v>
      </c>
      <c r="G73" s="6">
        <f>F73/2</f>
        <v>42000</v>
      </c>
      <c r="H73" s="6">
        <f t="shared" si="5"/>
        <v>37800</v>
      </c>
      <c r="I73" s="6">
        <f ca="1">IF(B73&lt;=TODAY(),Table1[[#This Row],[SPLIT]],0)</f>
        <v>37800</v>
      </c>
      <c r="J73" s="6">
        <f t="shared" si="6"/>
        <v>672287.23124999995</v>
      </c>
      <c r="K73" s="6" t="str">
        <f t="shared" ca="1" si="7"/>
        <v/>
      </c>
      <c r="L73" s="8">
        <f>IF(Table1[[#This Row],[PRODUCT]]="APT",Table1[[#This Row],[SIZE]],"")</f>
        <v>10</v>
      </c>
      <c r="M73" s="8">
        <f>YEAR(Table1[[#This Row],[SALE DATE]])</f>
        <v>2018</v>
      </c>
      <c r="N73" s="9" t="s">
        <v>15</v>
      </c>
      <c r="O73" s="8"/>
      <c r="P73" s="8"/>
    </row>
    <row r="74" spans="1:16" x14ac:dyDescent="0.3">
      <c r="A74" s="4" t="s">
        <v>91</v>
      </c>
      <c r="B74" s="5">
        <v>43339</v>
      </c>
      <c r="C74" s="6">
        <v>5450000</v>
      </c>
      <c r="D74" s="7">
        <v>42000</v>
      </c>
      <c r="E74" s="6">
        <f>C74/D74</f>
        <v>129.76190476190476</v>
      </c>
      <c r="F74" s="6">
        <f>C74*0.045</f>
        <v>245250</v>
      </c>
      <c r="G74" s="6">
        <f>(F74*0.5)</f>
        <v>122625</v>
      </c>
      <c r="H74" s="6">
        <f t="shared" si="5"/>
        <v>110362.5</v>
      </c>
      <c r="I74" s="6">
        <f ca="1">IF(B74&lt;=TODAY(),Table1[[#This Row],[SPLIT]],0)</f>
        <v>110362.5</v>
      </c>
      <c r="J74" s="6">
        <f t="shared" si="6"/>
        <v>672287.23124999995</v>
      </c>
      <c r="K74" s="6" t="str">
        <f t="shared" ca="1" si="7"/>
        <v/>
      </c>
      <c r="L74" s="8" t="str">
        <f>IF(Table1[[#This Row],[PRODUCT]]="APT",Table1[[#This Row],[SIZE]],"")</f>
        <v/>
      </c>
      <c r="M74" s="8">
        <f>YEAR(Table1[[#This Row],[SALE DATE]])</f>
        <v>2018</v>
      </c>
      <c r="N74" s="9" t="s">
        <v>79</v>
      </c>
      <c r="O74" s="8"/>
      <c r="P74" s="8"/>
    </row>
    <row r="75" spans="1:16" x14ac:dyDescent="0.3">
      <c r="A75" s="4" t="s">
        <v>92</v>
      </c>
      <c r="B75" s="5">
        <v>43354</v>
      </c>
      <c r="C75" s="6">
        <v>502000</v>
      </c>
      <c r="D75" s="7">
        <v>4</v>
      </c>
      <c r="E75" s="6">
        <f>IF(C75=0, (B75/D75), C75/D75)</f>
        <v>125500</v>
      </c>
      <c r="F75" s="6">
        <f>C75*0.05</f>
        <v>25100</v>
      </c>
      <c r="G75" s="6">
        <f>F75</f>
        <v>25100</v>
      </c>
      <c r="H75" s="6">
        <f t="shared" si="5"/>
        <v>22590</v>
      </c>
      <c r="I75" s="6">
        <f ca="1">IF(B75&lt;=TODAY(),Table1[[#This Row],[SPLIT]],0)</f>
        <v>22590</v>
      </c>
      <c r="J75" s="6">
        <f t="shared" si="6"/>
        <v>672287.23124999995</v>
      </c>
      <c r="K75" s="6" t="str">
        <f t="shared" ca="1" si="7"/>
        <v/>
      </c>
      <c r="L75" s="8">
        <f>IF(Table1[[#This Row],[PRODUCT]]="APT",Table1[[#This Row],[SIZE]],"")</f>
        <v>4</v>
      </c>
      <c r="M75" s="8">
        <f>YEAR(Table1[[#This Row],[SALE DATE]])</f>
        <v>2018</v>
      </c>
      <c r="N75" s="9" t="s">
        <v>15</v>
      </c>
      <c r="O75" s="8"/>
      <c r="P75" s="8"/>
    </row>
    <row r="76" spans="1:16" x14ac:dyDescent="0.3">
      <c r="A76" s="4" t="s">
        <v>93</v>
      </c>
      <c r="B76" s="5">
        <v>43369</v>
      </c>
      <c r="C76" s="6">
        <v>6650000</v>
      </c>
      <c r="D76" s="7">
        <v>17490</v>
      </c>
      <c r="E76" s="6">
        <f>C76/D76</f>
        <v>380.21726700971982</v>
      </c>
      <c r="F76" s="6">
        <f>C76*0.06</f>
        <v>399000</v>
      </c>
      <c r="G76" s="6">
        <f>(F76*0.5)</f>
        <v>199500</v>
      </c>
      <c r="H76" s="6">
        <f t="shared" si="5"/>
        <v>179550</v>
      </c>
      <c r="I76" s="6">
        <f ca="1">IF(B76&lt;=TODAY(),Table1[[#This Row],[SPLIT]],0)</f>
        <v>179550</v>
      </c>
      <c r="J76" s="6">
        <f t="shared" si="6"/>
        <v>672287.23124999995</v>
      </c>
      <c r="K76" s="6" t="str">
        <f t="shared" ca="1" si="7"/>
        <v/>
      </c>
      <c r="L76" s="8" t="str">
        <f>IF(Table1[[#This Row],[PRODUCT]]="APT",Table1[[#This Row],[SIZE]],"")</f>
        <v/>
      </c>
      <c r="M76" s="8">
        <f>YEAR(Table1[[#This Row],[SALE DATE]])</f>
        <v>2018</v>
      </c>
      <c r="N76" s="9" t="s">
        <v>30</v>
      </c>
      <c r="O76" s="8"/>
      <c r="P76" s="8"/>
    </row>
    <row r="77" spans="1:16" x14ac:dyDescent="0.3">
      <c r="A77" s="4" t="s">
        <v>94</v>
      </c>
      <c r="B77" s="5">
        <v>43428</v>
      </c>
      <c r="C77" s="6">
        <v>335000</v>
      </c>
      <c r="D77" s="7">
        <v>3</v>
      </c>
      <c r="E77" s="6">
        <f>IF(C77=0, (B77/D77), C77/D77)</f>
        <v>111666.66666666667</v>
      </c>
      <c r="F77" s="6">
        <f>C77*0.05</f>
        <v>16750</v>
      </c>
      <c r="G77" s="6">
        <f>F77*0.4</f>
        <v>6700</v>
      </c>
      <c r="H77" s="6">
        <f t="shared" si="5"/>
        <v>6030</v>
      </c>
      <c r="I77" s="6">
        <f ca="1">IF(B77&lt;=TODAY(),Table1[[#This Row],[SPLIT]],0)</f>
        <v>6030</v>
      </c>
      <c r="J77" s="6">
        <f t="shared" si="6"/>
        <v>672287.23124999995</v>
      </c>
      <c r="K77" s="6" t="str">
        <f t="shared" ca="1" si="7"/>
        <v/>
      </c>
      <c r="L77" s="8">
        <f>IF(Table1[[#This Row],[PRODUCT]]="APT",Table1[[#This Row],[SIZE]],"")</f>
        <v>3</v>
      </c>
      <c r="M77" s="8">
        <f>YEAR(Table1[[#This Row],[SALE DATE]])</f>
        <v>2018</v>
      </c>
      <c r="N77" s="9" t="s">
        <v>15</v>
      </c>
      <c r="O77" s="8"/>
      <c r="P77" s="8"/>
    </row>
    <row r="78" spans="1:16" x14ac:dyDescent="0.3">
      <c r="A78" s="4" t="s">
        <v>95</v>
      </c>
      <c r="B78" s="5">
        <v>43434</v>
      </c>
      <c r="C78" s="6">
        <v>89943.75</v>
      </c>
      <c r="D78" s="7">
        <v>1625</v>
      </c>
      <c r="E78" s="6">
        <f>C78/D78</f>
        <v>55.35</v>
      </c>
      <c r="F78" s="6">
        <f>C78*0.03</f>
        <v>2698.3125</v>
      </c>
      <c r="G78" s="6">
        <f>F78</f>
        <v>2698.3125</v>
      </c>
      <c r="H78" s="6">
        <f t="shared" si="5"/>
        <v>2428.4812500000003</v>
      </c>
      <c r="I78" s="6">
        <f ca="1">IF(B78&lt;=TODAY(),Table1[[#This Row],[SPLIT]],0)</f>
        <v>2428.4812500000003</v>
      </c>
      <c r="J78" s="6">
        <f t="shared" si="6"/>
        <v>672287.23124999995</v>
      </c>
      <c r="K78" s="6" t="str">
        <f t="shared" ca="1" si="7"/>
        <v/>
      </c>
      <c r="L78" s="8" t="str">
        <f>IF(Table1[[#This Row],[PRODUCT]]="APT",Table1[[#This Row],[SIZE]],"")</f>
        <v/>
      </c>
      <c r="M78" s="8">
        <f>YEAR(Table1[[#This Row],[SALE DATE]])</f>
        <v>2018</v>
      </c>
      <c r="N78" s="9" t="s">
        <v>21</v>
      </c>
      <c r="O78" s="8"/>
      <c r="P78" s="8"/>
    </row>
    <row r="79" spans="1:16" x14ac:dyDescent="0.3">
      <c r="A79" s="4" t="s">
        <v>96</v>
      </c>
      <c r="B79" s="5">
        <v>43444</v>
      </c>
      <c r="C79" s="6">
        <v>1625000</v>
      </c>
      <c r="D79" s="7">
        <v>5174</v>
      </c>
      <c r="E79" s="6">
        <f>C79/D79</f>
        <v>314.07035175879395</v>
      </c>
      <c r="F79" s="6">
        <f>C79*0.04</f>
        <v>65000</v>
      </c>
      <c r="G79" s="6">
        <f>F79</f>
        <v>65000</v>
      </c>
      <c r="H79" s="6">
        <f t="shared" si="5"/>
        <v>58500</v>
      </c>
      <c r="I79" s="6">
        <f ca="1">IF(B79&lt;=TODAY(),Table1[[#This Row],[SPLIT]],0)</f>
        <v>58500</v>
      </c>
      <c r="J79" s="6">
        <f t="shared" si="6"/>
        <v>672287.23124999995</v>
      </c>
      <c r="K79" s="6" t="str">
        <f t="shared" ca="1" si="7"/>
        <v/>
      </c>
      <c r="L79" s="8" t="str">
        <f>IF(Table1[[#This Row],[PRODUCT]]="APT",Table1[[#This Row],[SIZE]],"")</f>
        <v/>
      </c>
      <c r="M79" s="8">
        <f>YEAR(Table1[[#This Row],[SALE DATE]])</f>
        <v>2018</v>
      </c>
      <c r="N79" s="9" t="s">
        <v>21</v>
      </c>
      <c r="O79" s="8"/>
      <c r="P79" s="8"/>
    </row>
    <row r="80" spans="1:16" x14ac:dyDescent="0.3">
      <c r="A80" s="4" t="s">
        <v>97</v>
      </c>
      <c r="B80" s="5">
        <v>43490</v>
      </c>
      <c r="C80" s="6">
        <v>597000</v>
      </c>
      <c r="D80" s="7">
        <v>3045</v>
      </c>
      <c r="E80" s="6">
        <f>C80/D80</f>
        <v>196.05911330049261</v>
      </c>
      <c r="F80" s="6">
        <f>C80*0.06</f>
        <v>35820</v>
      </c>
      <c r="G80" s="6">
        <f>(F80*0.25)</f>
        <v>8955</v>
      </c>
      <c r="H80" s="6">
        <f t="shared" ref="H80:H87" si="8">IF(A80="",0,G80*0.91)</f>
        <v>8149.05</v>
      </c>
      <c r="I80" s="6">
        <f ca="1">IF(B80&lt;=TODAY(),Table1[[#This Row],[SPLIT]],0)</f>
        <v>8149.05</v>
      </c>
      <c r="J80" s="6">
        <f t="shared" si="6"/>
        <v>204572.55</v>
      </c>
      <c r="K80" s="6" t="str">
        <f t="shared" ca="1" si="7"/>
        <v/>
      </c>
      <c r="L80" s="8" t="str">
        <f>IF(Table1[[#This Row],[PRODUCT]]="APT",Table1[[#This Row],[SIZE]],"")</f>
        <v/>
      </c>
      <c r="M80" s="8">
        <f>YEAR(Table1[[#This Row],[SALE DATE]])</f>
        <v>2019</v>
      </c>
      <c r="N80" s="9" t="s">
        <v>21</v>
      </c>
      <c r="O80" s="8"/>
      <c r="P80" s="8"/>
    </row>
    <row r="81" spans="1:16" x14ac:dyDescent="0.3">
      <c r="A81" s="4" t="s">
        <v>98</v>
      </c>
      <c r="B81" s="5">
        <v>43567</v>
      </c>
      <c r="C81" s="6">
        <v>777500</v>
      </c>
      <c r="D81" s="7">
        <v>4</v>
      </c>
      <c r="E81" s="6">
        <f>IF(C81=0, (B81/D81), C81/D81)</f>
        <v>194375</v>
      </c>
      <c r="F81" s="6">
        <f>C81*0.06</f>
        <v>46650</v>
      </c>
      <c r="G81" s="6">
        <f>F81/2</f>
        <v>23325</v>
      </c>
      <c r="H81" s="6">
        <f t="shared" si="8"/>
        <v>21225.75</v>
      </c>
      <c r="I81" s="6">
        <f ca="1">IF(B81&lt;=TODAY(),Table1[[#This Row],[SPLIT]],0)</f>
        <v>21225.75</v>
      </c>
      <c r="J81" s="6">
        <f t="shared" si="6"/>
        <v>204572.55</v>
      </c>
      <c r="K81" s="6" t="str">
        <f t="shared" ca="1" si="7"/>
        <v/>
      </c>
      <c r="L81" s="8">
        <f>IF(Table1[[#This Row],[PRODUCT]]="APT",Table1[[#This Row],[SIZE]],"")</f>
        <v>4</v>
      </c>
      <c r="M81" s="8">
        <f>YEAR(Table1[[#This Row],[SALE DATE]])</f>
        <v>2019</v>
      </c>
      <c r="N81" s="9" t="s">
        <v>15</v>
      </c>
      <c r="O81" s="8"/>
      <c r="P81" s="8"/>
    </row>
    <row r="82" spans="1:16" x14ac:dyDescent="0.3">
      <c r="A82" s="4" t="s">
        <v>99</v>
      </c>
      <c r="B82" s="5">
        <v>43607</v>
      </c>
      <c r="C82" s="6">
        <v>860000</v>
      </c>
      <c r="D82" s="7">
        <v>4</v>
      </c>
      <c r="E82" s="6">
        <f>IF(C82=0, (B82/D82), C82/D82)</f>
        <v>215000</v>
      </c>
      <c r="F82" s="6">
        <f>C82*0.05</f>
        <v>43000</v>
      </c>
      <c r="G82" s="6">
        <f>(F82/4)</f>
        <v>10750</v>
      </c>
      <c r="H82" s="6">
        <f t="shared" si="8"/>
        <v>9782.5</v>
      </c>
      <c r="I82" s="6">
        <f ca="1">IF(B82&lt;=TODAY(),Table1[[#This Row],[SPLIT]],0)</f>
        <v>9782.5</v>
      </c>
      <c r="J82" s="6">
        <f t="shared" si="6"/>
        <v>204572.55</v>
      </c>
      <c r="K82" s="6" t="str">
        <f t="shared" ca="1" si="7"/>
        <v/>
      </c>
      <c r="L82" s="8">
        <f>IF(Table1[[#This Row],[PRODUCT]]="APT",Table1[[#This Row],[SIZE]],"")</f>
        <v>4</v>
      </c>
      <c r="M82" s="8">
        <f>YEAR(Table1[[#This Row],[SALE DATE]])</f>
        <v>2019</v>
      </c>
      <c r="N82" s="9" t="s">
        <v>15</v>
      </c>
      <c r="O82" s="8"/>
      <c r="P82" s="8"/>
    </row>
    <row r="83" spans="1:16" x14ac:dyDescent="0.3">
      <c r="A83" s="4" t="s">
        <v>100</v>
      </c>
      <c r="B83" s="5">
        <v>43629</v>
      </c>
      <c r="C83" s="6">
        <v>1715000</v>
      </c>
      <c r="D83" s="7">
        <v>5000</v>
      </c>
      <c r="E83" s="6">
        <f>C83/D83</f>
        <v>343</v>
      </c>
      <c r="F83" s="6">
        <f>C83*0.05</f>
        <v>85750</v>
      </c>
      <c r="G83" s="6">
        <f>F83/4</f>
        <v>21437.5</v>
      </c>
      <c r="H83" s="6">
        <f t="shared" si="8"/>
        <v>19508.125</v>
      </c>
      <c r="I83" s="6">
        <f ca="1">IF(B83&lt;=TODAY(),Table1[[#This Row],[SPLIT]],0)</f>
        <v>19508.125</v>
      </c>
      <c r="J83" s="6">
        <f t="shared" si="6"/>
        <v>204572.55</v>
      </c>
      <c r="K83" s="6" t="str">
        <f t="shared" ca="1" si="7"/>
        <v/>
      </c>
      <c r="L83" s="8" t="str">
        <f>IF(Table1[[#This Row],[PRODUCT]]="APT",Table1[[#This Row],[SIZE]],"")</f>
        <v/>
      </c>
      <c r="M83" s="8">
        <f>YEAR(Table1[[#This Row],[SALE DATE]])</f>
        <v>2019</v>
      </c>
      <c r="N83" s="9" t="s">
        <v>21</v>
      </c>
      <c r="O83" s="8"/>
      <c r="P83" s="8"/>
    </row>
    <row r="84" spans="1:16" x14ac:dyDescent="0.3">
      <c r="A84" s="4" t="s">
        <v>101</v>
      </c>
      <c r="B84" s="5">
        <v>43679</v>
      </c>
      <c r="C84" s="6">
        <v>1515000</v>
      </c>
      <c r="D84" s="7">
        <v>12</v>
      </c>
      <c r="E84" s="6">
        <f>IF(C84=0, (B84/D84), C84/D84)</f>
        <v>126250</v>
      </c>
      <c r="F84" s="6">
        <f>C84*0.035</f>
        <v>53025.000000000007</v>
      </c>
      <c r="G84" s="6">
        <f>(F84/2)</f>
        <v>26512.500000000004</v>
      </c>
      <c r="H84" s="6">
        <f t="shared" si="8"/>
        <v>24126.375000000004</v>
      </c>
      <c r="I84" s="6">
        <f ca="1">IF(B84&lt;=TODAY(),Table1[[#This Row],[SPLIT]],0)</f>
        <v>24126.375000000004</v>
      </c>
      <c r="J84" s="6">
        <f t="shared" si="6"/>
        <v>204572.55</v>
      </c>
      <c r="K84" s="6" t="str">
        <f t="shared" ca="1" si="7"/>
        <v/>
      </c>
      <c r="L84" s="8">
        <f>IF(Table1[[#This Row],[PRODUCT]]="APT",Table1[[#This Row],[SIZE]],"")</f>
        <v>12</v>
      </c>
      <c r="M84" s="8">
        <f>YEAR(Table1[[#This Row],[SALE DATE]])</f>
        <v>2019</v>
      </c>
      <c r="N84" s="9" t="s">
        <v>15</v>
      </c>
      <c r="O84" s="8"/>
      <c r="P84" s="8"/>
    </row>
    <row r="85" spans="1:16" x14ac:dyDescent="0.3">
      <c r="A85" s="4" t="s">
        <v>102</v>
      </c>
      <c r="B85" s="5">
        <v>43693</v>
      </c>
      <c r="C85" s="6">
        <v>1450000</v>
      </c>
      <c r="D85" s="7">
        <v>5880</v>
      </c>
      <c r="E85" s="6">
        <f>C85/D85</f>
        <v>246.59863945578232</v>
      </c>
      <c r="F85" s="6">
        <f>C85*0.06</f>
        <v>87000</v>
      </c>
      <c r="G85" s="6">
        <f>(F85/2)</f>
        <v>43500</v>
      </c>
      <c r="H85" s="6">
        <f t="shared" si="8"/>
        <v>39585</v>
      </c>
      <c r="I85" s="6">
        <f ca="1">IF(B85&lt;=TODAY(),Table1[[#This Row],[SPLIT]],0)</f>
        <v>39585</v>
      </c>
      <c r="J85" s="6">
        <f t="shared" si="6"/>
        <v>204572.55</v>
      </c>
      <c r="K85" s="6" t="str">
        <f t="shared" ca="1" si="7"/>
        <v/>
      </c>
      <c r="L85" s="8" t="str">
        <f>IF(Table1[[#This Row],[PRODUCT]]="APT",Table1[[#This Row],[SIZE]],"")</f>
        <v/>
      </c>
      <c r="M85" s="8">
        <f>YEAR(Table1[[#This Row],[SALE DATE]])</f>
        <v>2019</v>
      </c>
      <c r="N85" s="9" t="s">
        <v>21</v>
      </c>
      <c r="O85" s="8"/>
      <c r="P85" s="8"/>
    </row>
    <row r="86" spans="1:16" x14ac:dyDescent="0.3">
      <c r="A86" s="4" t="s">
        <v>103</v>
      </c>
      <c r="B86" s="5">
        <v>43746</v>
      </c>
      <c r="C86" s="6">
        <v>1100000</v>
      </c>
      <c r="D86" s="7">
        <v>10</v>
      </c>
      <c r="E86" s="6">
        <f>IF(C86=0, (B86/D86), C86/D86)</f>
        <v>110000</v>
      </c>
      <c r="F86" s="6">
        <f>C86*0.03</f>
        <v>33000</v>
      </c>
      <c r="G86" s="6">
        <f>(F86/2)</f>
        <v>16500</v>
      </c>
      <c r="H86" s="6">
        <f t="shared" si="8"/>
        <v>15015</v>
      </c>
      <c r="I86" s="6">
        <f ca="1">IF(B86&lt;=TODAY(),Table1[[#This Row],[SPLIT]],0)</f>
        <v>15015</v>
      </c>
      <c r="J86" s="6">
        <f t="shared" si="6"/>
        <v>204572.55</v>
      </c>
      <c r="K86" s="6" t="str">
        <f t="shared" ca="1" si="7"/>
        <v/>
      </c>
      <c r="L86" s="8">
        <f>IF(Table1[[#This Row],[PRODUCT]]="APT",Table1[[#This Row],[SIZE]],"")</f>
        <v>10</v>
      </c>
      <c r="M86" s="8">
        <f>YEAR(Table1[[#This Row],[SALE DATE]])</f>
        <v>2019</v>
      </c>
      <c r="N86" s="9" t="s">
        <v>15</v>
      </c>
      <c r="O86" s="8"/>
      <c r="P86" s="8"/>
    </row>
    <row r="87" spans="1:16" x14ac:dyDescent="0.3">
      <c r="A87" s="4" t="s">
        <v>104</v>
      </c>
      <c r="B87" s="5">
        <v>43753</v>
      </c>
      <c r="C87" s="6">
        <v>1565000</v>
      </c>
      <c r="D87" s="7">
        <v>7280</v>
      </c>
      <c r="E87" s="6">
        <f>C87/D87</f>
        <v>214.97252747252747</v>
      </c>
      <c r="F87" s="6">
        <f>C87*0.06</f>
        <v>93900</v>
      </c>
      <c r="G87" s="6">
        <f>F87/4</f>
        <v>23475</v>
      </c>
      <c r="H87" s="6">
        <f t="shared" si="8"/>
        <v>21362.25</v>
      </c>
      <c r="I87" s="6">
        <f ca="1">IF(B87&lt;=TODAY(),Table1[[#This Row],[SPLIT]],0)</f>
        <v>21362.25</v>
      </c>
      <c r="J87" s="6">
        <f t="shared" si="6"/>
        <v>204572.55</v>
      </c>
      <c r="K87" s="6" t="str">
        <f t="shared" ca="1" si="7"/>
        <v/>
      </c>
      <c r="L87" s="8" t="str">
        <f>IF(Table1[[#This Row],[PRODUCT]]="APT",Table1[[#This Row],[SIZE]],"")</f>
        <v/>
      </c>
      <c r="M87" s="8">
        <f>YEAR(Table1[[#This Row],[SALE DATE]])</f>
        <v>2019</v>
      </c>
      <c r="N87" s="9" t="s">
        <v>79</v>
      </c>
      <c r="O87" s="8"/>
      <c r="P87" s="8"/>
    </row>
    <row r="88" spans="1:16" x14ac:dyDescent="0.3">
      <c r="A88" s="4" t="s">
        <v>105</v>
      </c>
      <c r="B88" s="5">
        <v>43754</v>
      </c>
      <c r="C88" s="6">
        <v>1775000</v>
      </c>
      <c r="D88" s="7">
        <v>17</v>
      </c>
      <c r="E88" s="6">
        <f>IF(C88=0, (B88/D88), C88/D88)</f>
        <v>104411.76470588235</v>
      </c>
      <c r="F88" s="6">
        <f>C88*0.035</f>
        <v>62125.000000000007</v>
      </c>
      <c r="G88" s="6">
        <v>35500</v>
      </c>
      <c r="H88" s="6">
        <v>32305</v>
      </c>
      <c r="I88" s="6">
        <f ca="1">IF(B88&lt;=TODAY(),Table1[[#This Row],[SPLIT]],0)</f>
        <v>32305</v>
      </c>
      <c r="J88" s="6">
        <f t="shared" si="6"/>
        <v>204572.55</v>
      </c>
      <c r="K88" s="6" t="str">
        <f t="shared" ca="1" si="7"/>
        <v/>
      </c>
      <c r="L88" s="8">
        <f>IF(Table1[[#This Row],[PRODUCT]]="APT",Table1[[#This Row],[SIZE]],"")</f>
        <v>17</v>
      </c>
      <c r="M88" s="8">
        <f>YEAR(Table1[[#This Row],[SALE DATE]])</f>
        <v>2019</v>
      </c>
      <c r="N88" s="9" t="s">
        <v>15</v>
      </c>
      <c r="O88" s="8"/>
      <c r="P88" s="8"/>
    </row>
    <row r="89" spans="1:16" x14ac:dyDescent="0.3">
      <c r="A89" s="4" t="s">
        <v>106</v>
      </c>
      <c r="B89" s="5">
        <v>43764</v>
      </c>
      <c r="C89" s="6">
        <v>495000</v>
      </c>
      <c r="D89" s="7">
        <v>2</v>
      </c>
      <c r="E89" s="6">
        <f>IF(C89=0, (B89/D89), C89/D89)</f>
        <v>247500</v>
      </c>
      <c r="F89" s="6">
        <f>C89*0.06</f>
        <v>29700</v>
      </c>
      <c r="G89" s="6">
        <f>(F89/2)</f>
        <v>14850</v>
      </c>
      <c r="H89" s="6">
        <f>IF(A89="",0,G89*0.91)</f>
        <v>13513.5</v>
      </c>
      <c r="I89" s="6">
        <f ca="1">IF(B89&lt;=TODAY(),Table1[[#This Row],[SPLIT]],0)</f>
        <v>13513.5</v>
      </c>
      <c r="J89" s="6">
        <f t="shared" si="6"/>
        <v>204572.55</v>
      </c>
      <c r="K89" s="6" t="str">
        <f t="shared" ca="1" si="7"/>
        <v/>
      </c>
      <c r="L89" s="8">
        <f>IF(Table1[[#This Row],[PRODUCT]]="APT",Table1[[#This Row],[SIZE]],"")</f>
        <v>2</v>
      </c>
      <c r="M89" s="8">
        <f>YEAR(Table1[[#This Row],[SALE DATE]])</f>
        <v>2019</v>
      </c>
      <c r="N89" s="9" t="s">
        <v>15</v>
      </c>
      <c r="O89" s="8"/>
      <c r="P89" s="8"/>
    </row>
    <row r="90" spans="1:16" x14ac:dyDescent="0.3">
      <c r="A90" s="4" t="s">
        <v>107</v>
      </c>
      <c r="B90" s="5">
        <v>43847</v>
      </c>
      <c r="C90" s="6">
        <v>575000</v>
      </c>
      <c r="D90" s="7">
        <v>2946</v>
      </c>
      <c r="E90" s="6">
        <f>C90/D90</f>
        <v>195.17990495587236</v>
      </c>
      <c r="F90" s="6">
        <f>C90*0.05</f>
        <v>28750</v>
      </c>
      <c r="G90" s="6">
        <f>(F90/4)</f>
        <v>7187.5</v>
      </c>
      <c r="H90" s="6">
        <f>IF(A90="",0,G90*0.9)</f>
        <v>6468.75</v>
      </c>
      <c r="I90" s="6">
        <f ca="1">IF(B90&lt;=TODAY(),Table1[[#This Row],[SPLIT]],0)</f>
        <v>6468.75</v>
      </c>
      <c r="J90" s="6">
        <f t="shared" si="6"/>
        <v>272654.09760600002</v>
      </c>
      <c r="K90" s="6" t="str">
        <f t="shared" ca="1" si="7"/>
        <v/>
      </c>
      <c r="L90" s="8" t="str">
        <f>IF(Table1[[#This Row],[PRODUCT]]="APT",Table1[[#This Row],[SIZE]],"")</f>
        <v/>
      </c>
      <c r="M90" s="8">
        <f>YEAR(Table1[[#This Row],[SALE DATE]])</f>
        <v>2020</v>
      </c>
      <c r="N90" s="9" t="s">
        <v>30</v>
      </c>
      <c r="O90" s="8"/>
      <c r="P90" s="8"/>
    </row>
    <row r="91" spans="1:16" x14ac:dyDescent="0.3">
      <c r="A91" s="4" t="s">
        <v>108</v>
      </c>
      <c r="B91" s="5">
        <v>43862</v>
      </c>
      <c r="C91" s="6">
        <v>186988.39</v>
      </c>
      <c r="D91" s="7">
        <v>0</v>
      </c>
      <c r="E91" s="6" t="e">
        <f>C91/D91</f>
        <v>#DIV/0!</v>
      </c>
      <c r="F91" s="6">
        <f>C91*0.06</f>
        <v>11219.303400000001</v>
      </c>
      <c r="G91" s="6">
        <f>(F91/2)*0.2</f>
        <v>1121.9303400000001</v>
      </c>
      <c r="H91" s="6">
        <f>IF(A91="",0,G91*0.9)</f>
        <v>1009.7373060000001</v>
      </c>
      <c r="I91" s="6">
        <f ca="1">IF(B91&lt;=TODAY(),Table1[[#This Row],[SPLIT]],0)</f>
        <v>1009.7373060000001</v>
      </c>
      <c r="J91" s="6">
        <f t="shared" si="6"/>
        <v>272654.09760600002</v>
      </c>
      <c r="K91" s="6" t="str">
        <f t="shared" ca="1" si="7"/>
        <v/>
      </c>
      <c r="L91" s="8" t="str">
        <f>IF(Table1[[#This Row],[PRODUCT]]="APT",Table1[[#This Row],[SIZE]],"")</f>
        <v/>
      </c>
      <c r="M91" s="8">
        <f>YEAR(Table1[[#This Row],[SALE DATE]])</f>
        <v>2020</v>
      </c>
      <c r="N91" s="9" t="s">
        <v>30</v>
      </c>
      <c r="O91" s="8"/>
      <c r="P91" s="8"/>
    </row>
    <row r="92" spans="1:16" x14ac:dyDescent="0.3">
      <c r="A92" s="4" t="s">
        <v>109</v>
      </c>
      <c r="B92" s="5">
        <v>43862</v>
      </c>
      <c r="C92" s="6">
        <v>113501.1</v>
      </c>
      <c r="D92" s="7">
        <v>0</v>
      </c>
      <c r="E92" s="6" t="e">
        <f>C92/D92</f>
        <v>#DIV/0!</v>
      </c>
      <c r="F92" s="6">
        <f>C92*0.06</f>
        <v>6810.0659999999998</v>
      </c>
      <c r="G92" s="6">
        <f>F92/2</f>
        <v>3405.0329999999999</v>
      </c>
      <c r="H92" s="6">
        <f>IF(A92="",0,G92*0.9)</f>
        <v>3064.5297</v>
      </c>
      <c r="I92" s="6">
        <f ca="1">IF(B92&lt;=TODAY(),Table1[[#This Row],[SPLIT]],0)</f>
        <v>3064.5297</v>
      </c>
      <c r="J92" s="6">
        <f t="shared" si="6"/>
        <v>272654.09760600002</v>
      </c>
      <c r="K92" s="6" t="str">
        <f t="shared" ca="1" si="7"/>
        <v/>
      </c>
      <c r="L92" s="8" t="str">
        <f>IF(Table1[[#This Row],[PRODUCT]]="APT",Table1[[#This Row],[SIZE]],"")</f>
        <v/>
      </c>
      <c r="M92" s="8">
        <f>YEAR(Table1[[#This Row],[SALE DATE]])</f>
        <v>2020</v>
      </c>
      <c r="N92" s="9" t="s">
        <v>21</v>
      </c>
      <c r="O92" s="8"/>
      <c r="P92" s="8"/>
    </row>
    <row r="93" spans="1:16" x14ac:dyDescent="0.3">
      <c r="A93" s="4" t="s">
        <v>110</v>
      </c>
      <c r="B93" s="5">
        <v>43894</v>
      </c>
      <c r="C93" s="6">
        <v>1650000</v>
      </c>
      <c r="D93" s="7">
        <v>2800</v>
      </c>
      <c r="E93" s="6">
        <f>C93/D93</f>
        <v>589.28571428571433</v>
      </c>
      <c r="F93" s="6">
        <v>50000</v>
      </c>
      <c r="G93" s="6">
        <f>(F93/2)</f>
        <v>25000</v>
      </c>
      <c r="H93" s="6">
        <f>IF(A93="",0,G93*0.9)</f>
        <v>22500</v>
      </c>
      <c r="I93" s="6">
        <f ca="1">IF(B93&lt;=TODAY(),Table1[[#This Row],[SPLIT]],0)</f>
        <v>22500</v>
      </c>
      <c r="J93" s="6">
        <f t="shared" si="6"/>
        <v>272654.09760600002</v>
      </c>
      <c r="K93" s="6" t="str">
        <f t="shared" ca="1" si="7"/>
        <v/>
      </c>
      <c r="L93" s="8" t="str">
        <f>IF(Table1[[#This Row],[PRODUCT]]="APT",Table1[[#This Row],[SIZE]],"")</f>
        <v/>
      </c>
      <c r="M93" s="8">
        <f>YEAR(Table1[[#This Row],[SALE DATE]])</f>
        <v>2020</v>
      </c>
      <c r="N93" s="9" t="s">
        <v>30</v>
      </c>
      <c r="O93" s="8"/>
      <c r="P93" s="8"/>
    </row>
    <row r="94" spans="1:16" x14ac:dyDescent="0.3">
      <c r="A94" s="4" t="s">
        <v>111</v>
      </c>
      <c r="B94" s="5">
        <v>43910</v>
      </c>
      <c r="C94" s="6">
        <v>952000</v>
      </c>
      <c r="D94" s="7">
        <v>6</v>
      </c>
      <c r="E94" s="6">
        <f>IF(C94=0, (B94/D94), C94/D94)</f>
        <v>158666.66666666666</v>
      </c>
      <c r="F94" s="6">
        <f>C94*0.06</f>
        <v>57120</v>
      </c>
      <c r="G94" s="6">
        <f>(F94/2)-3925</f>
        <v>24635</v>
      </c>
      <c r="H94" s="6">
        <f>IF(A94="",0,(G94*0.9))</f>
        <v>22171.5</v>
      </c>
      <c r="I94" s="6">
        <f ca="1">IF(B94&lt;=TODAY(),Table1[[#This Row],[SPLIT]],0)</f>
        <v>22171.5</v>
      </c>
      <c r="J94" s="6">
        <f t="shared" si="6"/>
        <v>272654.09760600002</v>
      </c>
      <c r="K94" s="6" t="str">
        <f t="shared" ca="1" si="7"/>
        <v/>
      </c>
      <c r="L94" s="8">
        <f>IF(Table1[[#This Row],[PRODUCT]]="APT",Table1[[#This Row],[SIZE]],"")</f>
        <v>6</v>
      </c>
      <c r="M94" s="8">
        <f>YEAR(Table1[[#This Row],[SALE DATE]])</f>
        <v>2020</v>
      </c>
      <c r="N94" s="9" t="s">
        <v>15</v>
      </c>
      <c r="O94" s="8"/>
      <c r="P94" s="8"/>
    </row>
    <row r="95" spans="1:16" x14ac:dyDescent="0.3">
      <c r="A95" s="4" t="s">
        <v>112</v>
      </c>
      <c r="B95" s="5">
        <v>44018</v>
      </c>
      <c r="C95" s="6">
        <v>515000</v>
      </c>
      <c r="D95" s="7">
        <v>6</v>
      </c>
      <c r="E95" s="6">
        <f>IF(C95=0, (B95/D95), C95/D95)</f>
        <v>85833.333333333328</v>
      </c>
      <c r="F95" s="6">
        <f>C95*0.05</f>
        <v>25750</v>
      </c>
      <c r="G95" s="6">
        <f>F95</f>
        <v>25750</v>
      </c>
      <c r="H95" s="6">
        <f t="shared" ref="H95:H102" si="9">IF(A95="",0,G95*0.9)</f>
        <v>23175</v>
      </c>
      <c r="I95" s="6">
        <f ca="1">IF(B95&lt;=TODAY(),Table1[[#This Row],[SPLIT]],0)</f>
        <v>23175</v>
      </c>
      <c r="J95" s="6">
        <f t="shared" si="6"/>
        <v>272654.09760600002</v>
      </c>
      <c r="K95" s="6" t="str">
        <f t="shared" ca="1" si="7"/>
        <v/>
      </c>
      <c r="L95" s="8">
        <f>IF(Table1[[#This Row],[PRODUCT]]="APT",Table1[[#This Row],[SIZE]],"")</f>
        <v>6</v>
      </c>
      <c r="M95" s="8">
        <f>YEAR(Table1[[#This Row],[SALE DATE]])</f>
        <v>2020</v>
      </c>
      <c r="N95" s="9" t="s">
        <v>15</v>
      </c>
      <c r="O95" s="8"/>
      <c r="P95" s="8"/>
    </row>
    <row r="96" spans="1:16" x14ac:dyDescent="0.3">
      <c r="A96" s="4" t="s">
        <v>113</v>
      </c>
      <c r="B96" s="5">
        <v>44046</v>
      </c>
      <c r="C96" s="6">
        <v>1100000</v>
      </c>
      <c r="D96" s="7">
        <v>7</v>
      </c>
      <c r="E96" s="6">
        <f>IF(C96=0, (B96/D96), C96/D96)</f>
        <v>157142.85714285713</v>
      </c>
      <c r="F96" s="6">
        <f>C96*0.06</f>
        <v>66000</v>
      </c>
      <c r="G96" s="6">
        <f>F96</f>
        <v>66000</v>
      </c>
      <c r="H96" s="6">
        <f t="shared" si="9"/>
        <v>59400</v>
      </c>
      <c r="I96" s="6">
        <f ca="1">IF(B96&lt;=TODAY(),Table1[[#This Row],[SPLIT]],0)</f>
        <v>59400</v>
      </c>
      <c r="J96" s="6">
        <f t="shared" si="6"/>
        <v>272654.09760600002</v>
      </c>
      <c r="K96" s="6" t="str">
        <f t="shared" ca="1" si="7"/>
        <v/>
      </c>
      <c r="L96" s="8">
        <f>IF(Table1[[#This Row],[PRODUCT]]="APT",Table1[[#This Row],[SIZE]],"")</f>
        <v>7</v>
      </c>
      <c r="M96" s="8">
        <f>YEAR(Table1[[#This Row],[SALE DATE]])</f>
        <v>2020</v>
      </c>
      <c r="N96" s="9" t="s">
        <v>15</v>
      </c>
      <c r="O96" s="8"/>
      <c r="P96" s="8"/>
    </row>
    <row r="97" spans="1:16" x14ac:dyDescent="0.3">
      <c r="A97" s="4" t="s">
        <v>114</v>
      </c>
      <c r="B97" s="5">
        <v>44056</v>
      </c>
      <c r="C97" s="6">
        <v>945000</v>
      </c>
      <c r="D97" s="7">
        <v>8</v>
      </c>
      <c r="E97" s="6">
        <f>IF(C97=0, (B97/D97), C97/D97)</f>
        <v>118125</v>
      </c>
      <c r="F97" s="6">
        <f>C97*0.04</f>
        <v>37800</v>
      </c>
      <c r="G97" s="6">
        <f>F97</f>
        <v>37800</v>
      </c>
      <c r="H97" s="6">
        <f t="shared" si="9"/>
        <v>34020</v>
      </c>
      <c r="I97" s="6">
        <f ca="1">IF(B97&lt;=TODAY(),Table1[[#This Row],[SPLIT]],0)</f>
        <v>34020</v>
      </c>
      <c r="J97" s="6">
        <f t="shared" si="6"/>
        <v>272654.09760600002</v>
      </c>
      <c r="K97" s="6" t="str">
        <f t="shared" ca="1" si="7"/>
        <v/>
      </c>
      <c r="L97" s="8">
        <f>IF(Table1[[#This Row],[PRODUCT]]="APT",Table1[[#This Row],[SIZE]],"")</f>
        <v>8</v>
      </c>
      <c r="M97" s="8">
        <f>YEAR(Table1[[#This Row],[SALE DATE]])</f>
        <v>2020</v>
      </c>
      <c r="N97" s="9" t="s">
        <v>15</v>
      </c>
      <c r="O97" s="8"/>
      <c r="P97" s="8"/>
    </row>
    <row r="98" spans="1:16" x14ac:dyDescent="0.3">
      <c r="A98" s="4" t="s">
        <v>115</v>
      </c>
      <c r="B98" s="5">
        <v>44108</v>
      </c>
      <c r="C98" s="6">
        <v>1475000</v>
      </c>
      <c r="D98" s="7">
        <v>1920</v>
      </c>
      <c r="E98" s="6">
        <f>C98/D98</f>
        <v>768.22916666666663</v>
      </c>
      <c r="F98" s="6">
        <f>C98*0.02</f>
        <v>29500</v>
      </c>
      <c r="G98" s="6">
        <f>(F98/2)</f>
        <v>14750</v>
      </c>
      <c r="H98" s="6">
        <f t="shared" si="9"/>
        <v>13275</v>
      </c>
      <c r="I98" s="6">
        <f ca="1">IF(B98&lt;=TODAY(),Table1[[#This Row],[SPLIT]],0)</f>
        <v>13275</v>
      </c>
      <c r="J98" s="6">
        <f t="shared" ref="J98:J129" si="10">SUMIFS(H:H, B:B,"&gt;=" &amp; DATE(M98,1,1), B:B, "&lt;="&amp;DATE(M98,12,31))</f>
        <v>272654.09760600002</v>
      </c>
      <c r="K98" s="6" t="str">
        <f t="shared" ref="K98:K129" ca="1" si="11">IF(B98&gt;DATE((YEAR(TODAY())-1),12,31), J98-(SUMIFS(H:H, B:B,"&gt;=" &amp; DATE(M98,1,1), B:B, "&lt;="&amp;TODAY())),"")</f>
        <v/>
      </c>
      <c r="L98" s="8" t="str">
        <f>IF(Table1[[#This Row],[PRODUCT]]="APT",Table1[[#This Row],[SIZE]],"")</f>
        <v/>
      </c>
      <c r="M98" s="8">
        <f>YEAR(Table1[[#This Row],[SALE DATE]])</f>
        <v>2020</v>
      </c>
      <c r="N98" s="9" t="s">
        <v>30</v>
      </c>
      <c r="O98" s="8"/>
      <c r="P98" s="8"/>
    </row>
    <row r="99" spans="1:16" x14ac:dyDescent="0.3">
      <c r="A99" s="4" t="s">
        <v>116</v>
      </c>
      <c r="B99" s="5">
        <v>44119</v>
      </c>
      <c r="C99" s="6">
        <v>600000</v>
      </c>
      <c r="D99" s="7">
        <v>5000</v>
      </c>
      <c r="E99" s="6">
        <f>C99/D99</f>
        <v>120</v>
      </c>
      <c r="F99" s="6">
        <f>C99*0.025</f>
        <v>15000</v>
      </c>
      <c r="G99" s="6">
        <f>(F99/2)</f>
        <v>7500</v>
      </c>
      <c r="H99" s="6">
        <f t="shared" si="9"/>
        <v>6750</v>
      </c>
      <c r="I99" s="6">
        <f ca="1">IF(B99&lt;=TODAY(),Table1[[#This Row],[SPLIT]],0)</f>
        <v>6750</v>
      </c>
      <c r="J99" s="6">
        <f t="shared" si="10"/>
        <v>272654.09760600002</v>
      </c>
      <c r="K99" s="6" t="str">
        <f t="shared" ca="1" si="11"/>
        <v/>
      </c>
      <c r="L99" s="8" t="str">
        <f>IF(Table1[[#This Row],[PRODUCT]]="APT",Table1[[#This Row],[SIZE]],"")</f>
        <v/>
      </c>
      <c r="M99" s="8">
        <f>YEAR(Table1[[#This Row],[SALE DATE]])</f>
        <v>2020</v>
      </c>
      <c r="N99" s="9" t="s">
        <v>30</v>
      </c>
      <c r="O99" s="8"/>
      <c r="P99" s="8"/>
    </row>
    <row r="100" spans="1:16" x14ac:dyDescent="0.3">
      <c r="A100" s="4" t="s">
        <v>117</v>
      </c>
      <c r="B100" s="5">
        <v>44166</v>
      </c>
      <c r="C100" s="6">
        <v>129817.8</v>
      </c>
      <c r="D100" s="7">
        <v>3500</v>
      </c>
      <c r="E100" s="6">
        <f>C100/D100</f>
        <v>37.090800000000002</v>
      </c>
      <c r="F100" s="6">
        <f>C100*0.06</f>
        <v>7789.0680000000002</v>
      </c>
      <c r="G100" s="6">
        <f>(F100/2)</f>
        <v>3894.5340000000001</v>
      </c>
      <c r="H100" s="6">
        <f t="shared" si="9"/>
        <v>3505.0806000000002</v>
      </c>
      <c r="I100" s="6">
        <f ca="1">IF(B100&lt;=TODAY(),Table1[[#This Row],[SPLIT]],0)</f>
        <v>3505.0806000000002</v>
      </c>
      <c r="J100" s="6">
        <f t="shared" si="10"/>
        <v>272654.09760600002</v>
      </c>
      <c r="K100" s="6" t="str">
        <f t="shared" ca="1" si="11"/>
        <v/>
      </c>
      <c r="L100" s="8" t="str">
        <f>IF(Table1[[#This Row],[PRODUCT]]="APT",Table1[[#This Row],[SIZE]],"")</f>
        <v/>
      </c>
      <c r="M100" s="8">
        <f>YEAR(Table1[[#This Row],[SALE DATE]])</f>
        <v>2020</v>
      </c>
      <c r="N100" s="9" t="s">
        <v>79</v>
      </c>
      <c r="O100" s="8"/>
      <c r="P100" s="8"/>
    </row>
    <row r="101" spans="1:16" x14ac:dyDescent="0.3">
      <c r="A101" s="4" t="s">
        <v>118</v>
      </c>
      <c r="B101" s="5">
        <v>44187</v>
      </c>
      <c r="C101" s="6">
        <v>1300000</v>
      </c>
      <c r="D101" s="7">
        <v>10</v>
      </c>
      <c r="E101" s="6">
        <f>IF(C101=0, (B101/D101), C101/D101)</f>
        <v>130000</v>
      </c>
      <c r="F101" s="6">
        <f>(C101-35000)*0.045</f>
        <v>56925</v>
      </c>
      <c r="G101" s="6">
        <f>F101-5850</f>
        <v>51075</v>
      </c>
      <c r="H101" s="6">
        <f t="shared" si="9"/>
        <v>45967.5</v>
      </c>
      <c r="I101" s="6">
        <f ca="1">IF(B101&lt;=TODAY(),Table1[[#This Row],[SPLIT]],0)</f>
        <v>45967.5</v>
      </c>
      <c r="J101" s="6">
        <f t="shared" si="10"/>
        <v>272654.09760600002</v>
      </c>
      <c r="K101" s="6" t="str">
        <f t="shared" ca="1" si="11"/>
        <v/>
      </c>
      <c r="L101" s="8">
        <f>IF(Table1[[#This Row],[PRODUCT]]="APT",Table1[[#This Row],[SIZE]],"")</f>
        <v>10</v>
      </c>
      <c r="M101" s="8">
        <f>YEAR(Table1[[#This Row],[SALE DATE]])</f>
        <v>2020</v>
      </c>
      <c r="N101" s="9" t="s">
        <v>15</v>
      </c>
      <c r="O101" s="8"/>
      <c r="P101" s="8"/>
    </row>
    <row r="102" spans="1:16" x14ac:dyDescent="0.3">
      <c r="A102" s="4" t="s">
        <v>119</v>
      </c>
      <c r="B102" s="5">
        <v>44187</v>
      </c>
      <c r="C102" s="6">
        <v>860000</v>
      </c>
      <c r="D102" s="7">
        <v>8</v>
      </c>
      <c r="E102" s="6">
        <f>IF(C102=0, (B102/D102), C102/D102)</f>
        <v>107500</v>
      </c>
      <c r="F102" s="6">
        <f>C102*0.045</f>
        <v>38700</v>
      </c>
      <c r="G102" s="6">
        <f>F102-(0.1*F102)</f>
        <v>34830</v>
      </c>
      <c r="H102" s="6">
        <f t="shared" si="9"/>
        <v>31347</v>
      </c>
      <c r="I102" s="6">
        <f ca="1">IF(B102&lt;=TODAY(),Table1[[#This Row],[SPLIT]],0)</f>
        <v>31347</v>
      </c>
      <c r="J102" s="6">
        <f t="shared" si="10"/>
        <v>272654.09760600002</v>
      </c>
      <c r="K102" s="6" t="str">
        <f t="shared" ca="1" si="11"/>
        <v/>
      </c>
      <c r="L102" s="8">
        <f>IF(Table1[[#This Row],[PRODUCT]]="APT",Table1[[#This Row],[SIZE]],"")</f>
        <v>8</v>
      </c>
      <c r="M102" s="8">
        <f>YEAR(Table1[[#This Row],[SALE DATE]])</f>
        <v>2020</v>
      </c>
      <c r="N102" s="9" t="s">
        <v>15</v>
      </c>
      <c r="O102" s="8"/>
      <c r="P102" s="8"/>
    </row>
    <row r="103" spans="1:16" x14ac:dyDescent="0.3">
      <c r="A103" s="4" t="s">
        <v>120</v>
      </c>
      <c r="B103" s="5">
        <v>44209</v>
      </c>
      <c r="C103" s="6">
        <v>926000</v>
      </c>
      <c r="D103" s="7">
        <v>6</v>
      </c>
      <c r="E103" s="6">
        <v>154333.33333333334</v>
      </c>
      <c r="F103" s="6">
        <v>55560</v>
      </c>
      <c r="G103" s="6">
        <v>27780</v>
      </c>
      <c r="H103" s="6">
        <v>25279.8</v>
      </c>
      <c r="I103" s="6">
        <f ca="1">IF(B103&lt;=TODAY(),Table1[[#This Row],[SPLIT]],0)</f>
        <v>25279.8</v>
      </c>
      <c r="J103" s="6">
        <f t="shared" si="10"/>
        <v>316936.31060000003</v>
      </c>
      <c r="K103" s="6" t="str">
        <f t="shared" ca="1" si="11"/>
        <v/>
      </c>
      <c r="L103" s="8">
        <f>IF(Table1[[#This Row],[PRODUCT]]="APT",Table1[[#This Row],[SIZE]],"")</f>
        <v>6</v>
      </c>
      <c r="M103" s="8">
        <f>YEAR(Table1[[#This Row],[SALE DATE]])</f>
        <v>2021</v>
      </c>
      <c r="N103" s="9" t="s">
        <v>15</v>
      </c>
      <c r="O103" s="8"/>
      <c r="P103" s="8"/>
    </row>
    <row r="104" spans="1:16" x14ac:dyDescent="0.3">
      <c r="A104" s="4" t="s">
        <v>121</v>
      </c>
      <c r="B104" s="5">
        <v>44223</v>
      </c>
      <c r="C104" s="6">
        <v>2250000</v>
      </c>
      <c r="D104" s="7">
        <v>18</v>
      </c>
      <c r="E104" s="6">
        <f>C104/D104</f>
        <v>125000</v>
      </c>
      <c r="F104" s="6">
        <f>C104*0.02</f>
        <v>45000</v>
      </c>
      <c r="G104" s="6">
        <f>F104*0.1</f>
        <v>4500</v>
      </c>
      <c r="H104" s="6">
        <f>IF(A104="",0,G104*0.91)</f>
        <v>4095</v>
      </c>
      <c r="I104" s="6">
        <f ca="1">IF(B104&lt;=TODAY(),Table1[[#This Row],[SPLIT]],0)</f>
        <v>4095</v>
      </c>
      <c r="J104" s="6">
        <f t="shared" si="10"/>
        <v>316936.31060000003</v>
      </c>
      <c r="K104" s="6" t="str">
        <f t="shared" ca="1" si="11"/>
        <v/>
      </c>
      <c r="L104" s="8" t="str">
        <f>IF(Table1[[#This Row],[PRODUCT]]="APT",Table1[[#This Row],[SIZE]],"")</f>
        <v/>
      </c>
      <c r="M104" s="8">
        <f>YEAR(Table1[[#This Row],[SALE DATE]])</f>
        <v>2021</v>
      </c>
      <c r="N104" s="9" t="s">
        <v>46</v>
      </c>
      <c r="O104" s="8"/>
      <c r="P104" s="8"/>
    </row>
    <row r="105" spans="1:16" x14ac:dyDescent="0.3">
      <c r="A105" s="4" t="s">
        <v>122</v>
      </c>
      <c r="B105" s="5">
        <v>44377</v>
      </c>
      <c r="C105" s="6">
        <v>700000</v>
      </c>
      <c r="D105" s="7">
        <v>4</v>
      </c>
      <c r="E105" s="6">
        <v>175000</v>
      </c>
      <c r="F105" s="6">
        <v>42000</v>
      </c>
      <c r="G105" s="6">
        <v>21000</v>
      </c>
      <c r="H105" s="6">
        <v>19110</v>
      </c>
      <c r="I105" s="6">
        <f ca="1">IF(B105&lt;=TODAY(),Table1[[#This Row],[SPLIT]],0)</f>
        <v>19110</v>
      </c>
      <c r="J105" s="6">
        <f t="shared" si="10"/>
        <v>316936.31060000003</v>
      </c>
      <c r="K105" s="6" t="str">
        <f t="shared" ca="1" si="11"/>
        <v/>
      </c>
      <c r="L105" s="8">
        <f>IF(Table1[[#This Row],[PRODUCT]]="APT",Table1[[#This Row],[SIZE]],"")</f>
        <v>4</v>
      </c>
      <c r="M105" s="8">
        <f>YEAR(Table1[[#This Row],[SALE DATE]])</f>
        <v>2021</v>
      </c>
      <c r="N105" s="9" t="s">
        <v>15</v>
      </c>
      <c r="O105" s="8"/>
      <c r="P105" s="8"/>
    </row>
    <row r="106" spans="1:16" x14ac:dyDescent="0.3">
      <c r="A106" s="4" t="s">
        <v>123</v>
      </c>
      <c r="B106" s="5">
        <v>44404</v>
      </c>
      <c r="C106" s="6">
        <v>635000</v>
      </c>
      <c r="D106" s="7">
        <v>3</v>
      </c>
      <c r="E106" s="6">
        <v>211666.66666666666</v>
      </c>
      <c r="F106" s="6">
        <v>38100</v>
      </c>
      <c r="G106" s="6">
        <v>19050</v>
      </c>
      <c r="H106" s="6">
        <v>17335.5</v>
      </c>
      <c r="I106" s="6">
        <f ca="1">IF(B106&lt;=TODAY(),Table1[[#This Row],[SPLIT]],0)</f>
        <v>17335.5</v>
      </c>
      <c r="J106" s="6">
        <f t="shared" si="10"/>
        <v>316936.31060000003</v>
      </c>
      <c r="K106" s="6" t="str">
        <f t="shared" ca="1" si="11"/>
        <v/>
      </c>
      <c r="L106" s="8">
        <f>IF(Table1[[#This Row],[PRODUCT]]="APT",Table1[[#This Row],[SIZE]],"")</f>
        <v>3</v>
      </c>
      <c r="M106" s="8">
        <f>YEAR(Table1[[#This Row],[SALE DATE]])</f>
        <v>2021</v>
      </c>
      <c r="N106" s="9" t="s">
        <v>15</v>
      </c>
      <c r="O106" s="8"/>
      <c r="P106" s="8"/>
    </row>
    <row r="107" spans="1:16" x14ac:dyDescent="0.3">
      <c r="A107" s="4" t="s">
        <v>124</v>
      </c>
      <c r="B107" s="5">
        <v>44423</v>
      </c>
      <c r="C107" s="6">
        <v>1900000</v>
      </c>
      <c r="D107" s="7">
        <v>44.25</v>
      </c>
      <c r="E107" s="6">
        <f>C107/D107</f>
        <v>42937.853107344636</v>
      </c>
      <c r="F107" s="6">
        <f>C107*0.06</f>
        <v>114000</v>
      </c>
      <c r="G107" s="6">
        <f>(F107/2)*0.55*0.6</f>
        <v>18810</v>
      </c>
      <c r="H107" s="6">
        <f>IF(A107="",0,G107*0.91)</f>
        <v>17117.100000000002</v>
      </c>
      <c r="I107" s="6">
        <f ca="1">IF(B107&lt;=TODAY(),Table1[[#This Row],[SPLIT]],0)</f>
        <v>17117.100000000002</v>
      </c>
      <c r="J107" s="6">
        <f t="shared" si="10"/>
        <v>316936.31060000003</v>
      </c>
      <c r="K107" s="6" t="str">
        <f t="shared" ca="1" si="11"/>
        <v/>
      </c>
      <c r="L107" s="8" t="str">
        <f>IF(Table1[[#This Row],[PRODUCT]]="APT",Table1[[#This Row],[SIZE]],"")</f>
        <v/>
      </c>
      <c r="M107" s="8">
        <f>YEAR(Table1[[#This Row],[SALE DATE]])</f>
        <v>2021</v>
      </c>
      <c r="N107" s="9" t="s">
        <v>46</v>
      </c>
      <c r="O107" s="8"/>
      <c r="P107" s="8"/>
    </row>
    <row r="108" spans="1:16" x14ac:dyDescent="0.3">
      <c r="A108" s="4" t="s">
        <v>95</v>
      </c>
      <c r="B108" s="5">
        <v>44440</v>
      </c>
      <c r="C108" s="6">
        <v>96396</v>
      </c>
      <c r="D108" s="7">
        <v>1625</v>
      </c>
      <c r="E108" s="6">
        <f>C108/D108</f>
        <v>59.320615384615387</v>
      </c>
      <c r="F108" s="6">
        <f>C108*0.06</f>
        <v>5783.76</v>
      </c>
      <c r="G108" s="6">
        <f>F108*0.5</f>
        <v>2891.88</v>
      </c>
      <c r="H108" s="6">
        <f>IF(A108="",0,G108*0.91)</f>
        <v>2631.6108000000004</v>
      </c>
      <c r="I108" s="6">
        <f ca="1">IF(B108&lt;=TODAY(),Table1[[#This Row],[SPLIT]],0)</f>
        <v>2631.6108000000004</v>
      </c>
      <c r="J108" s="6">
        <f t="shared" si="10"/>
        <v>316936.31060000003</v>
      </c>
      <c r="K108" s="6" t="str">
        <f t="shared" ca="1" si="11"/>
        <v/>
      </c>
      <c r="L108" s="8" t="str">
        <f>IF(Table1[[#This Row],[PRODUCT]]="APT",Table1[[#This Row],[SIZE]],"")</f>
        <v/>
      </c>
      <c r="M108" s="8">
        <f>YEAR(Table1[[#This Row],[SALE DATE]])</f>
        <v>2021</v>
      </c>
      <c r="N108" s="9" t="s">
        <v>21</v>
      </c>
      <c r="O108" s="8"/>
      <c r="P108" s="8"/>
    </row>
    <row r="109" spans="1:16" x14ac:dyDescent="0.3">
      <c r="A109" s="4" t="s">
        <v>125</v>
      </c>
      <c r="B109" s="5">
        <v>44464</v>
      </c>
      <c r="C109" s="6">
        <v>13200000</v>
      </c>
      <c r="D109" s="7">
        <v>224</v>
      </c>
      <c r="E109" s="6">
        <f>C109/D109</f>
        <v>58928.571428571428</v>
      </c>
      <c r="F109" s="6">
        <f>C109*0.005</f>
        <v>66000</v>
      </c>
      <c r="G109" s="6">
        <f>F109*0.33333</f>
        <v>21999.780000000002</v>
      </c>
      <c r="H109" s="6">
        <f>IF(A109="",0,G109*0.91)</f>
        <v>20019.799800000004</v>
      </c>
      <c r="I109" s="6">
        <f ca="1">IF(B109&lt;=TODAY(),Table1[[#This Row],[SPLIT]],0)</f>
        <v>20019.799800000004</v>
      </c>
      <c r="J109" s="6">
        <f t="shared" si="10"/>
        <v>316936.31060000003</v>
      </c>
      <c r="K109" s="6" t="str">
        <f t="shared" ca="1" si="11"/>
        <v/>
      </c>
      <c r="L109" s="8" t="str">
        <f>IF(Table1[[#This Row],[PRODUCT]]="APT",Table1[[#This Row],[SIZE]],"")</f>
        <v/>
      </c>
      <c r="M109" s="8">
        <f>YEAR(Table1[[#This Row],[SALE DATE]])</f>
        <v>2021</v>
      </c>
      <c r="N109" s="9" t="s">
        <v>46</v>
      </c>
      <c r="O109" s="8"/>
      <c r="P109" s="8"/>
    </row>
    <row r="110" spans="1:16" x14ac:dyDescent="0.3">
      <c r="A110" s="4" t="s">
        <v>126</v>
      </c>
      <c r="B110" s="5">
        <v>44473</v>
      </c>
      <c r="C110" s="6">
        <v>635000</v>
      </c>
      <c r="D110" s="7">
        <v>4</v>
      </c>
      <c r="E110" s="6">
        <v>158750</v>
      </c>
      <c r="F110" s="6">
        <v>26750</v>
      </c>
      <c r="G110" s="6">
        <v>26750</v>
      </c>
      <c r="H110" s="6">
        <v>24342.5</v>
      </c>
      <c r="I110" s="6">
        <f ca="1">IF(B110&lt;=TODAY(),Table1[[#This Row],[SPLIT]],0)</f>
        <v>24342.5</v>
      </c>
      <c r="J110" s="6">
        <f t="shared" si="10"/>
        <v>316936.31060000003</v>
      </c>
      <c r="K110" s="6" t="str">
        <f t="shared" ca="1" si="11"/>
        <v/>
      </c>
      <c r="L110" s="8">
        <f>IF(Table1[[#This Row],[PRODUCT]]="APT",Table1[[#This Row],[SIZE]],"")</f>
        <v>4</v>
      </c>
      <c r="M110" s="8">
        <f>YEAR(Table1[[#This Row],[SALE DATE]])</f>
        <v>2021</v>
      </c>
      <c r="N110" s="9" t="s">
        <v>15</v>
      </c>
      <c r="O110" s="8"/>
      <c r="P110" s="8"/>
    </row>
    <row r="111" spans="1:16" x14ac:dyDescent="0.3">
      <c r="A111" s="4" t="s">
        <v>127</v>
      </c>
      <c r="B111" s="5">
        <v>44505</v>
      </c>
      <c r="C111" s="6"/>
      <c r="D111" s="7">
        <v>0</v>
      </c>
      <c r="E111" s="6" t="e">
        <f>C111/D111</f>
        <v>#DIV/0!</v>
      </c>
      <c r="F111" s="6">
        <v>3000</v>
      </c>
      <c r="G111" s="6">
        <f>F111</f>
        <v>3000</v>
      </c>
      <c r="H111" s="6">
        <f>IF(A111="",0,G111*0.91)</f>
        <v>2730</v>
      </c>
      <c r="I111" s="6">
        <f ca="1">IF(B111&lt;=TODAY(),Table1[[#This Row],[SPLIT]],0)</f>
        <v>2730</v>
      </c>
      <c r="J111" s="6">
        <f t="shared" si="10"/>
        <v>316936.31060000003</v>
      </c>
      <c r="K111" s="6" t="str">
        <f t="shared" ca="1" si="11"/>
        <v/>
      </c>
      <c r="L111" s="8" t="str">
        <f>IF(Table1[[#This Row],[PRODUCT]]="APT",Table1[[#This Row],[SIZE]],"")</f>
        <v/>
      </c>
      <c r="M111" s="8">
        <f>YEAR(Table1[[#This Row],[SALE DATE]])</f>
        <v>2021</v>
      </c>
      <c r="N111" s="9" t="s">
        <v>30</v>
      </c>
      <c r="O111" s="8"/>
      <c r="P111" s="8"/>
    </row>
    <row r="112" spans="1:16" x14ac:dyDescent="0.3">
      <c r="A112" s="4" t="s">
        <v>128</v>
      </c>
      <c r="B112" s="5">
        <v>44550</v>
      </c>
      <c r="C112" s="6">
        <v>13500000</v>
      </c>
      <c r="D112" s="7">
        <v>116</v>
      </c>
      <c r="E112" s="6">
        <v>116379.31034482758</v>
      </c>
      <c r="F112" s="6">
        <v>405000</v>
      </c>
      <c r="G112" s="6">
        <v>202500</v>
      </c>
      <c r="H112" s="6">
        <v>184275</v>
      </c>
      <c r="I112" s="6">
        <f ca="1">IF(B112&lt;=TODAY(),Table1[[#This Row],[SPLIT]],0)</f>
        <v>184275</v>
      </c>
      <c r="J112" s="6">
        <f t="shared" si="10"/>
        <v>316936.31060000003</v>
      </c>
      <c r="K112" s="6" t="str">
        <f t="shared" ca="1" si="11"/>
        <v/>
      </c>
      <c r="L112" s="8">
        <f>IF(Table1[[#This Row],[PRODUCT]]="APT",Table1[[#This Row],[SIZE]],"")</f>
        <v>116</v>
      </c>
      <c r="M112" s="8">
        <f>YEAR(Table1[[#This Row],[SALE DATE]])</f>
        <v>2021</v>
      </c>
      <c r="N112" s="9" t="s">
        <v>15</v>
      </c>
      <c r="O112" s="8"/>
      <c r="P112" s="8"/>
    </row>
    <row r="113" spans="1:16" x14ac:dyDescent="0.3">
      <c r="A113" s="4" t="s">
        <v>129</v>
      </c>
      <c r="B113" s="5">
        <v>44588</v>
      </c>
      <c r="C113" s="6">
        <v>1900000</v>
      </c>
      <c r="D113" s="7">
        <v>10.199999999999999</v>
      </c>
      <c r="E113" s="6">
        <f>C113/D113</f>
        <v>186274.5098039216</v>
      </c>
      <c r="F113" s="6">
        <f>C113*0.05</f>
        <v>95000</v>
      </c>
      <c r="G113" s="6">
        <f>((F113/2)*0.8)/2</f>
        <v>19000</v>
      </c>
      <c r="H113" s="6">
        <f t="shared" ref="H113:H126" si="12">IF(A113="",0,G113*0.91)</f>
        <v>17290</v>
      </c>
      <c r="I113" s="6">
        <f ca="1">IF(B113&lt;=TODAY(),Table1[[#This Row],[SPLIT]],0)</f>
        <v>17290</v>
      </c>
      <c r="J113" s="6">
        <f t="shared" si="10"/>
        <v>286695.91859999998</v>
      </c>
      <c r="K113" s="6" t="str">
        <f t="shared" ca="1" si="11"/>
        <v/>
      </c>
      <c r="L113" s="8" t="str">
        <f>IF(Table1[[#This Row],[PRODUCT]]="APT",Table1[[#This Row],[SIZE]],"")</f>
        <v/>
      </c>
      <c r="M113" s="8">
        <f>YEAR(Table1[[#This Row],[SALE DATE]])</f>
        <v>2022</v>
      </c>
      <c r="N113" s="9" t="s">
        <v>46</v>
      </c>
      <c r="O113" s="8"/>
      <c r="P113" s="8"/>
    </row>
    <row r="114" spans="1:16" x14ac:dyDescent="0.3">
      <c r="A114" s="4" t="s">
        <v>130</v>
      </c>
      <c r="B114" s="5">
        <v>44593</v>
      </c>
      <c r="C114" s="6">
        <v>640000</v>
      </c>
      <c r="D114" s="7">
        <v>4</v>
      </c>
      <c r="E114" s="6">
        <f>IF(C114=0, (B114/D114), C114/D114)</f>
        <v>160000</v>
      </c>
      <c r="F114" s="6">
        <f>C114*0.06</f>
        <v>38400</v>
      </c>
      <c r="G114" s="6">
        <f>F114/2</f>
        <v>19200</v>
      </c>
      <c r="H114" s="6">
        <f t="shared" si="12"/>
        <v>17472</v>
      </c>
      <c r="I114" s="6">
        <f ca="1">IF(B114&lt;=TODAY(),Table1[[#This Row],[SPLIT]],0)</f>
        <v>17472</v>
      </c>
      <c r="J114" s="6">
        <f t="shared" si="10"/>
        <v>286695.91859999998</v>
      </c>
      <c r="K114" s="6" t="str">
        <f t="shared" ca="1" si="11"/>
        <v/>
      </c>
      <c r="L114" s="8">
        <f>IF(Table1[[#This Row],[PRODUCT]]="APT",Table1[[#This Row],[SIZE]],"")</f>
        <v>4</v>
      </c>
      <c r="M114" s="8">
        <f>YEAR(Table1[[#This Row],[SALE DATE]])</f>
        <v>2022</v>
      </c>
      <c r="N114" s="9" t="s">
        <v>15</v>
      </c>
      <c r="O114" s="8"/>
      <c r="P114" s="8"/>
    </row>
    <row r="115" spans="1:16" x14ac:dyDescent="0.3">
      <c r="A115" s="4" t="s">
        <v>131</v>
      </c>
      <c r="B115" s="5">
        <v>44632</v>
      </c>
      <c r="C115" s="6">
        <f>96396/2</f>
        <v>48198</v>
      </c>
      <c r="D115" s="7">
        <v>1625</v>
      </c>
      <c r="E115" s="6">
        <f>C115/D115</f>
        <v>29.660307692307693</v>
      </c>
      <c r="F115" s="6">
        <f>C115*0.06</f>
        <v>2891.88</v>
      </c>
      <c r="G115" s="6">
        <f>F115*0.5</f>
        <v>1445.94</v>
      </c>
      <c r="H115" s="6">
        <f t="shared" si="12"/>
        <v>1315.8054000000002</v>
      </c>
      <c r="I115" s="6">
        <f ca="1">IF(B115&lt;=TODAY(),Table1[[#This Row],[SPLIT]],0)</f>
        <v>1315.8054000000002</v>
      </c>
      <c r="J115" s="6">
        <f t="shared" si="10"/>
        <v>286695.91859999998</v>
      </c>
      <c r="K115" s="6" t="str">
        <f t="shared" ca="1" si="11"/>
        <v/>
      </c>
      <c r="L115" s="8" t="str">
        <f>IF(Table1[[#This Row],[PRODUCT]]="APT",Table1[[#This Row],[SIZE]],"")</f>
        <v/>
      </c>
      <c r="M115" s="8">
        <f>YEAR(Table1[[#This Row],[SALE DATE]])</f>
        <v>2022</v>
      </c>
      <c r="N115" s="9" t="s">
        <v>21</v>
      </c>
      <c r="O115" s="8"/>
      <c r="P115" s="8"/>
    </row>
    <row r="116" spans="1:16" x14ac:dyDescent="0.3">
      <c r="A116" s="4" t="s">
        <v>132</v>
      </c>
      <c r="B116" s="5">
        <v>44648</v>
      </c>
      <c r="C116" s="6">
        <v>2950000</v>
      </c>
      <c r="D116" s="7">
        <v>21</v>
      </c>
      <c r="E116" s="6">
        <f>IF(C116=0, (B116/D116), C116/D116)</f>
        <v>140476.19047619047</v>
      </c>
      <c r="F116" s="6">
        <f>C116*0.06</f>
        <v>177000</v>
      </c>
      <c r="G116" s="6">
        <f>F116/2-2500</f>
        <v>86000</v>
      </c>
      <c r="H116" s="6">
        <f t="shared" si="12"/>
        <v>78260</v>
      </c>
      <c r="I116" s="6">
        <f ca="1">IF(B116&lt;=TODAY(),Table1[[#This Row],[SPLIT]],0)</f>
        <v>78260</v>
      </c>
      <c r="J116" s="6">
        <f t="shared" si="10"/>
        <v>286695.91859999998</v>
      </c>
      <c r="K116" s="6" t="str">
        <f t="shared" ca="1" si="11"/>
        <v/>
      </c>
      <c r="L116" s="8">
        <f>IF(Table1[[#This Row],[PRODUCT]]="APT",Table1[[#This Row],[SIZE]],"")</f>
        <v>21</v>
      </c>
      <c r="M116" s="8">
        <f>YEAR(Table1[[#This Row],[SALE DATE]])</f>
        <v>2022</v>
      </c>
      <c r="N116" s="9" t="s">
        <v>15</v>
      </c>
      <c r="O116" s="8"/>
      <c r="P116" s="8"/>
    </row>
    <row r="117" spans="1:16" x14ac:dyDescent="0.3">
      <c r="A117" s="4" t="s">
        <v>133</v>
      </c>
      <c r="B117" s="5">
        <v>44677</v>
      </c>
      <c r="C117" s="6">
        <v>1925000</v>
      </c>
      <c r="D117" s="7">
        <v>10500</v>
      </c>
      <c r="E117" s="6">
        <f>C117/D117</f>
        <v>183.33333333333334</v>
      </c>
      <c r="F117" s="6">
        <f>C117*0.04</f>
        <v>77000</v>
      </c>
      <c r="G117" s="6">
        <f>F117*0.25-1250</f>
        <v>18000</v>
      </c>
      <c r="H117" s="6">
        <f t="shared" si="12"/>
        <v>16380</v>
      </c>
      <c r="I117" s="6">
        <f ca="1">IF(B117&lt;=TODAY(),Table1[[#This Row],[SPLIT]],0)</f>
        <v>16380</v>
      </c>
      <c r="J117" s="6">
        <f t="shared" si="10"/>
        <v>286695.91859999998</v>
      </c>
      <c r="K117" s="6" t="str">
        <f t="shared" ca="1" si="11"/>
        <v/>
      </c>
      <c r="L117" s="8" t="str">
        <f>IF(Table1[[#This Row],[PRODUCT]]="APT",Table1[[#This Row],[SIZE]],"")</f>
        <v/>
      </c>
      <c r="M117" s="8">
        <f>YEAR(Table1[[#This Row],[SALE DATE]])</f>
        <v>2022</v>
      </c>
      <c r="N117" s="9" t="s">
        <v>30</v>
      </c>
      <c r="O117" s="8"/>
      <c r="P117" s="8"/>
    </row>
    <row r="118" spans="1:16" x14ac:dyDescent="0.3">
      <c r="A118" s="4" t="s">
        <v>134</v>
      </c>
      <c r="B118" s="5">
        <v>44677</v>
      </c>
      <c r="C118" s="6">
        <v>1351000</v>
      </c>
      <c r="D118" s="7">
        <v>10500</v>
      </c>
      <c r="E118" s="6">
        <f>C118/D118</f>
        <v>128.66666666666666</v>
      </c>
      <c r="F118" s="6">
        <f>C118*0.01</f>
        <v>13510</v>
      </c>
      <c r="G118" s="6">
        <f>F118*0.1</f>
        <v>1351</v>
      </c>
      <c r="H118" s="6">
        <f t="shared" si="12"/>
        <v>1229.4100000000001</v>
      </c>
      <c r="I118" s="6">
        <f ca="1">IF(B118&lt;=TODAY(),Table1[[#This Row],[SPLIT]],0)</f>
        <v>1229.4100000000001</v>
      </c>
      <c r="J118" s="6">
        <f t="shared" si="10"/>
        <v>286695.91859999998</v>
      </c>
      <c r="K118" s="6" t="str">
        <f t="shared" ca="1" si="11"/>
        <v/>
      </c>
      <c r="L118" s="8" t="str">
        <f>IF(Table1[[#This Row],[PRODUCT]]="APT",Table1[[#This Row],[SIZE]],"")</f>
        <v/>
      </c>
      <c r="M118" s="8">
        <f>YEAR(Table1[[#This Row],[SALE DATE]])</f>
        <v>2022</v>
      </c>
      <c r="N118" s="9" t="s">
        <v>66</v>
      </c>
      <c r="O118" s="8"/>
      <c r="P118" s="8"/>
    </row>
    <row r="119" spans="1:16" x14ac:dyDescent="0.3">
      <c r="A119" s="4" t="s">
        <v>135</v>
      </c>
      <c r="B119" s="5">
        <v>44678</v>
      </c>
      <c r="C119" s="6"/>
      <c r="D119" s="7"/>
      <c r="E119" s="6"/>
      <c r="F119" s="6">
        <v>5392.5</v>
      </c>
      <c r="G119" s="6">
        <f>F119</f>
        <v>5392.5</v>
      </c>
      <c r="H119" s="6">
        <f t="shared" si="12"/>
        <v>4907.1750000000002</v>
      </c>
      <c r="I119" s="6">
        <f ca="1">IF(B119&lt;=TODAY(),Table1[[#This Row],[SPLIT]],0)</f>
        <v>4907.1750000000002</v>
      </c>
      <c r="J119" s="6">
        <f t="shared" si="10"/>
        <v>286695.91859999998</v>
      </c>
      <c r="K119" s="6" t="str">
        <f t="shared" ca="1" si="11"/>
        <v/>
      </c>
      <c r="L119" s="8">
        <f>IF(Table1[[#This Row],[PRODUCT]]="APT",Table1[[#This Row],[SIZE]],"")</f>
        <v>0</v>
      </c>
      <c r="M119" s="8">
        <f>YEAR(Table1[[#This Row],[SALE DATE]])</f>
        <v>2022</v>
      </c>
      <c r="N119" s="9" t="s">
        <v>15</v>
      </c>
      <c r="O119" s="8"/>
      <c r="P119" s="8"/>
    </row>
    <row r="120" spans="1:16" x14ac:dyDescent="0.3">
      <c r="A120" s="4" t="s">
        <v>136</v>
      </c>
      <c r="B120" s="5">
        <v>44679</v>
      </c>
      <c r="C120" s="6"/>
      <c r="D120" s="7"/>
      <c r="E120" s="6"/>
      <c r="F120" s="6">
        <v>349.48</v>
      </c>
      <c r="G120" s="6">
        <f>F120</f>
        <v>349.48</v>
      </c>
      <c r="H120" s="6">
        <f t="shared" si="12"/>
        <v>318.02680000000004</v>
      </c>
      <c r="I120" s="6">
        <f ca="1">IF(B120&lt;=TODAY(),Table1[[#This Row],[SPLIT]],0)</f>
        <v>318.02680000000004</v>
      </c>
      <c r="J120" s="6">
        <f t="shared" si="10"/>
        <v>286695.91859999998</v>
      </c>
      <c r="K120" s="6" t="str">
        <f t="shared" ca="1" si="11"/>
        <v/>
      </c>
      <c r="L120" s="8" t="str">
        <f>IF(Table1[[#This Row],[PRODUCT]]="APT",Table1[[#This Row],[SIZE]],"")</f>
        <v/>
      </c>
      <c r="M120" s="8">
        <f>YEAR(Table1[[#This Row],[SALE DATE]])</f>
        <v>2022</v>
      </c>
      <c r="N120" s="9" t="s">
        <v>30</v>
      </c>
      <c r="O120" s="8"/>
      <c r="P120" s="8"/>
    </row>
    <row r="121" spans="1:16" x14ac:dyDescent="0.3">
      <c r="A121" s="4" t="s">
        <v>137</v>
      </c>
      <c r="B121" s="5">
        <v>44680</v>
      </c>
      <c r="C121" s="6"/>
      <c r="D121" s="7"/>
      <c r="E121" s="6"/>
      <c r="F121" s="6">
        <v>349.48</v>
      </c>
      <c r="G121" s="6">
        <f>F121</f>
        <v>349.48</v>
      </c>
      <c r="H121" s="6">
        <f t="shared" si="12"/>
        <v>318.02680000000004</v>
      </c>
      <c r="I121" s="6">
        <f ca="1">IF(B121&lt;=TODAY(),Table1[[#This Row],[SPLIT]],0)</f>
        <v>318.02680000000004</v>
      </c>
      <c r="J121" s="6">
        <f t="shared" si="10"/>
        <v>286695.91859999998</v>
      </c>
      <c r="K121" s="6" t="str">
        <f t="shared" ca="1" si="11"/>
        <v/>
      </c>
      <c r="L121" s="8" t="str">
        <f>IF(Table1[[#This Row],[PRODUCT]]="APT",Table1[[#This Row],[SIZE]],"")</f>
        <v/>
      </c>
      <c r="M121" s="8">
        <f>YEAR(Table1[[#This Row],[SALE DATE]])</f>
        <v>2022</v>
      </c>
      <c r="N121" s="9" t="s">
        <v>30</v>
      </c>
      <c r="O121" s="8"/>
      <c r="P121" s="8"/>
    </row>
    <row r="122" spans="1:16" x14ac:dyDescent="0.3">
      <c r="A122" s="4" t="s">
        <v>138</v>
      </c>
      <c r="B122" s="5">
        <v>44704</v>
      </c>
      <c r="C122" s="6">
        <v>800000</v>
      </c>
      <c r="D122" s="7">
        <v>4</v>
      </c>
      <c r="E122" s="6">
        <f>C122/D122</f>
        <v>200000</v>
      </c>
      <c r="F122" s="6">
        <f>C122*0.06</f>
        <v>48000</v>
      </c>
      <c r="G122" s="6">
        <f>F122*0.5</f>
        <v>24000</v>
      </c>
      <c r="H122" s="6">
        <f t="shared" si="12"/>
        <v>21840</v>
      </c>
      <c r="I122" s="6">
        <f ca="1">IF(B122&lt;=TODAY(),Table1[[#This Row],[SPLIT]],0)</f>
        <v>21840</v>
      </c>
      <c r="J122" s="6">
        <f t="shared" si="10"/>
        <v>286695.91859999998</v>
      </c>
      <c r="K122" s="6" t="str">
        <f t="shared" ca="1" si="11"/>
        <v/>
      </c>
      <c r="L122" s="8" t="str">
        <f>IF(Table1[[#This Row],[PRODUCT]]="APT",Table1[[#This Row],[SIZE]],"")</f>
        <v/>
      </c>
      <c r="M122" s="8">
        <f>YEAR(Table1[[#This Row],[SALE DATE]])</f>
        <v>2022</v>
      </c>
      <c r="N122" s="9" t="s">
        <v>46</v>
      </c>
      <c r="O122" s="8"/>
      <c r="P122" s="8"/>
    </row>
    <row r="123" spans="1:16" x14ac:dyDescent="0.3">
      <c r="A123" s="4" t="s">
        <v>139</v>
      </c>
      <c r="B123" s="5">
        <v>44743</v>
      </c>
      <c r="C123" s="6">
        <v>7000000</v>
      </c>
      <c r="D123" s="7">
        <v>37993</v>
      </c>
      <c r="E123" s="6">
        <f>C123/D123</f>
        <v>184.24446608585791</v>
      </c>
      <c r="F123" s="6">
        <f>C123*0.04</f>
        <v>280000</v>
      </c>
      <c r="G123" s="6">
        <f>(F123*0.5)-20000</f>
        <v>120000</v>
      </c>
      <c r="H123" s="6">
        <f t="shared" si="12"/>
        <v>109200</v>
      </c>
      <c r="I123" s="6">
        <f ca="1">IF(B123&lt;=TODAY(),Table1[[#This Row],[SPLIT]],0)</f>
        <v>109200</v>
      </c>
      <c r="J123" s="6">
        <f t="shared" si="10"/>
        <v>286695.91859999998</v>
      </c>
      <c r="K123" s="6" t="str">
        <f t="shared" ca="1" si="11"/>
        <v/>
      </c>
      <c r="L123" s="8" t="str">
        <f>IF(Table1[[#This Row],[PRODUCT]]="APT",Table1[[#This Row],[SIZE]],"")</f>
        <v/>
      </c>
      <c r="M123" s="8">
        <f>YEAR(Table1[[#This Row],[SALE DATE]])</f>
        <v>2022</v>
      </c>
      <c r="N123" s="9" t="s">
        <v>79</v>
      </c>
      <c r="O123" s="8"/>
      <c r="P123" s="8"/>
    </row>
    <row r="124" spans="1:16" x14ac:dyDescent="0.3">
      <c r="A124" s="4" t="s">
        <v>140</v>
      </c>
      <c r="B124" s="5">
        <v>44788</v>
      </c>
      <c r="C124" s="6">
        <f>423977/2</f>
        <v>211988.5</v>
      </c>
      <c r="D124" s="7">
        <v>2606</v>
      </c>
      <c r="E124" s="6">
        <f>C124/D124</f>
        <v>81.346316193399844</v>
      </c>
      <c r="F124" s="6">
        <f>C124*0.06</f>
        <v>12719.31</v>
      </c>
      <c r="G124" s="6">
        <f>(F124/2)</f>
        <v>6359.6549999999997</v>
      </c>
      <c r="H124" s="6">
        <f t="shared" si="12"/>
        <v>5787.2860499999997</v>
      </c>
      <c r="I124" s="6">
        <f ca="1">IF(B124&lt;=TODAY(),Table1[[#This Row],[SPLIT]],0)</f>
        <v>5787.2860499999997</v>
      </c>
      <c r="J124" s="6">
        <f t="shared" si="10"/>
        <v>286695.91859999998</v>
      </c>
      <c r="K124" s="6" t="str">
        <f t="shared" ca="1" si="11"/>
        <v/>
      </c>
      <c r="L124" s="8" t="str">
        <f>IF(Table1[[#This Row],[PRODUCT]]="APT",Table1[[#This Row],[SIZE]],"")</f>
        <v/>
      </c>
      <c r="M124" s="8">
        <f>YEAR(Table1[[#This Row],[SALE DATE]])</f>
        <v>2022</v>
      </c>
      <c r="N124" s="9" t="s">
        <v>21</v>
      </c>
      <c r="O124" s="8"/>
      <c r="P124" s="8"/>
    </row>
    <row r="125" spans="1:16" x14ac:dyDescent="0.3">
      <c r="A125" s="4" t="s">
        <v>141</v>
      </c>
      <c r="B125" s="5">
        <v>44819</v>
      </c>
      <c r="C125" s="6">
        <f>241425/2</f>
        <v>120712.5</v>
      </c>
      <c r="D125" s="7">
        <v>2000</v>
      </c>
      <c r="E125" s="6">
        <f>C125/D125</f>
        <v>60.356250000000003</v>
      </c>
      <c r="F125" s="6">
        <f>C125*0.06</f>
        <v>7242.75</v>
      </c>
      <c r="G125" s="6">
        <f>(F125)</f>
        <v>7242.75</v>
      </c>
      <c r="H125" s="6">
        <f t="shared" si="12"/>
        <v>6590.9025000000001</v>
      </c>
      <c r="I125" s="6">
        <f ca="1">IF(B125&lt;=TODAY(),Table1[[#This Row],[SPLIT]],0)</f>
        <v>6590.9025000000001</v>
      </c>
      <c r="J125" s="6">
        <f t="shared" si="10"/>
        <v>286695.91859999998</v>
      </c>
      <c r="K125" s="6" t="str">
        <f t="shared" ca="1" si="11"/>
        <v/>
      </c>
      <c r="L125" s="8" t="str">
        <f>IF(Table1[[#This Row],[PRODUCT]]="APT",Table1[[#This Row],[SIZE]],"")</f>
        <v/>
      </c>
      <c r="M125" s="8">
        <f>YEAR(Table1[[#This Row],[SALE DATE]])</f>
        <v>2022</v>
      </c>
      <c r="N125" s="9" t="s">
        <v>21</v>
      </c>
      <c r="O125" s="8"/>
      <c r="P125" s="8"/>
    </row>
    <row r="126" spans="1:16" x14ac:dyDescent="0.3">
      <c r="A126" s="4" t="s">
        <v>142</v>
      </c>
      <c r="B126" s="5">
        <v>44880</v>
      </c>
      <c r="C126" s="6">
        <f>423977/2</f>
        <v>211988.5</v>
      </c>
      <c r="D126" s="7">
        <v>2606</v>
      </c>
      <c r="E126" s="6">
        <f>C126/D126</f>
        <v>81.346316193399844</v>
      </c>
      <c r="F126" s="6">
        <f>C126*0.06</f>
        <v>12719.31</v>
      </c>
      <c r="G126" s="6">
        <f>(F126/2)</f>
        <v>6359.6549999999997</v>
      </c>
      <c r="H126" s="6">
        <f t="shared" si="12"/>
        <v>5787.2860499999997</v>
      </c>
      <c r="I126" s="6">
        <f ca="1">IF(B126&lt;=TODAY(),Table1[[#This Row],[SPLIT]],0)</f>
        <v>5787.2860499999997</v>
      </c>
      <c r="J126" s="6">
        <f t="shared" si="10"/>
        <v>286695.91859999998</v>
      </c>
      <c r="K126" s="6" t="str">
        <f t="shared" ca="1" si="11"/>
        <v/>
      </c>
      <c r="L126" s="8" t="str">
        <f>IF(Table1[[#This Row],[PRODUCT]]="APT",Table1[[#This Row],[SIZE]],"")</f>
        <v/>
      </c>
      <c r="M126" s="8">
        <f>YEAR(Table1[[#This Row],[SALE DATE]])</f>
        <v>2022</v>
      </c>
      <c r="N126" s="9" t="s">
        <v>21</v>
      </c>
      <c r="O126" s="8"/>
      <c r="P126" s="8"/>
    </row>
    <row r="127" spans="1:16" x14ac:dyDescent="0.3">
      <c r="A127" s="4" t="s">
        <v>143</v>
      </c>
      <c r="B127" s="5">
        <v>44945</v>
      </c>
      <c r="C127" s="6">
        <v>900000</v>
      </c>
      <c r="D127" s="7">
        <v>6</v>
      </c>
      <c r="E127" s="6">
        <f>IF(C127=0, (B127/D127), C127/D127)</f>
        <v>150000</v>
      </c>
      <c r="F127" s="6">
        <v>54000</v>
      </c>
      <c r="G127" s="6">
        <f>F127/2</f>
        <v>27000</v>
      </c>
      <c r="H127" s="6">
        <v>27000</v>
      </c>
      <c r="I127" s="6">
        <f ca="1">IF(B127&lt;=TODAY(),Table1[[#This Row],[SPLIT]],0)</f>
        <v>27000</v>
      </c>
      <c r="J127" s="6">
        <f t="shared" si="10"/>
        <v>323393.28600700002</v>
      </c>
      <c r="K127" s="6" t="str">
        <f t="shared" ca="1" si="11"/>
        <v/>
      </c>
      <c r="L127" s="8">
        <f>IF(Table1[[#This Row],[PRODUCT]]="APT",Table1[[#This Row],[SIZE]],"")</f>
        <v>6</v>
      </c>
      <c r="M127" s="8">
        <f>YEAR(Table1[[#This Row],[SALE DATE]])</f>
        <v>2023</v>
      </c>
      <c r="N127" s="9" t="s">
        <v>15</v>
      </c>
      <c r="O127" s="8"/>
      <c r="P127" s="8"/>
    </row>
    <row r="128" spans="1:16" x14ac:dyDescent="0.3">
      <c r="A128" s="4" t="s">
        <v>144</v>
      </c>
      <c r="B128" s="5">
        <v>44966</v>
      </c>
      <c r="C128" s="6">
        <f>((9983.88*12)+(10383.23*12)+(10798.56*12)+(11230.5*12)+(11679.72*12))/2</f>
        <v>324455.34000000003</v>
      </c>
      <c r="D128" s="7">
        <v>7261</v>
      </c>
      <c r="E128" s="6">
        <f>C128/D128</f>
        <v>44.684663269522105</v>
      </c>
      <c r="F128" s="6">
        <f>C128*0.06</f>
        <v>19467.320400000001</v>
      </c>
      <c r="G128" s="6">
        <f>F128*0.25</f>
        <v>4866.8301000000001</v>
      </c>
      <c r="H128" s="6">
        <f t="shared" ref="H128:H142" si="13">IF(A128="",0,G128*0.91)</f>
        <v>4428.8153910000001</v>
      </c>
      <c r="I128" s="6">
        <f ca="1">IF(B128&lt;=TODAY(),Table1[[#This Row],[SPLIT]],0)</f>
        <v>4428.8153910000001</v>
      </c>
      <c r="J128" s="6">
        <f t="shared" si="10"/>
        <v>323393.28600700002</v>
      </c>
      <c r="K128" s="6" t="str">
        <f t="shared" ca="1" si="11"/>
        <v/>
      </c>
      <c r="L128" s="8" t="str">
        <f>IF(Table1[[#This Row],[PRODUCT]]="APT",Table1[[#This Row],[SIZE]],"")</f>
        <v/>
      </c>
      <c r="M128" s="8">
        <f>YEAR(Table1[[#This Row],[SALE DATE]])</f>
        <v>2023</v>
      </c>
      <c r="N128" s="9" t="s">
        <v>79</v>
      </c>
      <c r="O128" s="8"/>
      <c r="P128" s="8"/>
    </row>
    <row r="129" spans="1:16" x14ac:dyDescent="0.3">
      <c r="A129" s="4" t="s">
        <v>145</v>
      </c>
      <c r="B129" s="5">
        <v>44966</v>
      </c>
      <c r="C129" s="6">
        <v>895000</v>
      </c>
      <c r="D129" s="7">
        <v>4000</v>
      </c>
      <c r="E129" s="6">
        <f>C129/D129</f>
        <v>223.75</v>
      </c>
      <c r="F129" s="6">
        <f>C129*0.06</f>
        <v>53700</v>
      </c>
      <c r="G129" s="6">
        <f>(F129*0.5)*0.25</f>
        <v>6712.5</v>
      </c>
      <c r="H129" s="6">
        <f t="shared" si="13"/>
        <v>6108.375</v>
      </c>
      <c r="I129" s="6">
        <f ca="1">IF(B129&lt;=TODAY(),Table1[[#This Row],[SPLIT]],0)</f>
        <v>6108.375</v>
      </c>
      <c r="J129" s="6">
        <f t="shared" si="10"/>
        <v>323393.28600700002</v>
      </c>
      <c r="K129" s="6" t="str">
        <f t="shared" ca="1" si="11"/>
        <v/>
      </c>
      <c r="L129" s="8">
        <v>1</v>
      </c>
      <c r="M129" s="8">
        <f>YEAR(Table1[[#This Row],[SALE DATE]])</f>
        <v>2023</v>
      </c>
      <c r="N129" s="9" t="s">
        <v>15</v>
      </c>
      <c r="O129" s="8"/>
      <c r="P129" s="8"/>
    </row>
    <row r="130" spans="1:16" x14ac:dyDescent="0.3">
      <c r="A130" s="4" t="s">
        <v>146</v>
      </c>
      <c r="B130" s="5">
        <v>44998</v>
      </c>
      <c r="C130" s="6">
        <f>3*367500</f>
        <v>1102500</v>
      </c>
      <c r="D130" s="7">
        <v>3</v>
      </c>
      <c r="E130" s="6">
        <f>IF(C130=0, (B130/D130), C130/D130)</f>
        <v>367500</v>
      </c>
      <c r="F130" s="6">
        <f>C130*0.06</f>
        <v>66150</v>
      </c>
      <c r="G130" s="6">
        <f>((F130*(3.5/6))*0.75)/2</f>
        <v>14470.3125</v>
      </c>
      <c r="H130" s="6">
        <f t="shared" si="13"/>
        <v>13167.984375</v>
      </c>
      <c r="I130" s="6">
        <f ca="1">IF(B130&lt;=TODAY(),Table1[[#This Row],[SPLIT]],0)</f>
        <v>13167.984375</v>
      </c>
      <c r="J130" s="6">
        <f t="shared" ref="J130:J161" si="14">SUMIFS(H:H, B:B,"&gt;=" &amp; DATE(M130,1,1), B:B, "&lt;="&amp;DATE(M130,12,31))</f>
        <v>323393.28600700002</v>
      </c>
      <c r="K130" s="6" t="str">
        <f t="shared" ref="K130:K161" ca="1" si="15">IF(B130&gt;DATE((YEAR(TODAY())-1),12,31), J130-(SUMIFS(H:H, B:B,"&gt;=" &amp; DATE(M130,1,1), B:B, "&lt;="&amp;TODAY())),"")</f>
        <v/>
      </c>
      <c r="L130" s="8">
        <f>IF(Table1[[#This Row],[PRODUCT]]="APT",Table1[[#This Row],[SIZE]],"")</f>
        <v>3</v>
      </c>
      <c r="M130" s="8">
        <f>YEAR(Table1[[#This Row],[SALE DATE]])</f>
        <v>2023</v>
      </c>
      <c r="N130" s="9" t="s">
        <v>15</v>
      </c>
      <c r="O130" s="8"/>
      <c r="P130" s="8"/>
    </row>
    <row r="131" spans="1:16" x14ac:dyDescent="0.3">
      <c r="A131" s="4" t="s">
        <v>147</v>
      </c>
      <c r="B131" s="5">
        <v>45017</v>
      </c>
      <c r="C131" s="6">
        <f>241425/2</f>
        <v>120712.5</v>
      </c>
      <c r="D131" s="7">
        <v>2000</v>
      </c>
      <c r="E131" s="6">
        <f>C131/D131</f>
        <v>60.356250000000003</v>
      </c>
      <c r="F131" s="6">
        <f>C131*0.06</f>
        <v>7242.75</v>
      </c>
      <c r="G131" s="6">
        <f>(F131)</f>
        <v>7242.75</v>
      </c>
      <c r="H131" s="6">
        <f t="shared" si="13"/>
        <v>6590.9025000000001</v>
      </c>
      <c r="I131" s="6">
        <f ca="1">IF(B131&lt;=TODAY(),Table1[[#This Row],[SPLIT]],0)</f>
        <v>6590.9025000000001</v>
      </c>
      <c r="J131" s="6">
        <f t="shared" si="14"/>
        <v>323393.28600700002</v>
      </c>
      <c r="K131" s="6" t="str">
        <f t="shared" ca="1" si="15"/>
        <v/>
      </c>
      <c r="L131" s="8" t="str">
        <f>IF(Table1[[#This Row],[PRODUCT]]="APT",Table1[[#This Row],[SIZE]],"")</f>
        <v/>
      </c>
      <c r="M131" s="8">
        <f>YEAR(Table1[[#This Row],[SALE DATE]])</f>
        <v>2023</v>
      </c>
      <c r="N131" s="9" t="s">
        <v>21</v>
      </c>
      <c r="O131" s="8"/>
      <c r="P131" s="8"/>
    </row>
    <row r="132" spans="1:16" x14ac:dyDescent="0.3">
      <c r="A132" s="4" t="s">
        <v>148</v>
      </c>
      <c r="B132" s="5">
        <v>45049</v>
      </c>
      <c r="C132" s="6">
        <v>485000</v>
      </c>
      <c r="D132" s="7">
        <v>2425</v>
      </c>
      <c r="E132" s="6">
        <f>C132/D132</f>
        <v>200</v>
      </c>
      <c r="F132" s="6">
        <f>C132*0.06</f>
        <v>29100</v>
      </c>
      <c r="G132" s="6">
        <f>(F132*0.5)</f>
        <v>14550</v>
      </c>
      <c r="H132" s="6">
        <f t="shared" si="13"/>
        <v>13240.5</v>
      </c>
      <c r="I132" s="6">
        <f ca="1">IF(B132&lt;=TODAY(),Table1[[#This Row],[SPLIT]],0)</f>
        <v>13240.5</v>
      </c>
      <c r="J132" s="6">
        <f t="shared" si="14"/>
        <v>323393.28600700002</v>
      </c>
      <c r="K132" s="6" t="str">
        <f t="shared" ca="1" si="15"/>
        <v/>
      </c>
      <c r="L132" s="8" t="str">
        <f>IF(Table1[[#This Row],[PRODUCT]]="APT",Table1[[#This Row],[SIZE]],"")</f>
        <v/>
      </c>
      <c r="M132" s="8">
        <f>YEAR(Table1[[#This Row],[SALE DATE]])</f>
        <v>2023</v>
      </c>
      <c r="N132" s="9" t="s">
        <v>79</v>
      </c>
      <c r="O132" s="8"/>
      <c r="P132" s="8"/>
    </row>
    <row r="133" spans="1:16" x14ac:dyDescent="0.3">
      <c r="A133" s="4" t="s">
        <v>149</v>
      </c>
      <c r="B133" s="5">
        <v>45055</v>
      </c>
      <c r="C133" s="6">
        <f>363500*3</f>
        <v>1090500</v>
      </c>
      <c r="D133" s="7">
        <v>3</v>
      </c>
      <c r="E133" s="6">
        <f>IF(C133=0, (B133/D133), C133/D133)</f>
        <v>363500</v>
      </c>
      <c r="F133" s="6">
        <f>C133*0.03</f>
        <v>32715</v>
      </c>
      <c r="G133" s="6">
        <f>(F133*0.75)/2</f>
        <v>12268.125</v>
      </c>
      <c r="H133" s="6">
        <f t="shared" si="13"/>
        <v>11163.99375</v>
      </c>
      <c r="I133" s="6">
        <f ca="1">IF(B133&lt;=TODAY(),Table1[[#This Row],[SPLIT]],0)</f>
        <v>11163.99375</v>
      </c>
      <c r="J133" s="6">
        <f t="shared" si="14"/>
        <v>323393.28600700002</v>
      </c>
      <c r="K133" s="6" t="str">
        <f t="shared" ca="1" si="15"/>
        <v/>
      </c>
      <c r="L133" s="8">
        <f>IF(Table1[[#This Row],[PRODUCT]]="APT",Table1[[#This Row],[SIZE]],"")</f>
        <v>3</v>
      </c>
      <c r="M133" s="8">
        <f>YEAR(Table1[[#This Row],[SALE DATE]])</f>
        <v>2023</v>
      </c>
      <c r="N133" s="9" t="s">
        <v>15</v>
      </c>
      <c r="O133" s="8"/>
      <c r="P133" s="8"/>
    </row>
    <row r="134" spans="1:16" x14ac:dyDescent="0.3">
      <c r="A134" s="4" t="s">
        <v>150</v>
      </c>
      <c r="B134" s="5">
        <v>45063</v>
      </c>
      <c r="C134" s="6">
        <v>1040000</v>
      </c>
      <c r="D134" s="7">
        <v>4</v>
      </c>
      <c r="E134" s="6">
        <f t="shared" ref="E134:E142" si="16">C134/D134</f>
        <v>260000</v>
      </c>
      <c r="F134" s="6">
        <f>C134*0.06</f>
        <v>62400</v>
      </c>
      <c r="G134" s="6">
        <f>(F134*0.5)*0.5</f>
        <v>15600</v>
      </c>
      <c r="H134" s="6">
        <f t="shared" si="13"/>
        <v>14196</v>
      </c>
      <c r="I134" s="6">
        <f ca="1">IF(B134&lt;=TODAY(),Table1[[#This Row],[SPLIT]],0)</f>
        <v>14196</v>
      </c>
      <c r="J134" s="6">
        <f t="shared" si="14"/>
        <v>323393.28600700002</v>
      </c>
      <c r="K134" s="6" t="str">
        <f t="shared" ca="1" si="15"/>
        <v/>
      </c>
      <c r="L134" s="8" t="str">
        <f>IF(Table1[[#This Row],[PRODUCT]]="APT",Table1[[#This Row],[SIZE]],"")</f>
        <v/>
      </c>
      <c r="M134" s="8">
        <f>YEAR(Table1[[#This Row],[SALE DATE]])</f>
        <v>2023</v>
      </c>
      <c r="N134" s="9" t="s">
        <v>46</v>
      </c>
      <c r="O134" s="8"/>
      <c r="P134" s="8"/>
    </row>
    <row r="135" spans="1:16" x14ac:dyDescent="0.3">
      <c r="A135" s="4" t="s">
        <v>151</v>
      </c>
      <c r="B135" s="5">
        <v>45078</v>
      </c>
      <c r="C135" s="6">
        <f>((9983.88*12)+(10383.23*12)+(10798.56*12)+(11230.5*12)+(11679.72*12))/2</f>
        <v>324455.34000000003</v>
      </c>
      <c r="D135" s="7">
        <v>7261</v>
      </c>
      <c r="E135" s="6">
        <f t="shared" si="16"/>
        <v>44.684663269522105</v>
      </c>
      <c r="F135" s="6">
        <f>C135*0.06</f>
        <v>19467.320400000001</v>
      </c>
      <c r="G135" s="6">
        <f>F135*0.25</f>
        <v>4866.8301000000001</v>
      </c>
      <c r="H135" s="6">
        <f t="shared" si="13"/>
        <v>4428.8153910000001</v>
      </c>
      <c r="I135" s="6">
        <f ca="1">IF(B135&lt;=TODAY(),Table1[[#This Row],[SPLIT]],0)</f>
        <v>4428.8153910000001</v>
      </c>
      <c r="J135" s="6">
        <f t="shared" si="14"/>
        <v>323393.28600700002</v>
      </c>
      <c r="K135" s="6" t="str">
        <f t="shared" ca="1" si="15"/>
        <v/>
      </c>
      <c r="L135" s="8" t="str">
        <f>IF(Table1[[#This Row],[PRODUCT]]="APT",Table1[[#This Row],[SIZE]],"")</f>
        <v/>
      </c>
      <c r="M135" s="8">
        <f>YEAR(Table1[[#This Row],[SALE DATE]])</f>
        <v>2023</v>
      </c>
      <c r="N135" s="9" t="s">
        <v>79</v>
      </c>
      <c r="O135" s="8"/>
      <c r="P135" s="8"/>
    </row>
    <row r="136" spans="1:16" x14ac:dyDescent="0.3">
      <c r="A136" s="4" t="s">
        <v>152</v>
      </c>
      <c r="B136" s="5">
        <v>45149</v>
      </c>
      <c r="C136" s="6">
        <f>4908956/2</f>
        <v>2454478</v>
      </c>
      <c r="D136" s="7">
        <v>25271</v>
      </c>
      <c r="E136" s="6">
        <f t="shared" si="16"/>
        <v>97.126271219975465</v>
      </c>
      <c r="F136" s="6">
        <f>C136*0.06</f>
        <v>147268.68</v>
      </c>
      <c r="G136" s="6">
        <f>(F136*0.5)/3-2655</f>
        <v>21889.78</v>
      </c>
      <c r="H136" s="6">
        <f t="shared" si="13"/>
        <v>19919.699799999999</v>
      </c>
      <c r="I136" s="6">
        <f ca="1">IF(B136&lt;=TODAY(),Table1[[#This Row],[SPLIT]],0)</f>
        <v>19919.699799999999</v>
      </c>
      <c r="J136" s="6">
        <f t="shared" si="14"/>
        <v>323393.28600700002</v>
      </c>
      <c r="K136" s="6" t="str">
        <f t="shared" ca="1" si="15"/>
        <v/>
      </c>
      <c r="L136" s="8" t="str">
        <f>IF(Table1[[#This Row],[PRODUCT]]="APT",Table1[[#This Row],[SIZE]],"")</f>
        <v/>
      </c>
      <c r="M136" s="8">
        <f>YEAR(Table1[[#This Row],[SALE DATE]])</f>
        <v>2023</v>
      </c>
      <c r="N136" s="9" t="s">
        <v>79</v>
      </c>
      <c r="O136" s="8"/>
      <c r="P136" s="8"/>
    </row>
    <row r="137" spans="1:16" x14ac:dyDescent="0.3">
      <c r="A137" s="4" t="s">
        <v>153</v>
      </c>
      <c r="B137" s="5">
        <v>45149</v>
      </c>
      <c r="C137" s="6">
        <f>4908956/2</f>
        <v>2454478</v>
      </c>
      <c r="D137" s="7">
        <v>25271</v>
      </c>
      <c r="E137" s="6">
        <f t="shared" si="16"/>
        <v>97.126271219975465</v>
      </c>
      <c r="F137" s="6">
        <f>C137*0.06</f>
        <v>147268.68</v>
      </c>
      <c r="G137" s="6">
        <f>(F137*0.5)/3-2655</f>
        <v>21889.78</v>
      </c>
      <c r="H137" s="6">
        <f t="shared" si="13"/>
        <v>19919.699799999999</v>
      </c>
      <c r="I137" s="6">
        <f ca="1">IF(B137&lt;=TODAY(),Table1[[#This Row],[SPLIT]],0)</f>
        <v>19919.699799999999</v>
      </c>
      <c r="J137" s="6">
        <f t="shared" si="14"/>
        <v>323393.28600700002</v>
      </c>
      <c r="K137" s="6" t="str">
        <f t="shared" ca="1" si="15"/>
        <v/>
      </c>
      <c r="L137" s="8" t="str">
        <f>IF(Table1[[#This Row],[PRODUCT]]="APT",Table1[[#This Row],[SIZE]],"")</f>
        <v/>
      </c>
      <c r="M137" s="8">
        <f>YEAR(Table1[[#This Row],[SALE DATE]])</f>
        <v>2023</v>
      </c>
      <c r="N137" s="9" t="s">
        <v>79</v>
      </c>
      <c r="O137" s="8"/>
      <c r="P137" s="8"/>
    </row>
    <row r="138" spans="1:16" x14ac:dyDescent="0.3">
      <c r="A138" s="4" t="s">
        <v>154</v>
      </c>
      <c r="B138" s="5">
        <v>45156</v>
      </c>
      <c r="C138" s="6">
        <v>800000</v>
      </c>
      <c r="D138" s="7">
        <v>4008</v>
      </c>
      <c r="E138" s="6">
        <f t="shared" si="16"/>
        <v>199.60079840319361</v>
      </c>
      <c r="F138" s="6">
        <f>C138*0.06</f>
        <v>48000</v>
      </c>
      <c r="G138" s="6">
        <f>(F138/4)</f>
        <v>12000</v>
      </c>
      <c r="H138" s="6">
        <f t="shared" si="13"/>
        <v>10920</v>
      </c>
      <c r="I138" s="6">
        <f ca="1">IF(B138&lt;=TODAY(),Table1[[#This Row],[SPLIT]],0)</f>
        <v>10920</v>
      </c>
      <c r="J138" s="6">
        <f t="shared" si="14"/>
        <v>323393.28600700002</v>
      </c>
      <c r="K138" s="6" t="str">
        <f t="shared" ca="1" si="15"/>
        <v/>
      </c>
      <c r="L138" s="8" t="str">
        <f>IF(Table1[[#This Row],[PRODUCT]]="APT",Table1[[#This Row],[SIZE]],"")</f>
        <v/>
      </c>
      <c r="M138" s="8">
        <f>YEAR(Table1[[#This Row],[SALE DATE]])</f>
        <v>2023</v>
      </c>
      <c r="N138" s="9" t="s">
        <v>79</v>
      </c>
      <c r="O138" s="8"/>
      <c r="P138" s="8"/>
    </row>
    <row r="139" spans="1:16" x14ac:dyDescent="0.3">
      <c r="A139" s="4" t="s">
        <v>155</v>
      </c>
      <c r="B139" s="5">
        <v>45198</v>
      </c>
      <c r="C139" s="6">
        <v>1850000</v>
      </c>
      <c r="D139" s="7">
        <v>76</v>
      </c>
      <c r="E139" s="6">
        <f t="shared" si="16"/>
        <v>24342.105263157893</v>
      </c>
      <c r="F139" s="6">
        <f>C139*0.05</f>
        <v>92500</v>
      </c>
      <c r="G139" s="6">
        <f>F139/2</f>
        <v>46250</v>
      </c>
      <c r="H139" s="6">
        <f t="shared" si="13"/>
        <v>42087.5</v>
      </c>
      <c r="I139" s="6">
        <f ca="1">IF(B139&lt;=TODAY(),Table1[[#This Row],[SPLIT]],0)</f>
        <v>42087.5</v>
      </c>
      <c r="J139" s="6">
        <f t="shared" si="14"/>
        <v>323393.28600700002</v>
      </c>
      <c r="K139" s="6" t="str">
        <f t="shared" ca="1" si="15"/>
        <v/>
      </c>
      <c r="L139" s="8" t="str">
        <f>IF(Table1[[#This Row],[PRODUCT]]="APT",Table1[[#This Row],[SIZE]],"")</f>
        <v/>
      </c>
      <c r="M139" s="8">
        <f>YEAR(Table1[[#This Row],[SALE DATE]])</f>
        <v>2023</v>
      </c>
      <c r="N139" s="9" t="s">
        <v>46</v>
      </c>
      <c r="O139" s="8"/>
      <c r="P139" s="8"/>
    </row>
    <row r="140" spans="1:16" x14ac:dyDescent="0.3">
      <c r="A140" s="4" t="s">
        <v>156</v>
      </c>
      <c r="B140" s="5">
        <v>45230</v>
      </c>
      <c r="C140" s="6">
        <v>965000</v>
      </c>
      <c r="D140" s="7">
        <v>6158</v>
      </c>
      <c r="E140" s="6">
        <f t="shared" si="16"/>
        <v>156.70672296200064</v>
      </c>
      <c r="F140" s="6">
        <f>C140*0.06</f>
        <v>57900</v>
      </c>
      <c r="G140" s="6">
        <f>(F140/4)</f>
        <v>14475</v>
      </c>
      <c r="H140" s="6">
        <f t="shared" si="13"/>
        <v>13172.25</v>
      </c>
      <c r="I140" s="6">
        <f ca="1">IF(B140&lt;=TODAY(),Table1[[#This Row],[SPLIT]],0)</f>
        <v>13172.25</v>
      </c>
      <c r="J140" s="6">
        <f t="shared" si="14"/>
        <v>323393.28600700002</v>
      </c>
      <c r="K140" s="6" t="str">
        <f t="shared" ca="1" si="15"/>
        <v/>
      </c>
      <c r="L140" s="8" t="str">
        <f>IF(Table1[[#This Row],[PRODUCT]]="APT",Table1[[#This Row],[SIZE]],"")</f>
        <v/>
      </c>
      <c r="M140" s="8">
        <f>YEAR(Table1[[#This Row],[SALE DATE]])</f>
        <v>2023</v>
      </c>
      <c r="N140" s="9" t="s">
        <v>21</v>
      </c>
      <c r="O140" s="8"/>
      <c r="P140" s="8"/>
    </row>
    <row r="141" spans="1:16" x14ac:dyDescent="0.3">
      <c r="A141" s="4" t="s">
        <v>157</v>
      </c>
      <c r="B141" s="5">
        <v>45231</v>
      </c>
      <c r="C141" s="6">
        <v>5100000</v>
      </c>
      <c r="D141" s="7">
        <v>80</v>
      </c>
      <c r="E141" s="6">
        <f t="shared" si="16"/>
        <v>63750</v>
      </c>
      <c r="F141" s="6">
        <f>C141*0.03</f>
        <v>153000</v>
      </c>
      <c r="G141" s="6">
        <f>F141/2</f>
        <v>76500</v>
      </c>
      <c r="H141" s="6">
        <f t="shared" si="13"/>
        <v>69615</v>
      </c>
      <c r="I141" s="6">
        <f ca="1">IF(B141&lt;=TODAY(),Table1[[#This Row],[SPLIT]],0)</f>
        <v>69615</v>
      </c>
      <c r="J141" s="6">
        <f t="shared" si="14"/>
        <v>323393.28600700002</v>
      </c>
      <c r="K141" s="6" t="str">
        <f t="shared" ca="1" si="15"/>
        <v/>
      </c>
      <c r="L141" s="8" t="str">
        <f>IF(Table1[[#This Row],[PRODUCT]]="APT",Table1[[#This Row],[SIZE]],"")</f>
        <v/>
      </c>
      <c r="M141" s="8">
        <f>YEAR(Table1[[#This Row],[SALE DATE]])</f>
        <v>2023</v>
      </c>
      <c r="N141" s="9" t="s">
        <v>46</v>
      </c>
      <c r="O141" s="8"/>
      <c r="P141" s="8"/>
    </row>
    <row r="142" spans="1:16" x14ac:dyDescent="0.3">
      <c r="A142" s="4" t="s">
        <v>78</v>
      </c>
      <c r="B142" s="5">
        <v>45238</v>
      </c>
      <c r="C142" s="6">
        <v>3475000</v>
      </c>
      <c r="D142" s="7">
        <v>15318</v>
      </c>
      <c r="E142" s="6">
        <f t="shared" si="16"/>
        <v>226.85729207468339</v>
      </c>
      <c r="F142" s="6">
        <f>C142*0.06</f>
        <v>208500</v>
      </c>
      <c r="G142" s="6">
        <f>(F142/2)/2</f>
        <v>52125</v>
      </c>
      <c r="H142" s="6">
        <f t="shared" si="13"/>
        <v>47433.75</v>
      </c>
      <c r="I142" s="6">
        <f ca="1">IF(B142&lt;=TODAY(),Table1[[#This Row],[SPLIT]],0)</f>
        <v>47433.75</v>
      </c>
      <c r="J142" s="6">
        <f t="shared" si="14"/>
        <v>323393.28600700002</v>
      </c>
      <c r="K142" s="6" t="str">
        <f t="shared" ca="1" si="15"/>
        <v/>
      </c>
      <c r="L142" s="8" t="str">
        <f>IF(Table1[[#This Row],[PRODUCT]]="APT",Table1[[#This Row],[SIZE]],"")</f>
        <v/>
      </c>
      <c r="M142" s="8">
        <f>YEAR(Table1[[#This Row],[SALE DATE]])</f>
        <v>2023</v>
      </c>
      <c r="N142" s="9" t="s">
        <v>79</v>
      </c>
      <c r="O142" s="8"/>
      <c r="P142" s="8"/>
    </row>
    <row r="143" spans="1:16" x14ac:dyDescent="0.3">
      <c r="A143" s="4" t="s">
        <v>158</v>
      </c>
      <c r="B143" s="5">
        <v>45303</v>
      </c>
      <c r="C143" s="6">
        <v>3900000</v>
      </c>
      <c r="D143" s="7">
        <v>14757</v>
      </c>
      <c r="E143" s="6">
        <f>IF(C143=0, (#REF!/D143), C143/D143)</f>
        <v>264.28135799959341</v>
      </c>
      <c r="F143" s="6">
        <f>C143*0.04</f>
        <v>156000</v>
      </c>
      <c r="G143" s="6">
        <f>F143*0.25-1250</f>
        <v>37750</v>
      </c>
      <c r="H143" s="6">
        <f>IF(B143="",0,G143*0.91)</f>
        <v>34352.5</v>
      </c>
      <c r="I143" s="6">
        <f ca="1">IF(B143&lt;=TODAY(),Table1[[#This Row],[SPLIT]],0)</f>
        <v>34352.5</v>
      </c>
      <c r="J143" s="6">
        <f t="shared" si="14"/>
        <v>319577.67982720007</v>
      </c>
      <c r="K143" s="6" t="str">
        <f t="shared" ca="1" si="15"/>
        <v/>
      </c>
      <c r="L143" s="8" t="str">
        <f>IF(Table1[[#This Row],[PRODUCT]]="APT",Table1[[#This Row],[SIZE]],"")</f>
        <v/>
      </c>
      <c r="M143" s="8">
        <f>YEAR(Table1[[#This Row],[SALE DATE]])</f>
        <v>2024</v>
      </c>
      <c r="N143" s="9" t="s">
        <v>30</v>
      </c>
      <c r="O143" s="8"/>
      <c r="P143" s="8"/>
    </row>
    <row r="144" spans="1:16" x14ac:dyDescent="0.3">
      <c r="A144" s="4" t="s">
        <v>159</v>
      </c>
      <c r="B144" s="5">
        <v>45337</v>
      </c>
      <c r="C144" s="6">
        <v>4100000</v>
      </c>
      <c r="D144" s="7">
        <v>64</v>
      </c>
      <c r="E144" s="6">
        <f>IF(C144=0, (#REF!/D144), C144/D144)</f>
        <v>64062.5</v>
      </c>
      <c r="F144" s="6">
        <f>(C144-150000)*0.04</f>
        <v>158000</v>
      </c>
      <c r="G144" s="6">
        <f>F144</f>
        <v>158000</v>
      </c>
      <c r="H144" s="6">
        <f>IF(B144="",0,G144*1)</f>
        <v>158000</v>
      </c>
      <c r="I144" s="6">
        <f ca="1">IF(B144&lt;=TODAY(),Table1[[#This Row],[SPLIT]],0)</f>
        <v>158000</v>
      </c>
      <c r="J144" s="6">
        <f t="shared" si="14"/>
        <v>319577.67982720007</v>
      </c>
      <c r="K144" s="6" t="str">
        <f t="shared" ca="1" si="15"/>
        <v/>
      </c>
      <c r="L144" s="8">
        <f>IF(Table1[[#This Row],[PRODUCT]]="APT",Table1[[#This Row],[SIZE]],"")</f>
        <v>64</v>
      </c>
      <c r="M144" s="8">
        <f>YEAR(Table1[[#This Row],[SALE DATE]])</f>
        <v>2024</v>
      </c>
      <c r="N144" s="9" t="s">
        <v>15</v>
      </c>
      <c r="O144" s="8"/>
      <c r="P144" s="8"/>
    </row>
    <row r="145" spans="1:16" x14ac:dyDescent="0.3">
      <c r="A145" s="4" t="s">
        <v>160</v>
      </c>
      <c r="B145" s="5">
        <v>45443</v>
      </c>
      <c r="C145" s="6">
        <v>2200000</v>
      </c>
      <c r="D145" s="7">
        <v>73</v>
      </c>
      <c r="E145" s="6">
        <f>C145/D145</f>
        <v>30136.986301369863</v>
      </c>
      <c r="F145" s="6">
        <f>C145*0.025</f>
        <v>55000</v>
      </c>
      <c r="G145" s="6">
        <f>F145</f>
        <v>55000</v>
      </c>
      <c r="H145" s="6">
        <f t="shared" ref="H145:H157" si="17">IF(B145="",0,G145*0.91)</f>
        <v>50050</v>
      </c>
      <c r="I145" s="6">
        <f ca="1">IF(B145&lt;=TODAY(),Table1[[#This Row],[SPLIT]],0)</f>
        <v>50050</v>
      </c>
      <c r="J145" s="6">
        <f t="shared" si="14"/>
        <v>319577.67982720007</v>
      </c>
      <c r="K145" s="6" t="str">
        <f t="shared" ca="1" si="15"/>
        <v/>
      </c>
      <c r="L145" s="8" t="str">
        <f>IF(Table1[[#This Row],[PRODUCT]]="APT",Table1[[#This Row],[SIZE]],"")</f>
        <v/>
      </c>
      <c r="M145" s="8">
        <f>YEAR(Table1[[#This Row],[SALE DATE]])</f>
        <v>2024</v>
      </c>
      <c r="N145" s="9" t="s">
        <v>46</v>
      </c>
      <c r="O145" s="8"/>
      <c r="P145" s="8"/>
    </row>
    <row r="146" spans="1:16" x14ac:dyDescent="0.3">
      <c r="A146" s="4" t="s">
        <v>161</v>
      </c>
      <c r="B146" s="5">
        <v>45469</v>
      </c>
      <c r="C146" s="6">
        <v>775000</v>
      </c>
      <c r="D146" s="7">
        <v>3700</v>
      </c>
      <c r="E146" s="6">
        <f>IF(C146=0, (#REF!/D146), C146/D146)</f>
        <v>209.45945945945945</v>
      </c>
      <c r="F146" s="6">
        <f>(C146)*0.06</f>
        <v>46500</v>
      </c>
      <c r="G146" s="6">
        <f>(F146*0.5)*0.75</f>
        <v>17437.5</v>
      </c>
      <c r="H146" s="6">
        <f t="shared" si="17"/>
        <v>15868.125</v>
      </c>
      <c r="I146" s="6">
        <f ca="1">IF(B146&lt;=TODAY(),Table1[[#This Row],[SPLIT]],0)</f>
        <v>15868.125</v>
      </c>
      <c r="J146" s="6">
        <f t="shared" si="14"/>
        <v>319577.67982720007</v>
      </c>
      <c r="K146" s="6" t="str">
        <f t="shared" ca="1" si="15"/>
        <v/>
      </c>
      <c r="L146" s="8" t="str">
        <f>IF(Table1[[#This Row],[PRODUCT]]="APT",Table1[[#This Row],[SIZE]],"")</f>
        <v/>
      </c>
      <c r="M146" s="8">
        <f>YEAR(Table1[[#This Row],[SALE DATE]])</f>
        <v>2024</v>
      </c>
      <c r="N146" s="9" t="s">
        <v>79</v>
      </c>
      <c r="O146" s="8"/>
      <c r="P146" s="8"/>
    </row>
    <row r="147" spans="1:16" x14ac:dyDescent="0.3">
      <c r="A147" s="4" t="s">
        <v>162</v>
      </c>
      <c r="B147" s="5">
        <v>45513</v>
      </c>
      <c r="C147" s="6">
        <v>550000</v>
      </c>
      <c r="D147" s="7">
        <v>10</v>
      </c>
      <c r="E147" s="6">
        <f>IF(C147=0, (#REF!/D147), C147/D147)</f>
        <v>55000</v>
      </c>
      <c r="F147" s="6">
        <f>C147*0.045</f>
        <v>24750</v>
      </c>
      <c r="G147" s="6">
        <f>F147*0.5</f>
        <v>12375</v>
      </c>
      <c r="H147" s="6">
        <f t="shared" si="17"/>
        <v>11261.25</v>
      </c>
      <c r="I147" s="6">
        <f ca="1">IF(B147&lt;=TODAY(),Table1[[#This Row],[SPLIT]],0)</f>
        <v>11261.25</v>
      </c>
      <c r="J147" s="6">
        <f t="shared" si="14"/>
        <v>319577.67982720007</v>
      </c>
      <c r="K147" s="6" t="str">
        <f t="shared" ca="1" si="15"/>
        <v/>
      </c>
      <c r="L147" s="8" t="str">
        <f>IF(Table1[[#This Row],[PRODUCT]]="APT",Table1[[#This Row],[SIZE]],"")</f>
        <v/>
      </c>
      <c r="M147" s="8">
        <f>YEAR(Table1[[#This Row],[SALE DATE]])</f>
        <v>2024</v>
      </c>
      <c r="N147" s="9" t="s">
        <v>66</v>
      </c>
      <c r="O147" s="8"/>
      <c r="P147" s="8"/>
    </row>
    <row r="148" spans="1:16" x14ac:dyDescent="0.3">
      <c r="A148" s="4" t="s">
        <v>163</v>
      </c>
      <c r="B148" s="5">
        <v>45548</v>
      </c>
      <c r="C148" s="6">
        <v>141600</v>
      </c>
      <c r="D148" s="7">
        <v>1618</v>
      </c>
      <c r="E148" s="6">
        <f>IF(C148=0, (#REF!/D148), C148/D148)</f>
        <v>87.51545117428924</v>
      </c>
      <c r="F148" s="6">
        <f>C148*0.025</f>
        <v>3540</v>
      </c>
      <c r="G148" s="6">
        <f>F148/2</f>
        <v>1770</v>
      </c>
      <c r="H148" s="6">
        <f t="shared" si="17"/>
        <v>1610.7</v>
      </c>
      <c r="I148" s="6">
        <f ca="1">IF(B148&lt;=TODAY(),Table1[[#This Row],[SPLIT]],0)</f>
        <v>1610.7</v>
      </c>
      <c r="J148" s="6">
        <f t="shared" si="14"/>
        <v>319577.67982720007</v>
      </c>
      <c r="K148" s="6" t="str">
        <f t="shared" ca="1" si="15"/>
        <v/>
      </c>
      <c r="L148" s="8" t="str">
        <f>IF(Table1[[#This Row],[PRODUCT]]="APT",Table1[[#This Row],[SIZE]],"")</f>
        <v/>
      </c>
      <c r="M148" s="8">
        <f>YEAR(Table1[[#This Row],[SALE DATE]])</f>
        <v>2024</v>
      </c>
      <c r="N148" s="9" t="s">
        <v>21</v>
      </c>
      <c r="O148" s="8"/>
      <c r="P148" s="8"/>
    </row>
    <row r="149" spans="1:16" x14ac:dyDescent="0.3">
      <c r="A149" s="4" t="s">
        <v>164</v>
      </c>
      <c r="B149" s="5">
        <v>45548</v>
      </c>
      <c r="C149" s="6">
        <v>1435000</v>
      </c>
      <c r="D149" s="7">
        <v>3</v>
      </c>
      <c r="E149" s="6">
        <f>IF(C149=0, (#REF!/D149), C149/D149)</f>
        <v>478333.33333333331</v>
      </c>
      <c r="F149" s="6">
        <f>C149*0.03</f>
        <v>43050</v>
      </c>
      <c r="G149" s="6">
        <f>(F149)*0.25</f>
        <v>10762.5</v>
      </c>
      <c r="H149" s="6">
        <f t="shared" si="17"/>
        <v>9793.875</v>
      </c>
      <c r="I149" s="6">
        <f ca="1">IF(B149&lt;=TODAY(),Table1[[#This Row],[SPLIT]],0)</f>
        <v>9793.875</v>
      </c>
      <c r="J149" s="6">
        <f t="shared" si="14"/>
        <v>319577.67982720007</v>
      </c>
      <c r="K149" s="6" t="str">
        <f t="shared" ca="1" si="15"/>
        <v/>
      </c>
      <c r="L149" s="8">
        <f>IF(Table1[[#This Row],[PRODUCT]]="APT",Table1[[#This Row],[SIZE]],"")</f>
        <v>3</v>
      </c>
      <c r="M149" s="8">
        <f>YEAR(Table1[[#This Row],[SALE DATE]])</f>
        <v>2024</v>
      </c>
      <c r="N149" s="9" t="s">
        <v>15</v>
      </c>
      <c r="O149" s="8"/>
      <c r="P149" s="8"/>
    </row>
    <row r="150" spans="1:16" x14ac:dyDescent="0.3">
      <c r="A150" s="4" t="s">
        <v>165</v>
      </c>
      <c r="B150" s="5">
        <v>45555</v>
      </c>
      <c r="C150" s="6">
        <v>440000</v>
      </c>
      <c r="D150" s="7">
        <v>2000</v>
      </c>
      <c r="E150" s="6">
        <f>IF(C150=0, (#REF!/D150), C150/D150)</f>
        <v>220</v>
      </c>
      <c r="F150" s="6">
        <f>C150*0.03</f>
        <v>13200</v>
      </c>
      <c r="G150" s="6">
        <f>F150*0.5</f>
        <v>6600</v>
      </c>
      <c r="H150" s="6">
        <f t="shared" si="17"/>
        <v>6006</v>
      </c>
      <c r="I150" s="6">
        <f ca="1">IF(B150&lt;=TODAY(),Table1[[#This Row],[SPLIT]],0)</f>
        <v>6006</v>
      </c>
      <c r="J150" s="6">
        <f t="shared" si="14"/>
        <v>319577.67982720007</v>
      </c>
      <c r="K150" s="6" t="str">
        <f t="shared" ca="1" si="15"/>
        <v/>
      </c>
      <c r="L150" s="8" t="str">
        <f>IF(Table1[[#This Row],[PRODUCT]]="APT",Table1[[#This Row],[SIZE]],"")</f>
        <v/>
      </c>
      <c r="M150" s="8">
        <f>YEAR(Table1[[#This Row],[SALE DATE]])</f>
        <v>2024</v>
      </c>
      <c r="N150" s="9" t="s">
        <v>21</v>
      </c>
      <c r="O150" s="8"/>
      <c r="P150" s="8"/>
    </row>
    <row r="151" spans="1:16" x14ac:dyDescent="0.3">
      <c r="A151" s="4" t="s">
        <v>166</v>
      </c>
      <c r="B151" s="5">
        <v>45597</v>
      </c>
      <c r="C151" s="6">
        <v>972500</v>
      </c>
      <c r="D151" s="7">
        <v>2</v>
      </c>
      <c r="E151" s="6">
        <f>IF(C151=0, (#REF!/D151), C151/D151)</f>
        <v>486250</v>
      </c>
      <c r="F151" s="6">
        <f>C151*0.03</f>
        <v>29175</v>
      </c>
      <c r="G151" s="6">
        <f>(F151)*0.25</f>
        <v>7293.75</v>
      </c>
      <c r="H151" s="6">
        <f t="shared" si="17"/>
        <v>6637.3125</v>
      </c>
      <c r="I151" s="6">
        <f ca="1">IF(B151&lt;=TODAY(),Table1[[#This Row],[SPLIT]],0)</f>
        <v>6637.3125</v>
      </c>
      <c r="J151" s="6">
        <f t="shared" si="14"/>
        <v>319577.67982720007</v>
      </c>
      <c r="K151" s="6" t="str">
        <f t="shared" ca="1" si="15"/>
        <v/>
      </c>
      <c r="L151" s="8">
        <f>IF(Table1[[#This Row],[PRODUCT]]="APT",Table1[[#This Row],[SIZE]],"")</f>
        <v>2</v>
      </c>
      <c r="M151" s="8">
        <f>YEAR(Table1[[#This Row],[SALE DATE]])</f>
        <v>2024</v>
      </c>
      <c r="N151" s="9" t="s">
        <v>15</v>
      </c>
      <c r="O151" s="8"/>
      <c r="P151" s="8"/>
    </row>
    <row r="152" spans="1:16" x14ac:dyDescent="0.3">
      <c r="A152" s="4" t="s">
        <v>167</v>
      </c>
      <c r="B152" s="5">
        <v>45618</v>
      </c>
      <c r="C152" s="6">
        <v>141600</v>
      </c>
      <c r="D152" s="7">
        <v>1618</v>
      </c>
      <c r="E152" s="6">
        <f>IF(C152=0, (#REF!/D152), C152/D152)</f>
        <v>87.51545117428924</v>
      </c>
      <c r="F152" s="6">
        <f>C152*0.025</f>
        <v>3540</v>
      </c>
      <c r="G152" s="6">
        <f>F152/2</f>
        <v>1770</v>
      </c>
      <c r="H152" s="6">
        <f t="shared" si="17"/>
        <v>1610.7</v>
      </c>
      <c r="I152" s="6">
        <f ca="1">IF(B152&lt;=TODAY(),Table1[[#This Row],[SPLIT]],0)</f>
        <v>1610.7</v>
      </c>
      <c r="J152" s="6">
        <f t="shared" si="14"/>
        <v>319577.67982720007</v>
      </c>
      <c r="K152" s="6" t="str">
        <f t="shared" ca="1" si="15"/>
        <v/>
      </c>
      <c r="L152" s="8" t="str">
        <f>IF(Table1[[#This Row],[PRODUCT]]="APT",Table1[[#This Row],[SIZE]],"")</f>
        <v/>
      </c>
      <c r="M152" s="8">
        <f>YEAR(Table1[[#This Row],[SALE DATE]])</f>
        <v>2024</v>
      </c>
      <c r="N152" s="9" t="s">
        <v>21</v>
      </c>
      <c r="O152" s="8"/>
      <c r="P152" s="8"/>
    </row>
    <row r="153" spans="1:16" x14ac:dyDescent="0.3">
      <c r="A153" s="4" t="s">
        <v>168</v>
      </c>
      <c r="B153" s="5">
        <v>45632</v>
      </c>
      <c r="C153" s="6">
        <v>1638500</v>
      </c>
      <c r="D153" s="7">
        <v>29</v>
      </c>
      <c r="E153" s="6">
        <f>IF(C153=0, (#REF!/D153), C153/D153)</f>
        <v>56500</v>
      </c>
      <c r="F153" s="6">
        <f>C153*0.06</f>
        <v>98310</v>
      </c>
      <c r="G153" s="6">
        <f>F153*0.25</f>
        <v>24577.5</v>
      </c>
      <c r="H153" s="6">
        <f t="shared" si="17"/>
        <v>22365.525000000001</v>
      </c>
      <c r="I153" s="6">
        <f ca="1">IF(B153&lt;=TODAY(),Table1[[#This Row],[SPLIT]],0)</f>
        <v>22365.525000000001</v>
      </c>
      <c r="J153" s="6">
        <f t="shared" si="14"/>
        <v>319577.67982720007</v>
      </c>
      <c r="K153" s="6" t="str">
        <f t="shared" ca="1" si="15"/>
        <v/>
      </c>
      <c r="L153" s="8" t="str">
        <f>IF(Table1[[#This Row],[PRODUCT]]="APT",Table1[[#This Row],[SIZE]],"")</f>
        <v/>
      </c>
      <c r="M153" s="8">
        <f>YEAR(Table1[[#This Row],[SALE DATE]])</f>
        <v>2024</v>
      </c>
      <c r="N153" s="9" t="s">
        <v>66</v>
      </c>
    </row>
    <row r="154" spans="1:16" x14ac:dyDescent="0.3">
      <c r="A154" s="4" t="s">
        <v>169</v>
      </c>
      <c r="B154" s="12">
        <v>45639</v>
      </c>
      <c r="C154" s="6">
        <v>370273.32</v>
      </c>
      <c r="D154" s="13">
        <v>1800</v>
      </c>
      <c r="E154" s="6">
        <f>Table1[[#This Row],[SALE PRICE]]/Table1[[#This Row],[SIZE]]</f>
        <v>205.70740000000001</v>
      </c>
      <c r="F154" s="6">
        <f>C154*0.03</f>
        <v>11108.1996</v>
      </c>
      <c r="G154" s="6">
        <f>F154*0.2</f>
        <v>2221.6399200000001</v>
      </c>
      <c r="H154" s="6">
        <f t="shared" si="17"/>
        <v>2021.6923272000001</v>
      </c>
      <c r="I154" s="6">
        <f ca="1">IF(B154&lt;=TODAY(),Table1[[#This Row],[SPLIT]],0)</f>
        <v>2021.6923272000001</v>
      </c>
      <c r="J154" s="6">
        <f t="shared" si="14"/>
        <v>319577.67982720007</v>
      </c>
      <c r="K154" s="6" t="str">
        <f t="shared" ca="1" si="15"/>
        <v/>
      </c>
      <c r="L154" s="8" t="str">
        <f>IF(Table1[[#This Row],[PRODUCT]]="APT",Table1[[#This Row],[SIZE]],"")</f>
        <v/>
      </c>
      <c r="M154" s="8">
        <f>YEAR(Table1[[#This Row],[SALE DATE]])</f>
        <v>2024</v>
      </c>
      <c r="N154" s="9" t="s">
        <v>30</v>
      </c>
    </row>
    <row r="155" spans="1:16" x14ac:dyDescent="0.3">
      <c r="A155" s="4" t="s">
        <v>170</v>
      </c>
      <c r="B155" s="12">
        <v>45809</v>
      </c>
      <c r="C155" s="6">
        <v>105920.75</v>
      </c>
      <c r="D155" s="13">
        <v>4251</v>
      </c>
      <c r="E155" s="6">
        <f>Table1[[#This Row],[SALE PRICE]]/Table1[[#This Row],[SIZE]]</f>
        <v>24.916666666666668</v>
      </c>
      <c r="F155" s="6">
        <f>C155*0.03</f>
        <v>3177.6224999999999</v>
      </c>
      <c r="G155" s="6">
        <f>F155/2</f>
        <v>1588.81125</v>
      </c>
      <c r="H155" s="6">
        <f t="shared" si="17"/>
        <v>1445.8182375000001</v>
      </c>
      <c r="I155" s="6">
        <f ca="1">IF(B155&lt;=TODAY(),Table1[[#This Row],[SPLIT]],0)</f>
        <v>1445.8182375000001</v>
      </c>
      <c r="J155" s="6">
        <f t="shared" si="14"/>
        <v>147446.2182375</v>
      </c>
      <c r="K155" s="6" t="str">
        <f t="shared" ca="1" si="15"/>
        <v/>
      </c>
      <c r="L155" s="8" t="str">
        <f>IF(Table1[[#This Row],[PRODUCT]]="APT",Table1[[#This Row],[SIZE]],"")</f>
        <v/>
      </c>
      <c r="M155" s="8">
        <f>YEAR(Table1[[#This Row],[SALE DATE]])</f>
        <v>2025</v>
      </c>
      <c r="N155" s="9" t="s">
        <v>79</v>
      </c>
    </row>
    <row r="156" spans="1:16" x14ac:dyDescent="0.3">
      <c r="A156" s="4" t="s">
        <v>97</v>
      </c>
      <c r="B156" s="12">
        <v>45839</v>
      </c>
      <c r="C156" s="6">
        <v>223000</v>
      </c>
      <c r="D156" s="13">
        <v>988</v>
      </c>
      <c r="E156" s="6">
        <f>Table1[[#This Row],[SALE PRICE]]/Table1[[#This Row],[SIZE]]</f>
        <v>225.7085020242915</v>
      </c>
      <c r="F156" s="6">
        <f>C156*0.06</f>
        <v>13380</v>
      </c>
      <c r="G156" s="6">
        <f>F156/2</f>
        <v>6690</v>
      </c>
      <c r="H156" s="6">
        <f t="shared" si="17"/>
        <v>6087.9000000000005</v>
      </c>
      <c r="I156" s="6">
        <f ca="1">IF(B156&lt;=TODAY(),Table1[[#This Row],[SPLIT]],0)</f>
        <v>6087.9000000000005</v>
      </c>
      <c r="J156" s="6">
        <f t="shared" si="14"/>
        <v>147446.2182375</v>
      </c>
      <c r="K156" s="6" t="str">
        <f t="shared" ca="1" si="15"/>
        <v/>
      </c>
      <c r="L156" s="8" t="str">
        <f>IF(Table1[[#This Row],[PRODUCT]]="APT",Table1[[#This Row],[SIZE]],"")</f>
        <v/>
      </c>
      <c r="M156" s="8">
        <f>YEAR(Table1[[#This Row],[SALE DATE]])</f>
        <v>2025</v>
      </c>
      <c r="N156" s="9" t="s">
        <v>21</v>
      </c>
    </row>
    <row r="157" spans="1:16" x14ac:dyDescent="0.3">
      <c r="A157" s="4" t="s">
        <v>71</v>
      </c>
      <c r="B157" s="5">
        <v>45848</v>
      </c>
      <c r="C157" s="6">
        <f>5200000-75000</f>
        <v>5125000</v>
      </c>
      <c r="D157" s="7">
        <v>36</v>
      </c>
      <c r="E157" s="6">
        <f>Table1[[#This Row],[SALE PRICE]]/Table1[[#This Row],[SIZE]]</f>
        <v>142361.11111111112</v>
      </c>
      <c r="F157" s="6">
        <f>C157*0.04</f>
        <v>205000</v>
      </c>
      <c r="G157" s="6">
        <f>F157*0.75</f>
        <v>153750</v>
      </c>
      <c r="H157" s="6">
        <f t="shared" si="17"/>
        <v>139912.5</v>
      </c>
      <c r="I157" s="6">
        <f ca="1">IF(B157&lt;=TODAY(),Table1[[#This Row],[SPLIT]],0)</f>
        <v>139912.5</v>
      </c>
      <c r="J157" s="6">
        <f t="shared" si="14"/>
        <v>147446.2182375</v>
      </c>
      <c r="K157" s="6" t="str">
        <f t="shared" ca="1" si="15"/>
        <v/>
      </c>
      <c r="L157" s="8">
        <f>IF(Table1[[#This Row],[PRODUCT]]="APT",Table1[[#This Row],[SIZE]],"")</f>
        <v>36</v>
      </c>
      <c r="M157" s="8">
        <f>YEAR(Table1[[#This Row],[SALE DATE]])</f>
        <v>2025</v>
      </c>
      <c r="N157" s="9" t="s">
        <v>15</v>
      </c>
    </row>
    <row r="158" spans="1:16" x14ac:dyDescent="0.3">
      <c r="A158" s="4" t="s">
        <v>171</v>
      </c>
      <c r="B158" s="12">
        <v>46029</v>
      </c>
      <c r="C158" s="6">
        <v>1600000</v>
      </c>
      <c r="D158" s="13">
        <v>6</v>
      </c>
      <c r="E158" s="6">
        <f>Table1[[#This Row],[SALE PRICE]]/Table1[[#This Row],[SIZE]]</f>
        <v>266666.66666666669</v>
      </c>
      <c r="F158" s="6">
        <f>C158*0.05</f>
        <v>80000</v>
      </c>
      <c r="G158" s="6">
        <f>F158-5000</f>
        <v>75000</v>
      </c>
      <c r="H158" s="6">
        <f t="shared" ref="H158:H167" si="18">IF(B158="",0,G158*0.9)</f>
        <v>67500</v>
      </c>
      <c r="I158" s="6">
        <f ca="1">IF(B158&lt;=TODAY(),Table1[[#This Row],[SPLIT]],0)</f>
        <v>67500</v>
      </c>
      <c r="J158" s="6">
        <f t="shared" si="14"/>
        <v>641922.31200000003</v>
      </c>
      <c r="K158" s="6">
        <f t="shared" ca="1" si="15"/>
        <v>238935</v>
      </c>
      <c r="L158" s="8">
        <f>IF(Table1[[#This Row],[PRODUCT]]="APT",Table1[[#This Row],[SIZE]],"")</f>
        <v>6</v>
      </c>
      <c r="M158" s="8">
        <f>YEAR(Table1[[#This Row],[SALE DATE]])</f>
        <v>2026</v>
      </c>
      <c r="N158" s="9" t="s">
        <v>15</v>
      </c>
    </row>
    <row r="159" spans="1:16" x14ac:dyDescent="0.3">
      <c r="A159" s="4" t="s">
        <v>172</v>
      </c>
      <c r="B159" s="12">
        <v>46073</v>
      </c>
      <c r="C159" s="6">
        <f>557460</f>
        <v>557460</v>
      </c>
      <c r="D159" s="13">
        <v>7000</v>
      </c>
      <c r="E159" s="6">
        <f>Table1[[#This Row],[SALE PRICE]]/Table1[[#This Row],[SIZE]]</f>
        <v>79.637142857142862</v>
      </c>
      <c r="F159" s="6">
        <f>C159*0.06</f>
        <v>33447.599999999999</v>
      </c>
      <c r="G159" s="6">
        <f>F159/2</f>
        <v>16723.8</v>
      </c>
      <c r="H159" s="6">
        <f t="shared" si="18"/>
        <v>15051.42</v>
      </c>
      <c r="I159" s="6">
        <f ca="1">IF(B159&lt;=TODAY(),Table1[[#This Row],[SPLIT]],0)</f>
        <v>15051.42</v>
      </c>
      <c r="J159" s="6">
        <f t="shared" si="14"/>
        <v>641922.31200000003</v>
      </c>
      <c r="K159" s="6">
        <f t="shared" ca="1" si="15"/>
        <v>238935</v>
      </c>
      <c r="L159" s="8" t="str">
        <f>IF(Table1[[#This Row],[PRODUCT]]="APT",Table1[[#This Row],[SIZE]],"")</f>
        <v/>
      </c>
      <c r="M159" s="8">
        <f>YEAR(Table1[[#This Row],[SALE DATE]])</f>
        <v>2026</v>
      </c>
      <c r="N159" s="9" t="s">
        <v>79</v>
      </c>
    </row>
    <row r="160" spans="1:16" x14ac:dyDescent="0.3">
      <c r="A160" s="4" t="s">
        <v>96</v>
      </c>
      <c r="B160" s="12">
        <v>46080</v>
      </c>
      <c r="C160" s="6">
        <v>951494</v>
      </c>
      <c r="D160" s="13">
        <v>5174</v>
      </c>
      <c r="E160" s="6">
        <f>Table1[[#This Row],[SALE PRICE]]/Table1[[#This Row],[SIZE]]</f>
        <v>183.89911093931195</v>
      </c>
      <c r="F160" s="6">
        <f>(C160*0.02)</f>
        <v>19029.88</v>
      </c>
      <c r="G160" s="6">
        <f>Table1[[#This Row],[COMMISSION]]</f>
        <v>19029.88</v>
      </c>
      <c r="H160" s="6">
        <f t="shared" si="18"/>
        <v>17126.892</v>
      </c>
      <c r="I160" s="6">
        <f ca="1">IF(B160&lt;=TODAY(),Table1[[#This Row],[SPLIT]],0)</f>
        <v>17126.892</v>
      </c>
      <c r="J160" s="6">
        <f t="shared" si="14"/>
        <v>641922.31200000003</v>
      </c>
      <c r="K160" s="6">
        <f t="shared" ca="1" si="15"/>
        <v>238935</v>
      </c>
      <c r="L160" s="8" t="str">
        <f>IF(Table1[[#This Row],[PRODUCT]]="APT",Table1[[#This Row],[SIZE]],"")</f>
        <v/>
      </c>
      <c r="M160" s="8">
        <f>YEAR(Table1[[#This Row],[SALE DATE]])</f>
        <v>2026</v>
      </c>
      <c r="N160" s="9" t="s">
        <v>21</v>
      </c>
    </row>
    <row r="161" spans="1:14" x14ac:dyDescent="0.3">
      <c r="A161" s="4" t="s">
        <v>177</v>
      </c>
      <c r="B161" s="12">
        <v>46132</v>
      </c>
      <c r="C161" s="6">
        <v>790000</v>
      </c>
      <c r="D161" s="13">
        <v>4</v>
      </c>
      <c r="E161" s="6">
        <f>Table1[[#This Row],[SALE PRICE]]/Table1[[#This Row],[SIZE]]</f>
        <v>197500</v>
      </c>
      <c r="F161" s="6">
        <f>(C161*0.03)</f>
        <v>23700</v>
      </c>
      <c r="G161" s="6">
        <f>F161</f>
        <v>23700</v>
      </c>
      <c r="H161" s="6">
        <f t="shared" si="18"/>
        <v>21330</v>
      </c>
      <c r="I161" s="6">
        <f ca="1">IF(B161&lt;=TODAY(),Table1[[#This Row],[SPLIT]],0)</f>
        <v>21330</v>
      </c>
      <c r="J161" s="6">
        <f t="shared" si="14"/>
        <v>641922.31200000003</v>
      </c>
      <c r="K161" s="6">
        <f t="shared" ca="1" si="15"/>
        <v>238935</v>
      </c>
      <c r="L161" s="8">
        <f>IF(Table1[[#This Row],[PRODUCT]]="APT",Table1[[#This Row],[SIZE]],"")</f>
        <v>4</v>
      </c>
      <c r="M161" s="8">
        <f>YEAR(Table1[[#This Row],[SALE DATE]])</f>
        <v>2026</v>
      </c>
      <c r="N161" s="9" t="s">
        <v>15</v>
      </c>
    </row>
    <row r="162" spans="1:14" x14ac:dyDescent="0.3">
      <c r="A162" s="4" t="s">
        <v>174</v>
      </c>
      <c r="B162" s="12">
        <v>46141</v>
      </c>
      <c r="C162" s="6">
        <v>2425000</v>
      </c>
      <c r="D162" s="13">
        <v>11500</v>
      </c>
      <c r="E162" s="6">
        <f>Table1[[#This Row],[SALE PRICE]]/Table1[[#This Row],[SIZE]]</f>
        <v>210.86956521739131</v>
      </c>
      <c r="F162" s="6">
        <f>(C162*0.025)</f>
        <v>60625</v>
      </c>
      <c r="G162" s="6">
        <f>F162</f>
        <v>60625</v>
      </c>
      <c r="H162" s="6">
        <f t="shared" si="18"/>
        <v>54562.5</v>
      </c>
      <c r="I162" s="6">
        <f ca="1">IF(B162&lt;=TODAY(),Table1[[#This Row],[SPLIT]],0)</f>
        <v>54562.5</v>
      </c>
      <c r="J162" s="6">
        <f t="shared" ref="J162:J173" si="19">SUMIFS(H:H, B:B,"&gt;=" &amp; DATE(M162,1,1), B:B, "&lt;="&amp;DATE(M162,12,31))</f>
        <v>641922.31200000003</v>
      </c>
      <c r="K162" s="6">
        <f t="shared" ref="K162:K173" ca="1" si="20">IF(B162&gt;DATE((YEAR(TODAY())-1),12,31), J162-(SUMIFS(H:H, B:B,"&gt;=" &amp; DATE(M162,1,1), B:B, "&lt;="&amp;TODAY())),"")</f>
        <v>238935</v>
      </c>
      <c r="L162" s="8" t="str">
        <f>IF(Table1[[#This Row],[PRODUCT]]="APT",Table1[[#This Row],[SIZE]],"")</f>
        <v/>
      </c>
      <c r="M162" s="8">
        <f>YEAR(Table1[[#This Row],[SALE DATE]])</f>
        <v>2026</v>
      </c>
      <c r="N162" s="9" t="s">
        <v>79</v>
      </c>
    </row>
    <row r="163" spans="1:14" x14ac:dyDescent="0.3">
      <c r="A163" s="4" t="s">
        <v>173</v>
      </c>
      <c r="B163" s="12">
        <v>46160</v>
      </c>
      <c r="C163" s="6">
        <v>3023000</v>
      </c>
      <c r="D163" s="13">
        <v>3000</v>
      </c>
      <c r="E163" s="6">
        <f>Table1[[#This Row],[SALE PRICE]]/Table1[[#This Row],[SIZE]]</f>
        <v>1007.6666666666666</v>
      </c>
      <c r="F163" s="6">
        <f>(C163*0.02)</f>
        <v>60460</v>
      </c>
      <c r="G163" s="6">
        <f>F163-2500</f>
        <v>57960</v>
      </c>
      <c r="H163" s="6">
        <f t="shared" si="18"/>
        <v>52164</v>
      </c>
      <c r="I163" s="6">
        <f ca="1">IF(B163&lt;=TODAY(),Table1[[#This Row],[SPLIT]],0)</f>
        <v>52164</v>
      </c>
      <c r="J163" s="6">
        <f t="shared" si="19"/>
        <v>641922.31200000003</v>
      </c>
      <c r="K163" s="6">
        <f t="shared" ca="1" si="20"/>
        <v>238935</v>
      </c>
      <c r="L163" s="8" t="str">
        <f>IF(Table1[[#This Row],[PRODUCT]]="APT",Table1[[#This Row],[SIZE]],"")</f>
        <v/>
      </c>
      <c r="M163" s="8">
        <f>YEAR(Table1[[#This Row],[SALE DATE]])</f>
        <v>2026</v>
      </c>
      <c r="N163" s="9" t="s">
        <v>30</v>
      </c>
    </row>
    <row r="164" spans="1:14" x14ac:dyDescent="0.3">
      <c r="A164" s="4" t="s">
        <v>179</v>
      </c>
      <c r="B164" s="12">
        <v>46230</v>
      </c>
      <c r="C164" s="6">
        <v>675000</v>
      </c>
      <c r="D164" s="13">
        <v>3069</v>
      </c>
      <c r="E164" s="6">
        <f>Table1[[#This Row],[SALE PRICE]]/Table1[[#This Row],[SIZE]]</f>
        <v>219.94134897360703</v>
      </c>
      <c r="F164" s="6">
        <f>(C164*0.03)</f>
        <v>20250</v>
      </c>
      <c r="G164" s="6">
        <f>F164/2</f>
        <v>10125</v>
      </c>
      <c r="H164" s="17">
        <f t="shared" si="18"/>
        <v>9112.5</v>
      </c>
      <c r="I164" s="17">
        <f ca="1">IF(B164&lt;=TODAY(),Table1[[#This Row],[SPLIT]],0)</f>
        <v>9112.5</v>
      </c>
      <c r="J164" s="6">
        <f t="shared" si="19"/>
        <v>641922.31200000003</v>
      </c>
      <c r="K164" s="6">
        <f t="shared" ca="1" si="20"/>
        <v>238935</v>
      </c>
      <c r="L164" s="8" t="str">
        <f>IF(Table1[[#This Row],[PRODUCT]]="APT",Table1[[#This Row],[SIZE]],"")</f>
        <v/>
      </c>
      <c r="M164" s="8">
        <f>YEAR(Table1[[#This Row],[SALE DATE]])</f>
        <v>2026</v>
      </c>
      <c r="N164" s="9" t="s">
        <v>30</v>
      </c>
    </row>
    <row r="165" spans="1:14" x14ac:dyDescent="0.3">
      <c r="A165" s="4" t="s">
        <v>18</v>
      </c>
      <c r="B165" s="12">
        <v>46240</v>
      </c>
      <c r="C165" s="6">
        <v>535000</v>
      </c>
      <c r="D165" s="13">
        <v>2</v>
      </c>
      <c r="E165" s="6">
        <f>Table1[[#This Row],[SALE PRICE]]/Table1[[#This Row],[SIZE]]</f>
        <v>267500</v>
      </c>
      <c r="F165" s="6">
        <f>(C165*0.06)</f>
        <v>32100</v>
      </c>
      <c r="G165" s="6">
        <f>F165-1500</f>
        <v>30600</v>
      </c>
      <c r="H165" s="6">
        <f t="shared" si="18"/>
        <v>27540</v>
      </c>
      <c r="I165" s="6">
        <f ca="1">IF(B165&lt;=TODAY(),Table1[[#This Row],[SPLIT]],0)</f>
        <v>27540</v>
      </c>
      <c r="J165" s="6">
        <f t="shared" si="19"/>
        <v>641922.31200000003</v>
      </c>
      <c r="K165" s="6">
        <f t="shared" ca="1" si="20"/>
        <v>238935</v>
      </c>
      <c r="L165" s="8">
        <f>IF(Table1[[#This Row],[PRODUCT]]="APT",Table1[[#This Row],[SIZE]],"")</f>
        <v>2</v>
      </c>
      <c r="M165" s="8">
        <f>YEAR(Table1[[#This Row],[SALE DATE]])</f>
        <v>2026</v>
      </c>
      <c r="N165" s="9" t="s">
        <v>15</v>
      </c>
    </row>
    <row r="166" spans="1:14" x14ac:dyDescent="0.3">
      <c r="A166" s="4" t="s">
        <v>181</v>
      </c>
      <c r="B166" s="12">
        <v>46294</v>
      </c>
      <c r="C166" s="6">
        <v>535000</v>
      </c>
      <c r="D166" s="13">
        <v>2</v>
      </c>
      <c r="E166" s="6">
        <f>Table1[[#This Row],[SALE PRICE]]/Table1[[#This Row],[SIZE]]</f>
        <v>267500</v>
      </c>
      <c r="F166" s="6">
        <f>(C166*0.06)</f>
        <v>32100</v>
      </c>
      <c r="G166" s="6">
        <f>F166/2</f>
        <v>16050</v>
      </c>
      <c r="H166" s="16">
        <f t="shared" si="18"/>
        <v>14445</v>
      </c>
      <c r="I166" s="16">
        <f ca="1">IF(B166&lt;=TODAY(),Table1[[#This Row],[SPLIT]],0)</f>
        <v>0</v>
      </c>
      <c r="J166" s="6">
        <f t="shared" si="19"/>
        <v>641922.31200000003</v>
      </c>
      <c r="K166" s="6">
        <f t="shared" ca="1" si="20"/>
        <v>238935</v>
      </c>
      <c r="L166" s="8">
        <f>IF(Table1[[#This Row],[PRODUCT]]="APT",Table1[[#This Row],[SIZE]],"")</f>
        <v>2</v>
      </c>
      <c r="M166" s="8">
        <f>YEAR(Table1[[#This Row],[SALE DATE]])</f>
        <v>2026</v>
      </c>
      <c r="N166" s="9" t="s">
        <v>15</v>
      </c>
    </row>
    <row r="167" spans="1:14" x14ac:dyDescent="0.3">
      <c r="A167" s="4" t="s">
        <v>175</v>
      </c>
      <c r="B167" s="12">
        <v>46280</v>
      </c>
      <c r="C167" s="17">
        <v>7700000</v>
      </c>
      <c r="D167" s="13">
        <v>14.85</v>
      </c>
      <c r="E167" s="6">
        <f>Table1[[#This Row],[SALE PRICE]]/Table1[[#This Row],[SIZE]]</f>
        <v>518518.51851851854</v>
      </c>
      <c r="F167" s="6">
        <f>C167*0.04</f>
        <v>308000</v>
      </c>
      <c r="G167" s="6">
        <f>F167/2</f>
        <v>154000</v>
      </c>
      <c r="H167" s="17">
        <f t="shared" si="18"/>
        <v>138600</v>
      </c>
      <c r="I167" s="17">
        <f ca="1">IF(B167&lt;=TODAY(),Table1[[#This Row],[SPLIT]],0)</f>
        <v>138600</v>
      </c>
      <c r="J167" s="6">
        <f t="shared" si="19"/>
        <v>641922.31200000003</v>
      </c>
      <c r="K167" s="6">
        <f t="shared" ca="1" si="20"/>
        <v>238935</v>
      </c>
      <c r="L167" s="8" t="str">
        <f>IF(Table1[[#This Row],[PRODUCT]]="APT",Table1[[#This Row],[SIZE]],"")</f>
        <v/>
      </c>
      <c r="M167" s="8">
        <f>YEAR(Table1[[#This Row],[SALE DATE]])</f>
        <v>2026</v>
      </c>
      <c r="N167" s="9" t="s">
        <v>46</v>
      </c>
    </row>
    <row r="168" spans="1:14" x14ac:dyDescent="0.3">
      <c r="A168" s="4" t="s">
        <v>182</v>
      </c>
      <c r="B168" s="5">
        <v>46387</v>
      </c>
      <c r="C168" s="6">
        <v>1300000</v>
      </c>
      <c r="D168" s="7">
        <v>15</v>
      </c>
      <c r="E168" s="6">
        <f>Table1[[#This Row],[SALE PRICE]]/Table1[[#This Row],[SIZE]]</f>
        <v>86666.666666666672</v>
      </c>
      <c r="F168" s="6">
        <f>(C168*0.06)</f>
        <v>78000</v>
      </c>
      <c r="G168" s="6">
        <f>F168/2</f>
        <v>39000</v>
      </c>
      <c r="H168" s="6">
        <f>IF(B168="",0,G168*0.91)</f>
        <v>35490</v>
      </c>
      <c r="I168" s="6">
        <f ca="1">IF(B168&lt;=TODAY(),Table1[[#This Row],[SPLIT]],0)</f>
        <v>0</v>
      </c>
      <c r="J168" s="6">
        <f t="shared" si="19"/>
        <v>641922.31200000003</v>
      </c>
      <c r="K168" s="6">
        <f t="shared" ca="1" si="20"/>
        <v>238935</v>
      </c>
      <c r="L168" s="8">
        <f>IF(Table1[[#This Row],[PRODUCT]]="APT",Table1[[#This Row],[SIZE]],"")</f>
        <v>15</v>
      </c>
      <c r="M168" s="8">
        <f>YEAR(Table1[[#This Row],[SALE DATE]])</f>
        <v>2026</v>
      </c>
      <c r="N168" s="9" t="s">
        <v>15</v>
      </c>
    </row>
    <row r="169" spans="1:14" x14ac:dyDescent="0.3">
      <c r="A169" s="4" t="s">
        <v>183</v>
      </c>
      <c r="B169" s="5">
        <v>46387</v>
      </c>
      <c r="C169" s="16">
        <v>10500000</v>
      </c>
      <c r="D169" s="7">
        <v>56</v>
      </c>
      <c r="E169" s="6">
        <f>Table1[[#This Row],[SALE PRICE]]/Table1[[#This Row],[SIZE]]</f>
        <v>187500</v>
      </c>
      <c r="F169" s="6">
        <f>(C169*0.04)</f>
        <v>420000</v>
      </c>
      <c r="G169" s="6">
        <f>F169/2</f>
        <v>210000</v>
      </c>
      <c r="H169" s="6">
        <f>IF(B169="",0,G169*0.9)</f>
        <v>189000</v>
      </c>
      <c r="I169" s="6">
        <f ca="1">IF(B169&lt;=TODAY(),Table1[[#This Row],[SPLIT]],0)</f>
        <v>0</v>
      </c>
      <c r="J169" s="6">
        <f t="shared" si="19"/>
        <v>641922.31200000003</v>
      </c>
      <c r="K169" s="6">
        <f t="shared" ca="1" si="20"/>
        <v>238935</v>
      </c>
      <c r="L169" s="8">
        <f>IF(Table1[[#This Row],[PRODUCT]]="APT",Table1[[#This Row],[SIZE]],"")</f>
        <v>56</v>
      </c>
      <c r="M169" s="8">
        <f>YEAR(Table1[[#This Row],[SALE DATE]])</f>
        <v>2026</v>
      </c>
      <c r="N169" s="9" t="s">
        <v>15</v>
      </c>
    </row>
    <row r="170" spans="1:14" x14ac:dyDescent="0.3">
      <c r="A170" s="4" t="s">
        <v>180</v>
      </c>
      <c r="B170" s="12">
        <v>46387</v>
      </c>
      <c r="C170" s="17">
        <v>600000</v>
      </c>
      <c r="D170" s="13">
        <v>7</v>
      </c>
      <c r="E170" s="6">
        <f>Table1[[#This Row],[SALE PRICE]]/Table1[[#This Row],[SIZE]]</f>
        <v>85714.28571428571</v>
      </c>
      <c r="F170" s="6">
        <v>0</v>
      </c>
      <c r="G170" s="6">
        <f>F170/3</f>
        <v>0</v>
      </c>
      <c r="H170" s="6">
        <f>IF(B170="",0,G170*0.91)</f>
        <v>0</v>
      </c>
      <c r="I170" s="6">
        <f ca="1">IF(B170&lt;=TODAY(),Table1[[#This Row],[SPLIT]],0)</f>
        <v>0</v>
      </c>
      <c r="J170" s="6">
        <f t="shared" si="19"/>
        <v>641922.31200000003</v>
      </c>
      <c r="K170" s="6">
        <f t="shared" ca="1" si="20"/>
        <v>238935</v>
      </c>
      <c r="L170" s="8">
        <f>IF(Table1[[#This Row],[PRODUCT]]="APT",Table1[[#This Row],[SIZE]],"")</f>
        <v>7</v>
      </c>
      <c r="M170" s="8">
        <f>YEAR(Table1[[#This Row],[SALE DATE]])</f>
        <v>2026</v>
      </c>
      <c r="N170" s="9" t="s">
        <v>15</v>
      </c>
    </row>
    <row r="171" spans="1:14" x14ac:dyDescent="0.3">
      <c r="A171" s="4" t="s">
        <v>176</v>
      </c>
      <c r="B171" s="12">
        <v>46446</v>
      </c>
      <c r="C171" s="6">
        <v>10000000</v>
      </c>
      <c r="D171" s="13">
        <v>141</v>
      </c>
      <c r="E171" s="6">
        <f>Table1[[#This Row],[SALE PRICE]]/Table1[[#This Row],[SIZE]]</f>
        <v>70921.985815602835</v>
      </c>
      <c r="F171" s="6">
        <f>(C171*0.03)/3</f>
        <v>100000</v>
      </c>
      <c r="G171" s="6">
        <f>F171/3</f>
        <v>33333.333333333336</v>
      </c>
      <c r="H171" s="17">
        <f>IF(B171="",0,G171*0.9)</f>
        <v>30000.000000000004</v>
      </c>
      <c r="I171" s="17">
        <f ca="1">IF(B171&lt;=TODAY(),Table1[[#This Row],[SPLIT]],0)</f>
        <v>0</v>
      </c>
      <c r="J171" s="6">
        <f t="shared" si="19"/>
        <v>30000.000000000004</v>
      </c>
      <c r="K171" s="6">
        <f t="shared" ca="1" si="20"/>
        <v>30000.000000000004</v>
      </c>
      <c r="L171" s="8" t="str">
        <f>IF(Table1[[#This Row],[PRODUCT]]="APT",Table1[[#This Row],[SIZE]],"")</f>
        <v/>
      </c>
      <c r="M171" s="8">
        <f>YEAR(Table1[[#This Row],[SALE DATE]])</f>
        <v>2027</v>
      </c>
      <c r="N171" s="9" t="s">
        <v>46</v>
      </c>
    </row>
    <row r="172" spans="1:14" x14ac:dyDescent="0.3">
      <c r="A172" s="4" t="s">
        <v>176</v>
      </c>
      <c r="B172" s="12">
        <v>46811</v>
      </c>
      <c r="C172" s="17">
        <v>10000000</v>
      </c>
      <c r="D172" s="13">
        <v>141</v>
      </c>
      <c r="E172" s="6">
        <f>Table1[[#This Row],[SALE PRICE]]/Table1[[#This Row],[SIZE]]</f>
        <v>70921.985815602835</v>
      </c>
      <c r="F172" s="6">
        <f>(C172*0.03)/3</f>
        <v>100000</v>
      </c>
      <c r="G172" s="6">
        <f>F172/3</f>
        <v>33333.333333333336</v>
      </c>
      <c r="H172" s="17">
        <f>IF(B172="",0,G172*0.9)</f>
        <v>30000.000000000004</v>
      </c>
      <c r="I172" s="17">
        <f ca="1">IF(B172&lt;=TODAY(),Table1[[#This Row],[SPLIT]],0)</f>
        <v>0</v>
      </c>
      <c r="J172" s="6">
        <f t="shared" si="19"/>
        <v>30000.000000000004</v>
      </c>
      <c r="K172" s="6">
        <f t="shared" ca="1" si="20"/>
        <v>30000.000000000004</v>
      </c>
      <c r="L172" s="8" t="str">
        <f>IF(Table1[[#This Row],[PRODUCT]]="APT",Table1[[#This Row],[SIZE]],"")</f>
        <v/>
      </c>
      <c r="M172" s="8">
        <f>YEAR(Table1[[#This Row],[SALE DATE]])</f>
        <v>2028</v>
      </c>
      <c r="N172" s="9" t="s">
        <v>46</v>
      </c>
    </row>
    <row r="173" spans="1:14" x14ac:dyDescent="0.3">
      <c r="A173" s="4" t="s">
        <v>176</v>
      </c>
      <c r="B173" s="12">
        <v>47177</v>
      </c>
      <c r="C173" s="17">
        <v>10000000</v>
      </c>
      <c r="D173" s="13">
        <v>141</v>
      </c>
      <c r="E173" s="6">
        <f>Table1[[#This Row],[SALE PRICE]]/Table1[[#This Row],[SIZE]]</f>
        <v>70921.985815602835</v>
      </c>
      <c r="F173" s="6">
        <f>(C173*0.03)/3</f>
        <v>100000</v>
      </c>
      <c r="G173" s="6">
        <f>F173/3</f>
        <v>33333.333333333336</v>
      </c>
      <c r="H173" s="17">
        <f>IF(B173="",0,G173*0.9)</f>
        <v>30000.000000000004</v>
      </c>
      <c r="I173" s="17">
        <f ca="1">IF(B173&lt;=TODAY(),Table1[[#This Row],[SPLIT]],0)</f>
        <v>0</v>
      </c>
      <c r="J173" s="6">
        <f t="shared" si="19"/>
        <v>30000.000000000004</v>
      </c>
      <c r="K173" s="6">
        <f t="shared" ca="1" si="20"/>
        <v>30000.000000000004</v>
      </c>
      <c r="L173" s="8" t="str">
        <f>IF(Table1[[#This Row],[PRODUCT]]="APT",Table1[[#This Row],[SIZE]],"")</f>
        <v/>
      </c>
      <c r="M173" s="8">
        <f>YEAR(Table1[[#This Row],[SALE DATE]])</f>
        <v>2029</v>
      </c>
      <c r="N173" s="9" t="s">
        <v>46</v>
      </c>
    </row>
    <row r="174" spans="1:14" x14ac:dyDescent="0.3">
      <c r="A174" t="s">
        <v>178</v>
      </c>
    </row>
    <row r="177" spans="1:1" x14ac:dyDescent="0.3">
      <c r="A177" t="s">
        <v>178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Mannlein/USA</dc:creator>
  <cp:lastModifiedBy>Brian Mannlein/USA</cp:lastModifiedBy>
  <dcterms:created xsi:type="dcterms:W3CDTF">2026-03-09T21:21:55Z</dcterms:created>
  <dcterms:modified xsi:type="dcterms:W3CDTF">2026-09-15T14:23:00Z</dcterms:modified>
</cp:coreProperties>
</file>