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brian\OneDrive\Desktop\LCII 2024 Case Study\"/>
    </mc:Choice>
  </mc:AlternateContent>
  <xr:revisionPtr revIDLastSave="0" documentId="13_ncr:1_{92F21453-B50A-4923-934C-AD391DD6B211}" xr6:coauthVersionLast="47" xr6:coauthVersionMax="47" xr10:uidLastSave="{00000000-0000-0000-0000-000000000000}"/>
  <bookViews>
    <workbookView xWindow="-120" yWindow="-120" windowWidth="29040" windowHeight="15720" activeTab="1" xr2:uid="{9E54D048-BB10-46CA-AAA5-548051F8E26F}"/>
  </bookViews>
  <sheets>
    <sheet name="Financial Analysis" sheetId="56" r:id="rId1"/>
    <sheet name="Risk Rating" sheetId="57" r:id="rId2"/>
    <sheet name="Interest Sensitivity" sheetId="59"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2" i="59" l="1"/>
  <c r="D12" i="59"/>
  <c r="E10" i="59"/>
  <c r="F10" i="59" s="1"/>
  <c r="C16" i="59"/>
  <c r="F9" i="59"/>
  <c r="E11" i="59"/>
  <c r="F11" i="59" s="1"/>
  <c r="B26" i="59"/>
  <c r="C6" i="59"/>
  <c r="E109" i="56"/>
  <c r="C5" i="59"/>
  <c r="G16" i="59" s="1"/>
  <c r="D21" i="57"/>
  <c r="D20" i="57"/>
  <c r="D19" i="57"/>
  <c r="D18" i="57"/>
  <c r="D11" i="57"/>
  <c r="D84" i="56"/>
  <c r="D86" i="56" s="1"/>
  <c r="E84" i="56"/>
  <c r="E86" i="56" s="1"/>
  <c r="E94" i="56" s="1"/>
  <c r="C84" i="56"/>
  <c r="C86" i="56" s="1"/>
  <c r="D76" i="56"/>
  <c r="E76" i="56"/>
  <c r="C76" i="56"/>
  <c r="D66" i="56"/>
  <c r="E66" i="56"/>
  <c r="C66" i="56"/>
  <c r="D44" i="56"/>
  <c r="D46" i="56" s="1"/>
  <c r="D107" i="56" s="1"/>
  <c r="E44" i="56"/>
  <c r="E46" i="56" s="1"/>
  <c r="E107" i="56" s="1"/>
  <c r="C44" i="56"/>
  <c r="C46" i="56" s="1"/>
  <c r="C107" i="56" s="1"/>
  <c r="D33" i="56"/>
  <c r="D38" i="56" s="1"/>
  <c r="E33" i="56"/>
  <c r="E38" i="56" s="1"/>
  <c r="C33" i="56"/>
  <c r="C38" i="56" s="1"/>
  <c r="C21" i="56"/>
  <c r="C27" i="56" s="1"/>
  <c r="D21" i="56"/>
  <c r="D27" i="56" s="1"/>
  <c r="E21" i="56"/>
  <c r="E27" i="56" s="1"/>
  <c r="D7" i="56"/>
  <c r="D10" i="56" s="1"/>
  <c r="D12" i="56" s="1"/>
  <c r="D14" i="56" s="1"/>
  <c r="D51" i="56" s="1"/>
  <c r="D61" i="56" s="1"/>
  <c r="E7" i="56"/>
  <c r="E10" i="56" s="1"/>
  <c r="E12" i="56" s="1"/>
  <c r="E14" i="56" s="1"/>
  <c r="E51" i="56" s="1"/>
  <c r="E61" i="56" s="1"/>
  <c r="E96" i="56" s="1"/>
  <c r="C7" i="56"/>
  <c r="C10" i="56" s="1"/>
  <c r="C12" i="56" s="1"/>
  <c r="C14" i="56" s="1"/>
  <c r="C51" i="56" s="1"/>
  <c r="C61" i="56" s="1"/>
  <c r="C96" i="56" s="1"/>
  <c r="F12" i="59" l="1"/>
  <c r="D22" i="57"/>
  <c r="D12" i="57" s="1"/>
  <c r="E26" i="59"/>
  <c r="C26" i="59"/>
  <c r="G26" i="59"/>
  <c r="F26" i="59"/>
  <c r="D26" i="59"/>
  <c r="D16" i="59"/>
  <c r="D17" i="59" s="1"/>
  <c r="F16" i="59"/>
  <c r="F17" i="59" s="1"/>
  <c r="G17" i="59"/>
  <c r="E16" i="59"/>
  <c r="E17" i="59" s="1"/>
  <c r="C17" i="59"/>
  <c r="C100" i="56"/>
  <c r="C101" i="56" s="1"/>
  <c r="E100" i="56"/>
  <c r="E101" i="56" s="1"/>
  <c r="D100" i="56"/>
  <c r="D101" i="56" s="1"/>
  <c r="D109" i="56"/>
  <c r="C109" i="56"/>
  <c r="D96" i="56"/>
  <c r="D94" i="56"/>
  <c r="D102" i="56"/>
  <c r="E95" i="56"/>
  <c r="C99" i="56"/>
  <c r="E99" i="56"/>
  <c r="D99" i="56"/>
  <c r="C95" i="56"/>
  <c r="D95" i="56"/>
  <c r="D79" i="56"/>
  <c r="D104" i="56"/>
  <c r="C102" i="56"/>
  <c r="C103" i="56" s="1"/>
  <c r="C104" i="56"/>
  <c r="E104" i="56"/>
  <c r="E93" i="56"/>
  <c r="E102" i="56"/>
  <c r="C89" i="56"/>
  <c r="C90" i="56" s="1"/>
  <c r="C94" i="56"/>
  <c r="C93" i="56"/>
  <c r="D93" i="56"/>
  <c r="E89" i="56"/>
  <c r="E90" i="56" s="1"/>
  <c r="D89" i="56"/>
  <c r="D90" i="56" s="1"/>
  <c r="C79" i="56"/>
  <c r="C81" i="56" s="1"/>
  <c r="D80" i="56" s="1"/>
  <c r="E79" i="56"/>
  <c r="D48" i="56"/>
  <c r="C48" i="56"/>
  <c r="E48" i="56"/>
  <c r="C21" i="59" l="1"/>
  <c r="B27" i="59"/>
  <c r="E27" i="59" s="1"/>
  <c r="C27" i="59"/>
  <c r="F27" i="59"/>
  <c r="G27" i="59"/>
  <c r="D27" i="59"/>
  <c r="E103" i="56"/>
  <c r="E108" i="56"/>
  <c r="C108" i="56"/>
  <c r="D103" i="56"/>
  <c r="D108" i="56"/>
  <c r="D81" i="56"/>
  <c r="E80" i="56" s="1"/>
  <c r="E81" i="56" s="1"/>
  <c r="F21" i="59" l="1"/>
  <c r="F22" i="59" s="1"/>
  <c r="E21" i="59"/>
  <c r="E22" i="59" s="1"/>
  <c r="G21" i="59"/>
  <c r="G22" i="59" s="1"/>
  <c r="C22" i="59"/>
  <c r="D21" i="59"/>
  <c r="D22" i="59" s="1"/>
</calcChain>
</file>

<file path=xl/sharedStrings.xml><?xml version="1.0" encoding="utf-8"?>
<sst xmlns="http://schemas.openxmlformats.org/spreadsheetml/2006/main" count="250" uniqueCount="178">
  <si>
    <t/>
  </si>
  <si>
    <t>Total</t>
  </si>
  <si>
    <t>Effect of exchange rate changes on cash and cash equivalents</t>
  </si>
  <si>
    <t>Goodwill</t>
  </si>
  <si>
    <t>Net increase (decrease) in cash and cash equivalents</t>
  </si>
  <si>
    <t>Cash and cash equivalents at beginning of period</t>
  </si>
  <si>
    <t>Cash and cash equivalents at end of period</t>
  </si>
  <si>
    <t>Interest</t>
  </si>
  <si>
    <t>Convertible Notes</t>
  </si>
  <si>
    <t>Term Loan</t>
  </si>
  <si>
    <t>Revolving Credit Loan</t>
  </si>
  <si>
    <t>336390 - Other Motor Vehicle Parts Manufacturing</t>
  </si>
  <si>
    <t>LCI Industries Financial Statement Analysis</t>
  </si>
  <si>
    <t>Income Statement</t>
  </si>
  <si>
    <t>Gross Profit</t>
  </si>
  <si>
    <t>Operating Profit</t>
  </si>
  <si>
    <t>SG&amp;A</t>
  </si>
  <si>
    <t>Interest Expense (Net)</t>
  </si>
  <si>
    <t>Net Sales</t>
  </si>
  <si>
    <t>Cost of Sales</t>
  </si>
  <si>
    <t>Pre-Tax Income</t>
  </si>
  <si>
    <t>Provision for Income Taxes</t>
  </si>
  <si>
    <t>Net Income</t>
  </si>
  <si>
    <t>Balance Sheet</t>
  </si>
  <si>
    <t>Cash and Equivalents</t>
  </si>
  <si>
    <t>Accounts Receivable (Net)</t>
  </si>
  <si>
    <t>Inventories (Net)</t>
  </si>
  <si>
    <t>Prepaid Expenses and Other Current Assets</t>
  </si>
  <si>
    <t>Total Current Assets</t>
  </si>
  <si>
    <t>Fixed Assets (Net)</t>
  </si>
  <si>
    <t>Other Intangible Assets (Net)</t>
  </si>
  <si>
    <t>Operating Lease Right-of-Use Assets</t>
  </si>
  <si>
    <t>Other Long-Term Assets</t>
  </si>
  <si>
    <t>Total Assets</t>
  </si>
  <si>
    <t>Current Maturities of Long-Term Indebtedness</t>
  </si>
  <si>
    <t>Accounts Payable (Trade)</t>
  </si>
  <si>
    <t>Current Portion of Operating Lease Obligations</t>
  </si>
  <si>
    <t>Accrued Expenses and Other Current Liabilities</t>
  </si>
  <si>
    <t>Total Current Liabilities</t>
  </si>
  <si>
    <t>Long-Term Indebtedness</t>
  </si>
  <si>
    <t>Operating Lease Obligations</t>
  </si>
  <si>
    <t>Deferred Taxes</t>
  </si>
  <si>
    <t>Other Long-Term Liabilities</t>
  </si>
  <si>
    <t>Total Liabilities</t>
  </si>
  <si>
    <t>Common Stock, par value $.01 per share</t>
  </si>
  <si>
    <t>Paid-in Capital</t>
  </si>
  <si>
    <t>Retained Earnings</t>
  </si>
  <si>
    <t>Accumulated Other Comprehensive Income</t>
  </si>
  <si>
    <t>Stockholders' Equity Before Treasury Stock</t>
  </si>
  <si>
    <t>Treasury Stock (At Cost)</t>
  </si>
  <si>
    <t>Total Stockholders' Equity</t>
  </si>
  <si>
    <t>Total Liabilities and Stockholders' Equity</t>
  </si>
  <si>
    <t>Cash Flow Statements</t>
  </si>
  <si>
    <t>Accrued Expenses and Other Liabilities</t>
  </si>
  <si>
    <t>Prepaid Expenses and Other Assets</t>
  </si>
  <si>
    <t>Capital Expenditures</t>
  </si>
  <si>
    <t>Acquisitions of Businesses</t>
  </si>
  <si>
    <t>Other Investing Activities</t>
  </si>
  <si>
    <t>Vesting of Stock-Based Awards (Net)</t>
  </si>
  <si>
    <t>Net Cash Flows from Investing Activities</t>
  </si>
  <si>
    <t>Net Cash Flows from Operations</t>
  </si>
  <si>
    <t>Depreciation and Amortization</t>
  </si>
  <si>
    <t>Stock-Based Compensation Expense</t>
  </si>
  <si>
    <t>Other Non-Cash Items</t>
  </si>
  <si>
    <t>Proceeds from Revolving Credit Facility</t>
  </si>
  <si>
    <t>Net Cash Flows from Financing Activities</t>
  </si>
  <si>
    <t>Repayments under Revolving Credit Facility</t>
  </si>
  <si>
    <t>Repayments under Shelf Loan, Term Loan, and Other Borrowings</t>
  </si>
  <si>
    <t>Payment of Dividends</t>
  </si>
  <si>
    <t>Payment of Contingent Consideration and Holdbacks Related to Acquisitions</t>
  </si>
  <si>
    <t>Repurchases of Common Stock</t>
  </si>
  <si>
    <t>Other Financing Activities</t>
  </si>
  <si>
    <t>Allowance for Credit Losses</t>
  </si>
  <si>
    <t>Total Accounts Receivable</t>
  </si>
  <si>
    <t>AR / Net Sales</t>
  </si>
  <si>
    <t>Liquidity Analysis</t>
  </si>
  <si>
    <t>Current Ratio</t>
  </si>
  <si>
    <t>Quick Ratio</t>
  </si>
  <si>
    <t>Days Sales Outstanding</t>
  </si>
  <si>
    <t>Profitability Analysis</t>
  </si>
  <si>
    <t>EBITDA</t>
  </si>
  <si>
    <t>Gross Margin</t>
  </si>
  <si>
    <t>EBITDA Margin</t>
  </si>
  <si>
    <t>Return on Assets</t>
  </si>
  <si>
    <t>Working Capital</t>
  </si>
  <si>
    <t>Leverage Analysis</t>
  </si>
  <si>
    <t>Debt to Equity</t>
  </si>
  <si>
    <t>Debt to EBITDA</t>
  </si>
  <si>
    <t>Free Cash Flow</t>
  </si>
  <si>
    <t>Industry</t>
  </si>
  <si>
    <t>Markets</t>
  </si>
  <si>
    <t>Average management tenure of 17 years</t>
  </si>
  <si>
    <t>Management Team</t>
  </si>
  <si>
    <t>Years in Operation</t>
  </si>
  <si>
    <t>41 years (Delaware Division of Corporations)</t>
  </si>
  <si>
    <t>Collateral Coverage</t>
  </si>
  <si>
    <t>Industry Outlook</t>
  </si>
  <si>
    <t>Risk Rating</t>
  </si>
  <si>
    <t>Customer Concentration</t>
  </si>
  <si>
    <t>The industry association for RVs has a consensus growth estimate of 4.91%.</t>
  </si>
  <si>
    <t>Competitive Position</t>
  </si>
  <si>
    <t>Industry leader in the NA RV market (2024 10-K)</t>
  </si>
  <si>
    <t>Market Position</t>
  </si>
  <si>
    <t>Industry Risk</t>
  </si>
  <si>
    <t>Risk Categories</t>
  </si>
  <si>
    <t>Profitability</t>
  </si>
  <si>
    <t>Leverage</t>
  </si>
  <si>
    <t>Risk Rating Criteria</t>
  </si>
  <si>
    <t>Superior (1)</t>
  </si>
  <si>
    <t>Strong (2)</t>
  </si>
  <si>
    <t>Satisfactory (3)</t>
  </si>
  <si>
    <t>Watch (4)</t>
  </si>
  <si>
    <t>Substandard (5)</t>
  </si>
  <si>
    <t>Notes</t>
  </si>
  <si>
    <t>Score</t>
  </si>
  <si>
    <t>Average</t>
  </si>
  <si>
    <t>Industry is well below peak and showing a sluggish recovery.</t>
  </si>
  <si>
    <t>Discounted Land, Building, and Equipment Fixed Assets: $645,687,200</t>
  </si>
  <si>
    <t>2 Customers comprise 34% of Net Sales (2024 10-K).</t>
  </si>
  <si>
    <t>LCI INDUSTRIES (Delaware Corporation)</t>
  </si>
  <si>
    <t>Legal Name and Structure</t>
  </si>
  <si>
    <t>NA and EU, OEM and Aftermarket RV parts (2024 10-K)</t>
  </si>
  <si>
    <t>Recommendation</t>
  </si>
  <si>
    <t>3.73% Held by Insiders, 43.71% Held by Institutions Holding More than 5%</t>
  </si>
  <si>
    <t>SOFR +2% positioned above existing term and revolving credit</t>
  </si>
  <si>
    <t>Ownership Details</t>
  </si>
  <si>
    <t>Trend</t>
  </si>
  <si>
    <t>Quality</t>
  </si>
  <si>
    <t>Increasing</t>
  </si>
  <si>
    <t>Stable</t>
  </si>
  <si>
    <t>Decreasing</t>
  </si>
  <si>
    <t>Recovering</t>
  </si>
  <si>
    <t>Efficiency</t>
  </si>
  <si>
    <t>Efficiency Analysis</t>
  </si>
  <si>
    <t>Accounts Receivable Breakdown</t>
  </si>
  <si>
    <t>Net Income Margin</t>
  </si>
  <si>
    <t>Fluctuating</t>
  </si>
  <si>
    <t>Interest Coverage</t>
  </si>
  <si>
    <t>We can expect LCI Industries to track the performance of its industry due to it performing similarly to its benchmark in the past.</t>
  </si>
  <si>
    <t>The 2024 10-K report discloses significant seasonality to its business, which LCI mitigates through creative working capital management.</t>
  </si>
  <si>
    <t>It’s important to note in the context of LCI’s Net Income trend that the RV industry still has not reached its prior pandemic highs.</t>
  </si>
  <si>
    <t>Financial Statement Ratings Criteria</t>
  </si>
  <si>
    <t>Liquidity</t>
  </si>
  <si>
    <t>Deteriorating cash flow and working capital. Strengthening Balance Sheet ratios.</t>
  </si>
  <si>
    <t>Grew profitability YoY. Still below pandemic peak values.</t>
  </si>
  <si>
    <t>Industry leader in domestic market and expanding internationally.</t>
  </si>
  <si>
    <t>Debt as a share of the capital structure is declining despite revolving credit reliance.</t>
  </si>
  <si>
    <t>Strong AR efficiency despite volatile changes during the reporting period.</t>
  </si>
  <si>
    <t>2.5 out of 5</t>
  </si>
  <si>
    <t>New Debt</t>
  </si>
  <si>
    <t>Rate</t>
  </si>
  <si>
    <t>SOFR</t>
  </si>
  <si>
    <t>EBIT</t>
  </si>
  <si>
    <t>New Debt Rate</t>
  </si>
  <si>
    <t>Max Interest</t>
  </si>
  <si>
    <t>Max Principal</t>
  </si>
  <si>
    <t xml:space="preserve">Long-Term Debt </t>
  </si>
  <si>
    <t>Current Interest</t>
  </si>
  <si>
    <t>[3]</t>
  </si>
  <si>
    <t>[4]</t>
  </si>
  <si>
    <t>[1]</t>
  </si>
  <si>
    <t>[2]</t>
  </si>
  <si>
    <t>[5]</t>
  </si>
  <si>
    <t>The risk rating is a weighted average of the quantitative and qualitative risk categories. The firm could improve their rating significantly through continued net income and EBITDA growth while continuing to increase margins.</t>
  </si>
  <si>
    <t>There is significant customer concentration. The annual report attests to the reliability of the two &gt;10% concentration firms. Recommend further investigation into the two customer firms and covenant restrictions limiting trade credit.</t>
  </si>
  <si>
    <t>The 3x interest coverage floor at current borrowing is reflective of this being the floor during the company's poor 2022 performance. The 2x floor at maximum borrowing reflects this being the minimum level that the firm would be able to comfortably service both the principal and interest of the debt.</t>
  </si>
  <si>
    <t>Preliminary Recommendation</t>
  </si>
  <si>
    <t>Extend credit to LCI Industries up to $650,000,000 at SOFR +2% to position this credit line behind the existing credit line at SOFR +0.875% and term loan at SOFR +1.875%.</t>
  </si>
  <si>
    <t>Qualitative Analysis</t>
  </si>
  <si>
    <t>The firm is managing inventories efficiently. When comparing inventory relative to Net Sales, there is little change from 2022. There are no indicators that the firm is unable to manage appropriate inventory levels.</t>
  </si>
  <si>
    <t xml:space="preserve">The heightened interest rate is a result of the deteriorated creditworthiness of the firm since past credit was issued. </t>
  </si>
  <si>
    <t>2024 Debt</t>
  </si>
  <si>
    <t>Interest Coverage Sensitivity Based on New and Existing Debt</t>
  </si>
  <si>
    <t>Interest Coverage Sensitivity Analysis</t>
  </si>
  <si>
    <t>Interest Coverage with Current Borrowing and New Debt</t>
  </si>
  <si>
    <t>Interest Coverage with Maximum Borrowing and New Debt</t>
  </si>
  <si>
    <t>Flagged as Watch (4) due to declining operations cash flows. This was a persistent trend in the financial statements and the firm may seek to increase leverage unsustainably if it continues.</t>
  </si>
  <si>
    <t>At this credit limit, interest coverage will not drop below 3x at current borrowing levels and will not drop below 2x at the maximum possible borrowing level, given the existing credit facilities.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</si>
</sst>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6" formatCode="&quot;$&quot;#,##0_);[Red]\(&quot;$&quot;#,##0\)"/>
    <numFmt numFmtId="8" formatCode="&quot;$&quot;#,##0.00_);[Red]\(&quot;$&quot;#,##0.00\)"/>
    <numFmt numFmtId="43" formatCode="_(* #,##0.00_);_(* \(#,##0.00\);_(* &quot;-&quot;??_);_(@_)"/>
    <numFmt numFmtId="164" formatCode="_(* #,##0_);_(* \(#,##0\);_(* &quot;-&quot;??_);_(@_)"/>
    <numFmt numFmtId="165" formatCode="_(&quot;$&quot;* #,##0_);_(&quot;$&quot;* \(#,##0\);_(&quot;$&quot;* &quot;-&quot;??_);_(@_)"/>
    <numFmt numFmtId="166" formatCode="0.0"/>
    <numFmt numFmtId="167" formatCode="0.000%"/>
    <numFmt numFmtId="168" formatCode="_(&quot;$&quot;* #,##0_);_(&quot;$&quot;* \(#,##0\);_(&quot;$&quot;* &quot;-&quot;???_);_(@_)"/>
  </numFmts>
  <fonts count="10" x14ac:knownFonts="1">
    <font>
      <sz val="10"/>
      <name val="Arial"/>
    </font>
    <font>
      <sz val="10"/>
      <name val="Arial"/>
    </font>
    <font>
      <u/>
      <sz val="10"/>
      <color theme="10"/>
      <name val="Arial"/>
    </font>
    <font>
      <b/>
      <sz val="10"/>
      <name val="Arial"/>
      <family val="2"/>
    </font>
    <font>
      <sz val="10"/>
      <name val="Arial"/>
      <family val="2"/>
    </font>
    <font>
      <u/>
      <sz val="10"/>
      <color theme="10"/>
      <name val="Arial"/>
      <family val="2"/>
    </font>
    <font>
      <sz val="10"/>
      <color rgb="FF0070C0"/>
      <name val="Arial"/>
      <family val="2"/>
    </font>
    <font>
      <b/>
      <sz val="10"/>
      <color rgb="FF0070C0"/>
      <name val="Arial"/>
      <family val="2"/>
    </font>
    <font>
      <sz val="10"/>
      <color rgb="FF00B0F0"/>
      <name val="Arial"/>
      <family val="2"/>
    </font>
    <font>
      <b/>
      <sz val="10"/>
      <color rgb="FF00B0F0"/>
      <name val="Arial"/>
      <family val="2"/>
    </font>
  </fonts>
  <fills count="2">
    <fill>
      <patternFill patternType="none"/>
    </fill>
    <fill>
      <patternFill patternType="gray125"/>
    </fill>
  </fills>
  <borders count="8">
    <border>
      <left/>
      <right/>
      <top/>
      <bottom/>
      <diagonal/>
    </border>
    <border>
      <left/>
      <right/>
      <top style="thin">
        <color indexed="64"/>
      </top>
      <bottom/>
      <diagonal/>
    </border>
    <border>
      <left/>
      <right/>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right/>
      <top/>
      <bottom style="thin">
        <color indexed="64"/>
      </bottom>
      <diagonal/>
    </border>
    <border>
      <left/>
      <right/>
      <top style="medium">
        <color indexed="64"/>
      </top>
      <bottom/>
      <diagonal/>
    </border>
  </borders>
  <cellStyleXfs count="6">
    <xf numFmtId="0" fontId="0" fillId="0" borderId="0">
      <alignment vertical="top"/>
    </xf>
    <xf numFmtId="43" fontId="1" fillId="0" borderId="0">
      <alignment vertical="top"/>
    </xf>
    <xf numFmtId="8" fontId="1" fillId="0" borderId="0">
      <alignment vertical="top"/>
    </xf>
    <xf numFmtId="9" fontId="1" fillId="0" borderId="0">
      <alignment vertical="top"/>
    </xf>
    <xf numFmtId="0" fontId="2" fillId="0" borderId="0" applyNumberFormat="0" applyFill="0" applyBorder="0" applyAlignment="0" applyProtection="0">
      <alignment vertical="top"/>
    </xf>
    <xf numFmtId="0" fontId="4" fillId="0" borderId="0">
      <alignment vertical="top"/>
    </xf>
  </cellStyleXfs>
  <cellXfs count="55">
    <xf numFmtId="0" fontId="0" fillId="0" borderId="0" xfId="0">
      <alignment vertical="top"/>
    </xf>
    <xf numFmtId="0" fontId="1" fillId="0" borderId="0" xfId="0" applyFont="1">
      <alignment vertical="top"/>
    </xf>
    <xf numFmtId="0" fontId="3" fillId="0" borderId="0" xfId="0" applyFont="1">
      <alignment vertical="top"/>
    </xf>
    <xf numFmtId="0" fontId="4" fillId="0" borderId="0" xfId="0" applyFont="1">
      <alignment vertical="top"/>
    </xf>
    <xf numFmtId="8" fontId="1" fillId="0" borderId="0" xfId="2">
      <alignment vertical="top"/>
    </xf>
    <xf numFmtId="0" fontId="0" fillId="0" borderId="0" xfId="0" applyAlignment="1">
      <alignment horizontal="left" vertical="top" indent="1"/>
    </xf>
    <xf numFmtId="6" fontId="3" fillId="0" borderId="0" xfId="2" applyNumberFormat="1" applyFont="1">
      <alignment vertical="top"/>
    </xf>
    <xf numFmtId="164" fontId="1" fillId="0" borderId="0" xfId="1" applyNumberFormat="1">
      <alignment vertical="top"/>
    </xf>
    <xf numFmtId="0" fontId="4" fillId="0" borderId="0" xfId="5">
      <alignment vertical="top"/>
    </xf>
    <xf numFmtId="165" fontId="1" fillId="0" borderId="0" xfId="2" applyNumberFormat="1">
      <alignment vertical="top"/>
    </xf>
    <xf numFmtId="0" fontId="3" fillId="0" borderId="1" xfId="0" applyFont="1" applyBorder="1">
      <alignment vertical="top"/>
    </xf>
    <xf numFmtId="164" fontId="1" fillId="0" borderId="1" xfId="1" applyNumberFormat="1" applyBorder="1">
      <alignment vertical="top"/>
    </xf>
    <xf numFmtId="0" fontId="4" fillId="0" borderId="1" xfId="0" applyFont="1" applyBorder="1">
      <alignment vertical="top"/>
    </xf>
    <xf numFmtId="165" fontId="3" fillId="0" borderId="1" xfId="1" applyNumberFormat="1" applyFont="1" applyBorder="1">
      <alignment vertical="top"/>
    </xf>
    <xf numFmtId="165" fontId="3" fillId="0" borderId="0" xfId="2" applyNumberFormat="1" applyFont="1">
      <alignment vertical="top"/>
    </xf>
    <xf numFmtId="165" fontId="3" fillId="0" borderId="1" xfId="2" applyNumberFormat="1" applyFont="1" applyBorder="1">
      <alignment vertical="top"/>
    </xf>
    <xf numFmtId="0" fontId="3" fillId="0" borderId="2" xfId="0" applyFont="1" applyBorder="1">
      <alignment vertical="top"/>
    </xf>
    <xf numFmtId="164" fontId="6" fillId="0" borderId="0" xfId="1" applyNumberFormat="1" applyFont="1">
      <alignment vertical="top"/>
    </xf>
    <xf numFmtId="0" fontId="4" fillId="0" borderId="0" xfId="0" applyFont="1" applyAlignment="1">
      <alignment horizontal="left" vertical="top"/>
    </xf>
    <xf numFmtId="0" fontId="4" fillId="0" borderId="1" xfId="0" applyFont="1" applyBorder="1" applyAlignment="1">
      <alignment horizontal="left" vertical="top"/>
    </xf>
    <xf numFmtId="164" fontId="4" fillId="0" borderId="1" xfId="2" applyNumberFormat="1" applyFont="1" applyBorder="1">
      <alignment vertical="top"/>
    </xf>
    <xf numFmtId="165" fontId="7" fillId="0" borderId="0" xfId="2" applyNumberFormat="1" applyFont="1">
      <alignment vertical="top"/>
    </xf>
    <xf numFmtId="164" fontId="6" fillId="0" borderId="0" xfId="0" applyNumberFormat="1" applyFont="1">
      <alignment vertical="top"/>
    </xf>
    <xf numFmtId="10" fontId="1" fillId="0" borderId="0" xfId="3" applyNumberFormat="1">
      <alignment vertical="top"/>
    </xf>
    <xf numFmtId="2" fontId="0" fillId="0" borderId="0" xfId="0" applyNumberFormat="1">
      <alignment vertical="top"/>
    </xf>
    <xf numFmtId="165" fontId="0" fillId="0" borderId="0" xfId="0" applyNumberFormat="1">
      <alignment vertical="top"/>
    </xf>
    <xf numFmtId="165" fontId="3" fillId="0" borderId="1" xfId="0" applyNumberFormat="1" applyFont="1" applyBorder="1">
      <alignment vertical="top"/>
    </xf>
    <xf numFmtId="0" fontId="2" fillId="0" borderId="0" xfId="4">
      <alignment vertical="top"/>
    </xf>
    <xf numFmtId="0" fontId="5" fillId="0" borderId="0" xfId="4" applyFont="1">
      <alignment vertical="top"/>
    </xf>
    <xf numFmtId="10" fontId="3" fillId="0" borderId="0" xfId="0" applyNumberFormat="1" applyFont="1">
      <alignment vertical="top"/>
    </xf>
    <xf numFmtId="37" fontId="4" fillId="0" borderId="0" xfId="0" applyNumberFormat="1" applyFont="1">
      <alignment vertical="top"/>
    </xf>
    <xf numFmtId="165" fontId="8" fillId="0" borderId="0" xfId="3" applyNumberFormat="1" applyFont="1">
      <alignment vertical="top"/>
    </xf>
    <xf numFmtId="165" fontId="9" fillId="0" borderId="0" xfId="2" applyNumberFormat="1" applyFont="1">
      <alignment vertical="top"/>
    </xf>
    <xf numFmtId="166" fontId="0" fillId="0" borderId="0" xfId="0" applyNumberFormat="1">
      <alignment vertical="top"/>
    </xf>
    <xf numFmtId="166" fontId="3" fillId="0" borderId="1" xfId="0" applyNumberFormat="1" applyFont="1" applyBorder="1">
      <alignment vertical="top"/>
    </xf>
    <xf numFmtId="167" fontId="1" fillId="0" borderId="0" xfId="3" applyNumberFormat="1">
      <alignment vertical="top"/>
    </xf>
    <xf numFmtId="168" fontId="0" fillId="0" borderId="0" xfId="0" applyNumberFormat="1">
      <alignment vertical="top"/>
    </xf>
    <xf numFmtId="43" fontId="1" fillId="0" borderId="0" xfId="1">
      <alignment vertical="top"/>
    </xf>
    <xf numFmtId="0" fontId="4" fillId="0" borderId="3" xfId="1" applyNumberFormat="1" applyFont="1" applyBorder="1">
      <alignment vertical="top"/>
    </xf>
    <xf numFmtId="165" fontId="1" fillId="0" borderId="3" xfId="1" applyNumberFormat="1" applyBorder="1">
      <alignment vertical="top"/>
    </xf>
    <xf numFmtId="43" fontId="1" fillId="0" borderId="4" xfId="1" applyBorder="1">
      <alignment vertical="top"/>
    </xf>
    <xf numFmtId="43" fontId="1" fillId="0" borderId="1" xfId="1" applyBorder="1">
      <alignment vertical="top"/>
    </xf>
    <xf numFmtId="43" fontId="1" fillId="0" borderId="5" xfId="1" applyBorder="1">
      <alignment vertical="top"/>
    </xf>
    <xf numFmtId="0" fontId="0" fillId="0" borderId="2" xfId="0" applyBorder="1">
      <alignment vertical="top"/>
    </xf>
    <xf numFmtId="0" fontId="0" fillId="0" borderId="6" xfId="0" applyBorder="1">
      <alignment vertical="top"/>
    </xf>
    <xf numFmtId="165" fontId="0" fillId="0" borderId="6" xfId="0" applyNumberFormat="1" applyBorder="1">
      <alignment vertical="top"/>
    </xf>
    <xf numFmtId="167" fontId="1" fillId="0" borderId="6" xfId="3" applyNumberFormat="1" applyBorder="1">
      <alignment vertical="top"/>
    </xf>
    <xf numFmtId="168" fontId="0" fillId="0" borderId="6" xfId="0" applyNumberFormat="1" applyBorder="1">
      <alignment vertical="top"/>
    </xf>
    <xf numFmtId="165" fontId="3" fillId="0" borderId="0" xfId="0" applyNumberFormat="1" applyFont="1">
      <alignment vertical="top"/>
    </xf>
    <xf numFmtId="0" fontId="3" fillId="0" borderId="2" xfId="1" applyNumberFormat="1" applyFont="1" applyBorder="1">
      <alignment vertical="top"/>
    </xf>
    <xf numFmtId="0" fontId="4" fillId="0" borderId="2" xfId="0" applyFont="1" applyBorder="1">
      <alignment vertical="top"/>
    </xf>
    <xf numFmtId="43" fontId="1" fillId="0" borderId="2" xfId="1" applyBorder="1">
      <alignment vertical="top"/>
    </xf>
    <xf numFmtId="0" fontId="4" fillId="0" borderId="0" xfId="0" applyFont="1" applyAlignment="1">
      <alignment horizontal="left" vertical="top" wrapText="1"/>
    </xf>
    <xf numFmtId="0" fontId="0" fillId="0" borderId="0" xfId="0" applyAlignment="1">
      <alignment horizontal="left" vertical="top" wrapText="1"/>
    </xf>
    <xf numFmtId="0" fontId="0" fillId="0" borderId="7" xfId="0" applyBorder="1" applyAlignment="1">
      <alignment horizontal="left" vertical="top" wrapText="1"/>
    </xf>
  </cellXfs>
  <cellStyles count="6">
    <cellStyle name="Comma" xfId="1" builtinId="3"/>
    <cellStyle name="Currency" xfId="2" builtinId="4"/>
    <cellStyle name="Hyperlink" xfId="4" builtinId="8"/>
    <cellStyle name="Normal" xfId="0" builtinId="0"/>
    <cellStyle name="Normal 2" xfId="5" xr:uid="{C33EAAE1-6D4E-4FDA-BDC9-1B8C670788BF}"/>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investors.lci1.com/why-invest/default.aspx" TargetMode="External"/><Relationship Id="rId7" Type="http://schemas.openxmlformats.org/officeDocument/2006/relationships/printerSettings" Target="../printerSettings/printerSettings2.bin"/><Relationship Id="rId2" Type="http://schemas.openxmlformats.org/officeDocument/2006/relationships/hyperlink" Target="https://www.naics.com/company-profile-page/?co=4551" TargetMode="External"/><Relationship Id="rId1" Type="http://schemas.openxmlformats.org/officeDocument/2006/relationships/hyperlink" Target="https://finance.yahoo.com/quote/LCII/holders/" TargetMode="External"/><Relationship Id="rId6" Type="http://schemas.openxmlformats.org/officeDocument/2006/relationships/hyperlink" Target="https://rvbusiness.com/wsj-its-a-buyers-market-for-rvs-boats-other-pandemic-toys/" TargetMode="External"/><Relationship Id="rId5" Type="http://schemas.openxmlformats.org/officeDocument/2006/relationships/hyperlink" Target="https://s24.q4cdn.com/983662463/files/doc_financials/2024/ar/Lippert-2024-Annual-Report-2025012234-WEB-RA.pdf" TargetMode="External"/><Relationship Id="rId4" Type="http://schemas.openxmlformats.org/officeDocument/2006/relationships/hyperlink" Target="https://www.rvia.org/rv-roadsigns-quarterly-forecas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CD4A7-CC0D-4D77-8858-566BD9E8EF63}">
  <sheetPr>
    <pageSetUpPr fitToPage="1"/>
  </sheetPr>
  <dimension ref="A2:G120"/>
  <sheetViews>
    <sheetView topLeftCell="A85" workbookViewId="0">
      <selection activeCell="B112" sqref="B112:G112"/>
    </sheetView>
  </sheetViews>
  <sheetFormatPr defaultRowHeight="12.75" x14ac:dyDescent="0.2"/>
  <cols>
    <col min="1" max="1" width="3.7109375" customWidth="1"/>
    <col min="2" max="2" width="66.140625" bestFit="1" customWidth="1"/>
    <col min="3" max="5" width="12.28515625" bestFit="1" customWidth="1"/>
    <col min="6" max="6" width="10.5703125" customWidth="1"/>
    <col min="7" max="7" width="14.28515625" bestFit="1" customWidth="1"/>
  </cols>
  <sheetData>
    <row r="2" spans="2:6" x14ac:dyDescent="0.2">
      <c r="B2" s="2" t="s">
        <v>12</v>
      </c>
      <c r="C2" s="3"/>
      <c r="D2" s="3"/>
      <c r="E2" s="3"/>
    </row>
    <row r="3" spans="2:6" x14ac:dyDescent="0.2">
      <c r="C3" s="2"/>
      <c r="D3" s="2"/>
      <c r="E3" s="2"/>
    </row>
    <row r="4" spans="2:6" ht="13.5" thickBot="1" x14ac:dyDescent="0.25">
      <c r="B4" s="16" t="s">
        <v>13</v>
      </c>
      <c r="C4" s="16">
        <v>2022</v>
      </c>
      <c r="D4" s="16">
        <v>2023</v>
      </c>
      <c r="E4" s="16">
        <v>2024</v>
      </c>
    </row>
    <row r="5" spans="2:6" x14ac:dyDescent="0.2">
      <c r="B5" s="2" t="s">
        <v>18</v>
      </c>
      <c r="C5" s="21">
        <v>5207143</v>
      </c>
      <c r="D5" s="21">
        <v>3784808</v>
      </c>
      <c r="E5" s="21">
        <v>3741208</v>
      </c>
    </row>
    <row r="6" spans="2:6" x14ac:dyDescent="0.2">
      <c r="B6" s="3" t="s">
        <v>19</v>
      </c>
      <c r="C6" s="17">
        <v>3933854</v>
      </c>
      <c r="D6" s="17">
        <v>3008618</v>
      </c>
      <c r="E6" s="17">
        <v>2861493</v>
      </c>
    </row>
    <row r="7" spans="2:6" x14ac:dyDescent="0.2">
      <c r="B7" s="10" t="s">
        <v>14</v>
      </c>
      <c r="C7" s="13">
        <f>C5-C6</f>
        <v>1273289</v>
      </c>
      <c r="D7" s="13">
        <f t="shared" ref="D7:E7" si="0">D5-D6</f>
        <v>776190</v>
      </c>
      <c r="E7" s="13">
        <f t="shared" si="0"/>
        <v>879715</v>
      </c>
    </row>
    <row r="8" spans="2:6" x14ac:dyDescent="0.2">
      <c r="C8" s="7"/>
      <c r="D8" s="7"/>
      <c r="E8" s="7"/>
    </row>
    <row r="9" spans="2:6" x14ac:dyDescent="0.2">
      <c r="B9" s="3" t="s">
        <v>16</v>
      </c>
      <c r="C9" s="17">
        <v>720261</v>
      </c>
      <c r="D9" s="17">
        <v>652762</v>
      </c>
      <c r="E9" s="17">
        <v>661478</v>
      </c>
    </row>
    <row r="10" spans="2:6" x14ac:dyDescent="0.2">
      <c r="B10" s="12" t="s">
        <v>15</v>
      </c>
      <c r="C10" s="11">
        <f>C7-C9</f>
        <v>553028</v>
      </c>
      <c r="D10" s="11">
        <f t="shared" ref="D10:E10" si="1">D7-D9</f>
        <v>123428</v>
      </c>
      <c r="E10" s="11">
        <f t="shared" si="1"/>
        <v>218237</v>
      </c>
    </row>
    <row r="11" spans="2:6" x14ac:dyDescent="0.2">
      <c r="B11" s="3" t="s">
        <v>17</v>
      </c>
      <c r="C11" s="17">
        <v>27573</v>
      </c>
      <c r="D11" s="17">
        <v>40424</v>
      </c>
      <c r="E11" s="17">
        <v>28899</v>
      </c>
    </row>
    <row r="12" spans="2:6" x14ac:dyDescent="0.2">
      <c r="B12" s="12" t="s">
        <v>20</v>
      </c>
      <c r="C12" s="11">
        <f>C10-C11</f>
        <v>525455</v>
      </c>
      <c r="D12" s="11">
        <f>D10-D11</f>
        <v>83004</v>
      </c>
      <c r="E12" s="11">
        <f>E10-E11</f>
        <v>189338</v>
      </c>
    </row>
    <row r="13" spans="2:6" x14ac:dyDescent="0.2">
      <c r="B13" s="3" t="s">
        <v>21</v>
      </c>
      <c r="C13" s="17">
        <v>130481</v>
      </c>
      <c r="D13" s="17">
        <v>18809</v>
      </c>
      <c r="E13" s="17">
        <v>46471</v>
      </c>
    </row>
    <row r="14" spans="2:6" x14ac:dyDescent="0.2">
      <c r="B14" s="10" t="s">
        <v>22</v>
      </c>
      <c r="C14" s="15">
        <f>C12-C13</f>
        <v>394974</v>
      </c>
      <c r="D14" s="15">
        <f>D12-D13</f>
        <v>64195</v>
      </c>
      <c r="E14" s="15">
        <f>E12-E13</f>
        <v>142867</v>
      </c>
    </row>
    <row r="15" spans="2:6" x14ac:dyDescent="0.2">
      <c r="C15" s="4"/>
      <c r="D15" s="4"/>
      <c r="E15" s="4"/>
    </row>
    <row r="16" spans="2:6" ht="13.5" thickBot="1" x14ac:dyDescent="0.25">
      <c r="B16" s="16" t="s">
        <v>23</v>
      </c>
      <c r="C16" s="16">
        <v>2022</v>
      </c>
      <c r="D16" s="16">
        <v>2023</v>
      </c>
      <c r="E16" s="16">
        <v>2024</v>
      </c>
      <c r="F16" s="8" t="s">
        <v>0</v>
      </c>
    </row>
    <row r="17" spans="1:6" x14ac:dyDescent="0.2">
      <c r="B17" s="18" t="s">
        <v>24</v>
      </c>
      <c r="C17" s="17">
        <v>47499</v>
      </c>
      <c r="D17" s="17">
        <v>66157</v>
      </c>
      <c r="E17" s="17">
        <v>165756</v>
      </c>
      <c r="F17" s="8"/>
    </row>
    <row r="18" spans="1:6" x14ac:dyDescent="0.2">
      <c r="A18" t="s">
        <v>158</v>
      </c>
      <c r="B18" s="18" t="s">
        <v>25</v>
      </c>
      <c r="C18" s="17">
        <v>214262</v>
      </c>
      <c r="D18" s="17">
        <v>214707</v>
      </c>
      <c r="E18" s="17">
        <v>199560</v>
      </c>
      <c r="F18" s="5"/>
    </row>
    <row r="19" spans="1:6" x14ac:dyDescent="0.2">
      <c r="A19" t="s">
        <v>159</v>
      </c>
      <c r="B19" s="18" t="s">
        <v>26</v>
      </c>
      <c r="C19" s="17">
        <v>1029705</v>
      </c>
      <c r="D19" s="17">
        <v>768407</v>
      </c>
      <c r="E19" s="17">
        <v>736604</v>
      </c>
      <c r="F19" s="8"/>
    </row>
    <row r="20" spans="1:6" x14ac:dyDescent="0.2">
      <c r="B20" s="18" t="s">
        <v>27</v>
      </c>
      <c r="C20" s="17">
        <v>99310</v>
      </c>
      <c r="D20" s="17">
        <v>67599</v>
      </c>
      <c r="E20" s="17">
        <v>58318</v>
      </c>
      <c r="F20" s="8"/>
    </row>
    <row r="21" spans="1:6" x14ac:dyDescent="0.2">
      <c r="B21" s="19" t="s">
        <v>28</v>
      </c>
      <c r="C21" s="11">
        <f>SUM(C17:C20)</f>
        <v>1390776</v>
      </c>
      <c r="D21" s="11">
        <f t="shared" ref="D21:E21" si="2">SUM(D17:D20)</f>
        <v>1116870</v>
      </c>
      <c r="E21" s="11">
        <f t="shared" si="2"/>
        <v>1160238</v>
      </c>
      <c r="F21" s="8"/>
    </row>
    <row r="22" spans="1:6" x14ac:dyDescent="0.2">
      <c r="B22" s="3" t="s">
        <v>29</v>
      </c>
      <c r="C22" s="17">
        <v>482185</v>
      </c>
      <c r="D22" s="17">
        <v>465781</v>
      </c>
      <c r="E22" s="17">
        <v>432728</v>
      </c>
      <c r="F22" s="8"/>
    </row>
    <row r="23" spans="1:6" x14ac:dyDescent="0.2">
      <c r="B23" t="s">
        <v>3</v>
      </c>
      <c r="C23" s="17">
        <v>567063</v>
      </c>
      <c r="D23" s="17">
        <v>589550</v>
      </c>
      <c r="E23" s="17">
        <v>585773</v>
      </c>
      <c r="F23" s="8"/>
    </row>
    <row r="24" spans="1:6" x14ac:dyDescent="0.2">
      <c r="B24" s="3" t="s">
        <v>30</v>
      </c>
      <c r="C24" s="17">
        <v>503320</v>
      </c>
      <c r="D24" s="17">
        <v>448759</v>
      </c>
      <c r="E24" s="17">
        <v>392018</v>
      </c>
      <c r="F24" s="8"/>
    </row>
    <row r="25" spans="1:6" x14ac:dyDescent="0.2">
      <c r="B25" s="3" t="s">
        <v>31</v>
      </c>
      <c r="C25" s="17">
        <v>247007</v>
      </c>
      <c r="D25" s="17">
        <v>245388</v>
      </c>
      <c r="E25" s="17">
        <v>224313</v>
      </c>
      <c r="F25" s="8"/>
    </row>
    <row r="26" spans="1:6" x14ac:dyDescent="0.2">
      <c r="B26" s="3" t="s">
        <v>32</v>
      </c>
      <c r="C26" s="17">
        <v>56561</v>
      </c>
      <c r="D26" s="17">
        <v>92971</v>
      </c>
      <c r="E26" s="17">
        <v>99669</v>
      </c>
      <c r="F26" s="8"/>
    </row>
    <row r="27" spans="1:6" x14ac:dyDescent="0.2">
      <c r="B27" s="10" t="s">
        <v>33</v>
      </c>
      <c r="C27" s="13">
        <f>SUM(C21:C26)</f>
        <v>3246912</v>
      </c>
      <c r="D27" s="13">
        <f t="shared" ref="D27:E27" si="3">SUM(D21:D26)</f>
        <v>2959319</v>
      </c>
      <c r="E27" s="13">
        <f t="shared" si="3"/>
        <v>2894739</v>
      </c>
      <c r="F27" s="8"/>
    </row>
    <row r="28" spans="1:6" x14ac:dyDescent="0.2">
      <c r="D28" s="4"/>
      <c r="E28" s="4"/>
    </row>
    <row r="29" spans="1:6" x14ac:dyDescent="0.2">
      <c r="B29" s="3" t="s">
        <v>34</v>
      </c>
      <c r="C29" s="17">
        <v>23086</v>
      </c>
      <c r="D29" s="17">
        <v>589</v>
      </c>
      <c r="E29" s="17">
        <v>423</v>
      </c>
      <c r="F29" s="8"/>
    </row>
    <row r="30" spans="1:6" x14ac:dyDescent="0.2">
      <c r="B30" s="3" t="s">
        <v>35</v>
      </c>
      <c r="C30" s="17">
        <v>143529</v>
      </c>
      <c r="D30" s="17">
        <v>183697</v>
      </c>
      <c r="E30" s="17">
        <v>187684</v>
      </c>
      <c r="F30" s="8"/>
    </row>
    <row r="31" spans="1:6" x14ac:dyDescent="0.2">
      <c r="B31" s="3" t="s">
        <v>36</v>
      </c>
      <c r="C31" s="17">
        <v>35447</v>
      </c>
      <c r="D31" s="17">
        <v>36269</v>
      </c>
      <c r="E31" s="17">
        <v>38671</v>
      </c>
      <c r="F31" s="8"/>
    </row>
    <row r="32" spans="1:6" x14ac:dyDescent="0.2">
      <c r="B32" s="3" t="s">
        <v>37</v>
      </c>
      <c r="C32" s="17">
        <v>219238</v>
      </c>
      <c r="D32" s="17">
        <v>174437</v>
      </c>
      <c r="E32" s="17">
        <v>185275</v>
      </c>
      <c r="F32" s="8"/>
    </row>
    <row r="33" spans="2:6" x14ac:dyDescent="0.2">
      <c r="B33" s="12" t="s">
        <v>38</v>
      </c>
      <c r="C33" s="11">
        <f>SUM(C29:C32)</f>
        <v>421300</v>
      </c>
      <c r="D33" s="11">
        <f t="shared" ref="D33:E33" si="4">SUM(D29:D32)</f>
        <v>394992</v>
      </c>
      <c r="E33" s="11">
        <f t="shared" si="4"/>
        <v>412053</v>
      </c>
      <c r="F33" s="8"/>
    </row>
    <row r="34" spans="2:6" x14ac:dyDescent="0.2">
      <c r="B34" s="3" t="s">
        <v>39</v>
      </c>
      <c r="C34" s="17">
        <v>1095888</v>
      </c>
      <c r="D34" s="17">
        <v>846834</v>
      </c>
      <c r="E34" s="17">
        <v>756830</v>
      </c>
      <c r="F34" s="8"/>
    </row>
    <row r="35" spans="2:6" x14ac:dyDescent="0.2">
      <c r="B35" s="3" t="s">
        <v>40</v>
      </c>
      <c r="C35" s="17">
        <v>222478</v>
      </c>
      <c r="D35" s="17">
        <v>222680</v>
      </c>
      <c r="E35" s="17">
        <v>199929</v>
      </c>
      <c r="F35" s="8"/>
    </row>
    <row r="36" spans="2:6" x14ac:dyDescent="0.2">
      <c r="B36" s="3" t="s">
        <v>41</v>
      </c>
      <c r="C36" s="17">
        <v>30580</v>
      </c>
      <c r="D36" s="17">
        <v>32345</v>
      </c>
      <c r="E36" s="17">
        <v>26110</v>
      </c>
      <c r="F36" s="8"/>
    </row>
    <row r="37" spans="2:6" x14ac:dyDescent="0.2">
      <c r="B37" s="3" t="s">
        <v>42</v>
      </c>
      <c r="C37" s="17">
        <v>95658</v>
      </c>
      <c r="D37" s="17">
        <v>107432</v>
      </c>
      <c r="E37" s="17">
        <v>112931</v>
      </c>
      <c r="F37" s="8"/>
    </row>
    <row r="38" spans="2:6" x14ac:dyDescent="0.2">
      <c r="B38" s="10" t="s">
        <v>43</v>
      </c>
      <c r="C38" s="13">
        <f>SUM(C33:C37)</f>
        <v>1865904</v>
      </c>
      <c r="D38" s="13">
        <f>SUM(D33:D37)</f>
        <v>1604283</v>
      </c>
      <c r="E38" s="13">
        <f>SUM(E33:E37)</f>
        <v>1507853</v>
      </c>
      <c r="F38" s="8"/>
    </row>
    <row r="39" spans="2:6" x14ac:dyDescent="0.2">
      <c r="B39" s="2"/>
      <c r="C39" s="6"/>
      <c r="D39" s="6"/>
      <c r="E39" s="6"/>
    </row>
    <row r="40" spans="2:6" x14ac:dyDescent="0.2">
      <c r="B40" s="3" t="s">
        <v>44</v>
      </c>
      <c r="C40" s="17">
        <v>285</v>
      </c>
      <c r="D40" s="17">
        <v>287</v>
      </c>
      <c r="E40" s="17">
        <v>288</v>
      </c>
      <c r="F40" s="8"/>
    </row>
    <row r="41" spans="2:6" x14ac:dyDescent="0.2">
      <c r="B41" s="3" t="s">
        <v>45</v>
      </c>
      <c r="C41" s="17">
        <v>234956</v>
      </c>
      <c r="D41" s="17">
        <v>245659</v>
      </c>
      <c r="E41" s="17">
        <v>257486</v>
      </c>
      <c r="F41" s="8"/>
    </row>
    <row r="42" spans="2:6" x14ac:dyDescent="0.2">
      <c r="B42" s="3" t="s">
        <v>46</v>
      </c>
      <c r="C42" s="17">
        <v>1221279</v>
      </c>
      <c r="D42" s="17">
        <v>1177034</v>
      </c>
      <c r="E42" s="17">
        <v>1208096</v>
      </c>
      <c r="F42" s="8"/>
    </row>
    <row r="43" spans="2:6" x14ac:dyDescent="0.2">
      <c r="B43" s="3" t="s">
        <v>47</v>
      </c>
      <c r="C43" s="17">
        <v>6704</v>
      </c>
      <c r="D43" s="17">
        <v>14272</v>
      </c>
      <c r="E43" s="17">
        <v>3232</v>
      </c>
      <c r="F43" s="8"/>
    </row>
    <row r="44" spans="2:6" x14ac:dyDescent="0.2">
      <c r="B44" s="12" t="s">
        <v>48</v>
      </c>
      <c r="C44" s="20">
        <f>SUM(C40:C43)</f>
        <v>1463224</v>
      </c>
      <c r="D44" s="20">
        <f t="shared" ref="D44:E44" si="5">SUM(D40:D43)</f>
        <v>1437252</v>
      </c>
      <c r="E44" s="20">
        <f t="shared" si="5"/>
        <v>1469102</v>
      </c>
      <c r="F44" s="8"/>
    </row>
    <row r="45" spans="2:6" x14ac:dyDescent="0.2">
      <c r="B45" s="3" t="s">
        <v>49</v>
      </c>
      <c r="C45" s="17">
        <v>-82216</v>
      </c>
      <c r="D45" s="17">
        <v>-82216</v>
      </c>
      <c r="E45" s="17">
        <v>-82216</v>
      </c>
      <c r="F45" s="8"/>
    </row>
    <row r="46" spans="2:6" x14ac:dyDescent="0.2">
      <c r="B46" s="10" t="s">
        <v>50</v>
      </c>
      <c r="C46" s="15">
        <f>SUM(C44:C45)</f>
        <v>1381008</v>
      </c>
      <c r="D46" s="15">
        <f>SUM(D44:D45)</f>
        <v>1355036</v>
      </c>
      <c r="E46" s="15">
        <f>SUM(E44:E45)</f>
        <v>1386886</v>
      </c>
      <c r="F46" s="8"/>
    </row>
    <row r="47" spans="2:6" x14ac:dyDescent="0.2">
      <c r="B47" s="2"/>
      <c r="C47" s="14"/>
      <c r="D47" s="14"/>
      <c r="E47" s="14"/>
      <c r="F47" s="8"/>
    </row>
    <row r="48" spans="2:6" x14ac:dyDescent="0.2">
      <c r="B48" s="2" t="s">
        <v>51</v>
      </c>
      <c r="C48" s="14">
        <f>C38+C46</f>
        <v>3246912</v>
      </c>
      <c r="D48" s="14">
        <f>D38+D46</f>
        <v>2959319</v>
      </c>
      <c r="E48" s="14">
        <f>E38+E46</f>
        <v>2894739</v>
      </c>
      <c r="F48" s="8"/>
    </row>
    <row r="50" spans="2:5" ht="13.5" thickBot="1" x14ac:dyDescent="0.25">
      <c r="B50" s="16" t="s">
        <v>52</v>
      </c>
      <c r="C50" s="16">
        <v>2022</v>
      </c>
      <c r="D50" s="16">
        <v>2023</v>
      </c>
      <c r="E50" s="16">
        <v>2024</v>
      </c>
    </row>
    <row r="51" spans="2:5" x14ac:dyDescent="0.2">
      <c r="B51" s="2" t="s">
        <v>22</v>
      </c>
      <c r="C51" s="32">
        <f>C14</f>
        <v>394974</v>
      </c>
      <c r="D51" s="32">
        <f t="shared" ref="D51:E51" si="6">D14</f>
        <v>64195</v>
      </c>
      <c r="E51" s="32">
        <f t="shared" si="6"/>
        <v>142867</v>
      </c>
    </row>
    <row r="52" spans="2:5" x14ac:dyDescent="0.2">
      <c r="B52" s="3" t="s">
        <v>61</v>
      </c>
      <c r="C52" s="17">
        <v>129212</v>
      </c>
      <c r="D52" s="17">
        <v>131768</v>
      </c>
      <c r="E52" s="17">
        <v>125693</v>
      </c>
    </row>
    <row r="53" spans="2:5" x14ac:dyDescent="0.2">
      <c r="B53" s="3" t="s">
        <v>62</v>
      </c>
      <c r="C53" s="17">
        <v>23695</v>
      </c>
      <c r="D53" s="17">
        <v>18229</v>
      </c>
      <c r="E53" s="17">
        <v>18653</v>
      </c>
    </row>
    <row r="54" spans="2:5" x14ac:dyDescent="0.2">
      <c r="B54" s="3" t="s">
        <v>41</v>
      </c>
      <c r="C54" s="17">
        <v>-9277</v>
      </c>
      <c r="D54" s="17">
        <v>2067</v>
      </c>
      <c r="E54" s="17">
        <v>-7073</v>
      </c>
    </row>
    <row r="55" spans="2:5" x14ac:dyDescent="0.2">
      <c r="B55" s="3" t="s">
        <v>63</v>
      </c>
      <c r="C55" s="17">
        <v>3496</v>
      </c>
      <c r="D55" s="17">
        <v>7716</v>
      </c>
      <c r="E55" s="17">
        <v>7209</v>
      </c>
    </row>
    <row r="56" spans="2:5" x14ac:dyDescent="0.2">
      <c r="B56" s="18" t="s">
        <v>25</v>
      </c>
      <c r="C56" s="17">
        <v>115706</v>
      </c>
      <c r="D56" s="17">
        <v>1594</v>
      </c>
      <c r="E56" s="17">
        <v>13469</v>
      </c>
    </row>
    <row r="57" spans="2:5" x14ac:dyDescent="0.2">
      <c r="B57" s="18" t="s">
        <v>26</v>
      </c>
      <c r="C57" s="17">
        <v>117419</v>
      </c>
      <c r="D57" s="17">
        <v>235347</v>
      </c>
      <c r="E57" s="17">
        <v>46335</v>
      </c>
    </row>
    <row r="58" spans="2:5" x14ac:dyDescent="0.2">
      <c r="B58" s="18" t="s">
        <v>54</v>
      </c>
      <c r="C58" s="17">
        <v>14990</v>
      </c>
      <c r="D58" s="17">
        <v>25954</v>
      </c>
      <c r="E58" s="17">
        <v>4532</v>
      </c>
    </row>
    <row r="59" spans="2:5" x14ac:dyDescent="0.2">
      <c r="B59" s="3" t="s">
        <v>35</v>
      </c>
      <c r="C59" s="17">
        <v>-161121</v>
      </c>
      <c r="D59" s="17">
        <v>38737</v>
      </c>
      <c r="E59" s="17">
        <v>3474</v>
      </c>
    </row>
    <row r="60" spans="2:5" x14ac:dyDescent="0.2">
      <c r="B60" s="3" t="s">
        <v>53</v>
      </c>
      <c r="C60" s="17">
        <v>-26580</v>
      </c>
      <c r="D60" s="17">
        <v>1622</v>
      </c>
      <c r="E60" s="17">
        <v>15125</v>
      </c>
    </row>
    <row r="61" spans="2:5" x14ac:dyDescent="0.2">
      <c r="B61" s="10" t="s">
        <v>60</v>
      </c>
      <c r="C61" s="15">
        <f>SUM(C52:C60)+C51</f>
        <v>602514</v>
      </c>
      <c r="D61" s="15">
        <f>SUM(D52:D60)+D51</f>
        <v>527229</v>
      </c>
      <c r="E61" s="15">
        <f>SUM(E52:E60)+E51</f>
        <v>370284</v>
      </c>
    </row>
    <row r="62" spans="2:5" x14ac:dyDescent="0.2">
      <c r="C62" s="4"/>
      <c r="D62" s="4"/>
      <c r="E62" s="4"/>
    </row>
    <row r="63" spans="2:5" x14ac:dyDescent="0.2">
      <c r="B63" s="3" t="s">
        <v>55</v>
      </c>
      <c r="C63" s="17">
        <v>-130641</v>
      </c>
      <c r="D63" s="17">
        <v>-62209</v>
      </c>
      <c r="E63" s="17">
        <v>-42333</v>
      </c>
    </row>
    <row r="64" spans="2:5" x14ac:dyDescent="0.2">
      <c r="B64" s="3" t="s">
        <v>56</v>
      </c>
      <c r="C64" s="17">
        <v>-108470</v>
      </c>
      <c r="D64" s="17">
        <v>-25851</v>
      </c>
      <c r="E64" s="17">
        <v>-19957</v>
      </c>
    </row>
    <row r="65" spans="2:5" x14ac:dyDescent="0.2">
      <c r="B65" s="3" t="s">
        <v>57</v>
      </c>
      <c r="C65" s="17">
        <v>-2679</v>
      </c>
      <c r="D65" s="17">
        <v>4312</v>
      </c>
      <c r="E65" s="17">
        <v>1192</v>
      </c>
    </row>
    <row r="66" spans="2:5" x14ac:dyDescent="0.2">
      <c r="B66" s="10" t="s">
        <v>59</v>
      </c>
      <c r="C66" s="15">
        <f>SUM(C63:C65)</f>
        <v>-241790</v>
      </c>
      <c r="D66" s="15">
        <f t="shared" ref="D66:E66" si="7">SUM(D63:D65)</f>
        <v>-83748</v>
      </c>
      <c r="E66" s="15">
        <f t="shared" si="7"/>
        <v>-61098</v>
      </c>
    </row>
    <row r="67" spans="2:5" x14ac:dyDescent="0.2">
      <c r="C67" s="4"/>
      <c r="D67" s="4"/>
      <c r="E67" s="4"/>
    </row>
    <row r="68" spans="2:5" x14ac:dyDescent="0.2">
      <c r="B68" s="3" t="s">
        <v>58</v>
      </c>
      <c r="C68" s="17">
        <v>-10961</v>
      </c>
      <c r="D68" s="17">
        <v>-9628</v>
      </c>
      <c r="E68" s="17">
        <v>-9159</v>
      </c>
    </row>
    <row r="69" spans="2:5" x14ac:dyDescent="0.2">
      <c r="B69" s="3" t="s">
        <v>64</v>
      </c>
      <c r="C69" s="17">
        <v>1128400</v>
      </c>
      <c r="D69" s="17">
        <v>248900</v>
      </c>
      <c r="E69" s="17">
        <v>86248</v>
      </c>
    </row>
    <row r="70" spans="2:5" x14ac:dyDescent="0.2">
      <c r="B70" s="3" t="s">
        <v>66</v>
      </c>
      <c r="C70" s="17">
        <v>-1233740</v>
      </c>
      <c r="D70" s="17">
        <v>-464822</v>
      </c>
      <c r="E70" s="17">
        <v>-138752</v>
      </c>
    </row>
    <row r="71" spans="2:5" x14ac:dyDescent="0.2">
      <c r="B71" s="3" t="s">
        <v>67</v>
      </c>
      <c r="C71" s="17">
        <v>-73031</v>
      </c>
      <c r="D71" s="17">
        <v>-61099</v>
      </c>
      <c r="E71" s="17">
        <v>-36655</v>
      </c>
    </row>
    <row r="72" spans="2:5" x14ac:dyDescent="0.2">
      <c r="B72" s="3" t="s">
        <v>68</v>
      </c>
      <c r="C72" s="17">
        <v>-102726</v>
      </c>
      <c r="D72" s="17">
        <v>-106336</v>
      </c>
      <c r="E72" s="17">
        <v>-109471</v>
      </c>
    </row>
    <row r="73" spans="2:5" x14ac:dyDescent="0.2">
      <c r="B73" s="3" t="s">
        <v>69</v>
      </c>
      <c r="C73" s="17">
        <v>-60228</v>
      </c>
      <c r="D73" s="17">
        <v>-31857</v>
      </c>
      <c r="E73" s="17">
        <v>-2</v>
      </c>
    </row>
    <row r="74" spans="2:5" x14ac:dyDescent="0.2">
      <c r="B74" s="3" t="s">
        <v>70</v>
      </c>
      <c r="C74" s="17">
        <v>-24054</v>
      </c>
      <c r="D74" s="17">
        <v>0</v>
      </c>
      <c r="E74" s="17">
        <v>0</v>
      </c>
    </row>
    <row r="75" spans="2:5" x14ac:dyDescent="0.2">
      <c r="B75" s="3" t="s">
        <v>71</v>
      </c>
      <c r="C75" s="17">
        <v>1469</v>
      </c>
      <c r="D75" s="17">
        <v>-1342</v>
      </c>
      <c r="E75" s="17">
        <v>-430</v>
      </c>
    </row>
    <row r="76" spans="2:5" x14ac:dyDescent="0.2">
      <c r="B76" s="10" t="s">
        <v>65</v>
      </c>
      <c r="C76" s="15">
        <f>SUM(C68:C75)</f>
        <v>-374871</v>
      </c>
      <c r="D76" s="15">
        <f t="shared" ref="D76:E76" si="8">SUM(D68:D75)</f>
        <v>-426184</v>
      </c>
      <c r="E76" s="15">
        <f t="shared" si="8"/>
        <v>-208221</v>
      </c>
    </row>
    <row r="77" spans="2:5" x14ac:dyDescent="0.2">
      <c r="C77" s="4"/>
      <c r="D77" s="4"/>
      <c r="E77" s="4"/>
    </row>
    <row r="78" spans="2:5" x14ac:dyDescent="0.2">
      <c r="B78" s="3" t="s">
        <v>2</v>
      </c>
      <c r="C78" s="17">
        <v>-1250</v>
      </c>
      <c r="D78" s="17">
        <v>1361</v>
      </c>
      <c r="E78" s="17">
        <v>-1366</v>
      </c>
    </row>
    <row r="79" spans="2:5" x14ac:dyDescent="0.2">
      <c r="B79" s="10" t="s">
        <v>4</v>
      </c>
      <c r="C79" s="15">
        <f>C61+C66+C76+C78</f>
        <v>-15397</v>
      </c>
      <c r="D79" s="15">
        <f>D61+D66+D76+D78</f>
        <v>18658</v>
      </c>
      <c r="E79" s="15">
        <f>E61+E66+E76+E78</f>
        <v>99599</v>
      </c>
    </row>
    <row r="80" spans="2:5" x14ac:dyDescent="0.2">
      <c r="B80" s="3" t="s">
        <v>5</v>
      </c>
      <c r="C80" s="17">
        <v>62896</v>
      </c>
      <c r="D80" s="17">
        <f>C81</f>
        <v>47499</v>
      </c>
      <c r="E80" s="17">
        <f>D81</f>
        <v>66157</v>
      </c>
    </row>
    <row r="81" spans="1:7" x14ac:dyDescent="0.2">
      <c r="B81" s="10" t="s">
        <v>6</v>
      </c>
      <c r="C81" s="15">
        <f>SUM(C79:C80)</f>
        <v>47499</v>
      </c>
      <c r="D81" s="15">
        <f>SUM(D79:D80)</f>
        <v>66157</v>
      </c>
      <c r="E81" s="15">
        <f>SUM(E79:E80)</f>
        <v>165756</v>
      </c>
    </row>
    <row r="83" spans="1:7" ht="13.5" thickBot="1" x14ac:dyDescent="0.25">
      <c r="B83" s="16" t="s">
        <v>134</v>
      </c>
      <c r="C83" s="16">
        <v>2022</v>
      </c>
      <c r="D83" s="16">
        <v>2023</v>
      </c>
      <c r="E83" s="16">
        <v>2024</v>
      </c>
    </row>
    <row r="84" spans="1:7" x14ac:dyDescent="0.2">
      <c r="B84" s="3" t="s">
        <v>25</v>
      </c>
      <c r="C84" s="22">
        <f>C18</f>
        <v>214262</v>
      </c>
      <c r="D84" s="22">
        <f>D18</f>
        <v>214707</v>
      </c>
      <c r="E84" s="22">
        <f>E18</f>
        <v>199560</v>
      </c>
    </row>
    <row r="85" spans="1:7" x14ac:dyDescent="0.2">
      <c r="B85" s="3" t="s">
        <v>72</v>
      </c>
      <c r="C85" s="17">
        <v>5904</v>
      </c>
      <c r="D85" s="17">
        <v>5701</v>
      </c>
      <c r="E85" s="17">
        <v>5439</v>
      </c>
    </row>
    <row r="86" spans="1:7" x14ac:dyDescent="0.2">
      <c r="B86" s="10" t="s">
        <v>73</v>
      </c>
      <c r="C86" s="26">
        <f>SUM(C84:C85)</f>
        <v>220166</v>
      </c>
      <c r="D86" s="26">
        <f t="shared" ref="D86:E86" si="9">SUM(D84:D85)</f>
        <v>220408</v>
      </c>
      <c r="E86" s="26">
        <f t="shared" si="9"/>
        <v>204999</v>
      </c>
    </row>
    <row r="88" spans="1:7" ht="13.5" thickBot="1" x14ac:dyDescent="0.25">
      <c r="B88" s="16" t="s">
        <v>133</v>
      </c>
      <c r="C88" s="16">
        <v>2022</v>
      </c>
      <c r="D88" s="16">
        <v>2023</v>
      </c>
      <c r="E88" s="16">
        <v>2024</v>
      </c>
      <c r="F88" s="16" t="s">
        <v>126</v>
      </c>
      <c r="G88" s="16" t="s">
        <v>127</v>
      </c>
    </row>
    <row r="89" spans="1:7" x14ac:dyDescent="0.2">
      <c r="B89" s="3" t="s">
        <v>74</v>
      </c>
      <c r="C89" s="23">
        <f>C86 / C5</f>
        <v>4.2281535191178735E-2</v>
      </c>
      <c r="D89" s="23">
        <f>D86 / D5</f>
        <v>5.8234922352732289E-2</v>
      </c>
      <c r="E89" s="23">
        <f>E86 / E5</f>
        <v>5.479486839544874E-2</v>
      </c>
      <c r="F89" s="3" t="s">
        <v>136</v>
      </c>
      <c r="G89" s="3" t="s">
        <v>109</v>
      </c>
    </row>
    <row r="90" spans="1:7" x14ac:dyDescent="0.2">
      <c r="B90" s="3" t="s">
        <v>78</v>
      </c>
      <c r="C90" s="24">
        <f>C89*365</f>
        <v>15.432760344780238</v>
      </c>
      <c r="D90" s="24">
        <f>D89*365</f>
        <v>21.255746658747285</v>
      </c>
      <c r="E90" s="24">
        <f>E89*365</f>
        <v>20.00012696433879</v>
      </c>
      <c r="F90" s="3" t="s">
        <v>136</v>
      </c>
      <c r="G90" s="3" t="s">
        <v>109</v>
      </c>
    </row>
    <row r="92" spans="1:7" ht="13.5" thickBot="1" x14ac:dyDescent="0.25">
      <c r="B92" s="16" t="s">
        <v>75</v>
      </c>
      <c r="C92" s="16">
        <v>2022</v>
      </c>
      <c r="D92" s="16">
        <v>2023</v>
      </c>
      <c r="E92" s="16">
        <v>2024</v>
      </c>
      <c r="F92" s="16" t="s">
        <v>126</v>
      </c>
      <c r="G92" s="16" t="s">
        <v>127</v>
      </c>
    </row>
    <row r="93" spans="1:7" x14ac:dyDescent="0.2">
      <c r="B93" s="3" t="s">
        <v>76</v>
      </c>
      <c r="C93" s="24">
        <f>C21/C33</f>
        <v>3.3011535722762875</v>
      </c>
      <c r="D93" s="24">
        <f>D21/D33</f>
        <v>2.8275762547089562</v>
      </c>
      <c r="E93" s="24">
        <f>E21/E33</f>
        <v>2.8157494302917345</v>
      </c>
      <c r="F93" t="s">
        <v>129</v>
      </c>
      <c r="G93" s="3" t="s">
        <v>108</v>
      </c>
    </row>
    <row r="94" spans="1:7" x14ac:dyDescent="0.2">
      <c r="B94" s="3" t="s">
        <v>77</v>
      </c>
      <c r="C94" s="24">
        <f>(C17+C86)/C33</f>
        <v>0.63533111796819364</v>
      </c>
      <c r="D94" s="24">
        <f>(D17+D86)/D33</f>
        <v>0.72549570624215176</v>
      </c>
      <c r="E94" s="24">
        <f>(E17+E86)/E33</f>
        <v>0.8997750289404518</v>
      </c>
      <c r="F94" t="s">
        <v>128</v>
      </c>
      <c r="G94" s="3" t="s">
        <v>109</v>
      </c>
    </row>
    <row r="95" spans="1:7" x14ac:dyDescent="0.2">
      <c r="B95" s="3" t="s">
        <v>84</v>
      </c>
      <c r="C95" s="25">
        <f>C21-C33</f>
        <v>969476</v>
      </c>
      <c r="D95" s="25">
        <f>D21-D33</f>
        <v>721878</v>
      </c>
      <c r="E95" s="25">
        <f>E21-E33</f>
        <v>748185</v>
      </c>
      <c r="F95" s="3" t="s">
        <v>131</v>
      </c>
      <c r="G95" s="3" t="s">
        <v>111</v>
      </c>
    </row>
    <row r="96" spans="1:7" x14ac:dyDescent="0.2">
      <c r="A96" t="s">
        <v>160</v>
      </c>
      <c r="B96" s="3" t="s">
        <v>88</v>
      </c>
      <c r="C96" s="25">
        <f>C61-C63</f>
        <v>733155</v>
      </c>
      <c r="D96" s="25">
        <f>D61-D63</f>
        <v>589438</v>
      </c>
      <c r="E96" s="25">
        <f>E61-E63</f>
        <v>412617</v>
      </c>
      <c r="F96" t="s">
        <v>130</v>
      </c>
      <c r="G96" s="3" t="s">
        <v>111</v>
      </c>
    </row>
    <row r="98" spans="1:7" ht="13.5" thickBot="1" x14ac:dyDescent="0.25">
      <c r="A98" t="s">
        <v>161</v>
      </c>
      <c r="B98" s="16" t="s">
        <v>79</v>
      </c>
      <c r="C98" s="16">
        <v>2022</v>
      </c>
      <c r="D98" s="16">
        <v>2023</v>
      </c>
      <c r="E98" s="16">
        <v>2024</v>
      </c>
      <c r="F98" s="16" t="s">
        <v>126</v>
      </c>
      <c r="G98" s="16" t="s">
        <v>127</v>
      </c>
    </row>
    <row r="99" spans="1:7" x14ac:dyDescent="0.2">
      <c r="B99" s="3" t="s">
        <v>81</v>
      </c>
      <c r="C99" s="23">
        <f>C7/C5</f>
        <v>0.24452737326399523</v>
      </c>
      <c r="D99" s="23">
        <f>D7/D5</f>
        <v>0.20508041623247467</v>
      </c>
      <c r="E99" s="23">
        <f>E7/E5</f>
        <v>0.23514196484130259</v>
      </c>
      <c r="F99" s="3" t="s">
        <v>131</v>
      </c>
      <c r="G99" s="3" t="s">
        <v>110</v>
      </c>
    </row>
    <row r="100" spans="1:7" x14ac:dyDescent="0.2">
      <c r="B100" s="3" t="s">
        <v>22</v>
      </c>
      <c r="C100" s="31">
        <f>C14</f>
        <v>394974</v>
      </c>
      <c r="D100" s="31">
        <f t="shared" ref="D100:E100" si="10">D14</f>
        <v>64195</v>
      </c>
      <c r="E100" s="31">
        <f t="shared" si="10"/>
        <v>142867</v>
      </c>
      <c r="F100" s="3" t="s">
        <v>131</v>
      </c>
      <c r="G100" s="3" t="s">
        <v>110</v>
      </c>
    </row>
    <row r="101" spans="1:7" x14ac:dyDescent="0.2">
      <c r="B101" s="3" t="s">
        <v>135</v>
      </c>
      <c r="C101" s="23">
        <f>C100/C5</f>
        <v>7.5852343598015265E-2</v>
      </c>
      <c r="D101" s="23">
        <f t="shared" ref="D101:E101" si="11">D100/D5</f>
        <v>1.6961230265841756E-2</v>
      </c>
      <c r="E101" s="23">
        <f t="shared" si="11"/>
        <v>3.8187398294882297E-2</v>
      </c>
      <c r="F101" s="3" t="s">
        <v>131</v>
      </c>
      <c r="G101" s="3" t="s">
        <v>110</v>
      </c>
    </row>
    <row r="102" spans="1:7" x14ac:dyDescent="0.2">
      <c r="B102" s="3" t="s">
        <v>80</v>
      </c>
      <c r="C102" s="25">
        <f>C14+C11+C13+C52</f>
        <v>682240</v>
      </c>
      <c r="D102" s="25">
        <f>D14+D11+D13+D52</f>
        <v>255196</v>
      </c>
      <c r="E102" s="25">
        <f>E14+E11+E13+E52</f>
        <v>343930</v>
      </c>
      <c r="F102" s="3" t="s">
        <v>131</v>
      </c>
      <c r="G102" s="3" t="s">
        <v>110</v>
      </c>
    </row>
    <row r="103" spans="1:7" x14ac:dyDescent="0.2">
      <c r="B103" s="3" t="s">
        <v>82</v>
      </c>
      <c r="C103" s="23">
        <f>C102/C5</f>
        <v>0.13102002384032857</v>
      </c>
      <c r="D103" s="23">
        <f>D102/D5</f>
        <v>6.7426405778047399E-2</v>
      </c>
      <c r="E103" s="23">
        <f>E102/E5</f>
        <v>9.1930200085106203E-2</v>
      </c>
      <c r="F103" s="3" t="s">
        <v>131</v>
      </c>
      <c r="G103" s="3" t="s">
        <v>110</v>
      </c>
    </row>
    <row r="104" spans="1:7" x14ac:dyDescent="0.2">
      <c r="B104" s="3" t="s">
        <v>83</v>
      </c>
      <c r="C104" s="23">
        <f>C14/C27</f>
        <v>0.12164604399503282</v>
      </c>
      <c r="D104" s="23">
        <f>D14/D27</f>
        <v>2.1692490738578707E-2</v>
      </c>
      <c r="E104" s="23">
        <f>E14/E27</f>
        <v>4.9354017754277675E-2</v>
      </c>
      <c r="F104" s="3" t="s">
        <v>131</v>
      </c>
      <c r="G104" s="3" t="s">
        <v>109</v>
      </c>
    </row>
    <row r="106" spans="1:7" ht="13.5" thickBot="1" x14ac:dyDescent="0.25">
      <c r="B106" s="16" t="s">
        <v>85</v>
      </c>
      <c r="C106" s="16">
        <v>2022</v>
      </c>
      <c r="D106" s="16">
        <v>2023</v>
      </c>
      <c r="E106" s="16">
        <v>2024</v>
      </c>
      <c r="F106" s="16" t="s">
        <v>126</v>
      </c>
      <c r="G106" s="16" t="s">
        <v>127</v>
      </c>
    </row>
    <row r="107" spans="1:7" x14ac:dyDescent="0.2">
      <c r="B107" s="3" t="s">
        <v>86</v>
      </c>
      <c r="C107" s="24">
        <f>(C29+C34)/C46</f>
        <v>0.81025888336635266</v>
      </c>
      <c r="D107" s="24">
        <f>(D29+D34)/D46</f>
        <v>0.62538781257472131</v>
      </c>
      <c r="E107" s="24">
        <f>(E29+E34)/E46</f>
        <v>0.54600954945107238</v>
      </c>
      <c r="F107" t="s">
        <v>130</v>
      </c>
      <c r="G107" s="3" t="s">
        <v>110</v>
      </c>
    </row>
    <row r="108" spans="1:7" x14ac:dyDescent="0.2">
      <c r="B108" s="3" t="s">
        <v>87</v>
      </c>
      <c r="C108" s="24">
        <f>(C29+C34)/C102</f>
        <v>1.6401471622889305</v>
      </c>
      <c r="D108" s="24">
        <f>(D29+D34)/D102</f>
        <v>3.3206750889512375</v>
      </c>
      <c r="E108" s="24">
        <f>(E29+E34)/E102</f>
        <v>2.2017648940191319</v>
      </c>
      <c r="F108" s="3" t="s">
        <v>136</v>
      </c>
      <c r="G108" s="3" t="s">
        <v>111</v>
      </c>
    </row>
    <row r="109" spans="1:7" x14ac:dyDescent="0.2">
      <c r="A109" t="s">
        <v>162</v>
      </c>
      <c r="B109" s="3" t="s">
        <v>137</v>
      </c>
      <c r="C109" s="24">
        <f>(C14+C13+C11)/C11</f>
        <v>20.056867225184057</v>
      </c>
      <c r="D109" s="24">
        <f>(D14+D13+D11)/D11</f>
        <v>3.0533346526815754</v>
      </c>
      <c r="E109" s="24">
        <f>(E14+E13+E11)/E11</f>
        <v>7.5517145922004225</v>
      </c>
      <c r="F109" s="3" t="s">
        <v>131</v>
      </c>
      <c r="G109" s="3" t="s">
        <v>110</v>
      </c>
    </row>
    <row r="111" spans="1:7" ht="13.5" thickBot="1" x14ac:dyDescent="0.25">
      <c r="B111" s="16" t="s">
        <v>113</v>
      </c>
      <c r="C111" s="43"/>
      <c r="D111" s="43"/>
      <c r="E111" s="43"/>
      <c r="F111" s="43"/>
      <c r="G111" s="43"/>
    </row>
    <row r="112" spans="1:7" ht="27" customHeight="1" x14ac:dyDescent="0.2">
      <c r="A112" t="s">
        <v>160</v>
      </c>
      <c r="B112" s="54" t="s">
        <v>176</v>
      </c>
      <c r="C112" s="54"/>
      <c r="D112" s="54"/>
      <c r="E112" s="54"/>
      <c r="F112" s="54"/>
      <c r="G112" s="54"/>
    </row>
    <row r="113" spans="1:7" ht="27" customHeight="1" x14ac:dyDescent="0.2">
      <c r="A113" t="s">
        <v>161</v>
      </c>
      <c r="B113" s="53" t="s">
        <v>163</v>
      </c>
      <c r="C113" s="53"/>
      <c r="D113" s="53"/>
      <c r="E113" s="53"/>
      <c r="F113" s="53"/>
      <c r="G113" s="53"/>
    </row>
    <row r="114" spans="1:7" ht="27" customHeight="1" x14ac:dyDescent="0.2">
      <c r="A114" t="s">
        <v>158</v>
      </c>
      <c r="B114" s="53" t="s">
        <v>164</v>
      </c>
      <c r="C114" s="53"/>
      <c r="D114" s="53"/>
      <c r="E114" s="53"/>
      <c r="F114" s="53"/>
      <c r="G114" s="53"/>
    </row>
    <row r="115" spans="1:7" ht="27" customHeight="1" x14ac:dyDescent="0.2">
      <c r="A115" t="s">
        <v>159</v>
      </c>
      <c r="B115" s="52" t="s">
        <v>169</v>
      </c>
      <c r="C115" s="52"/>
      <c r="D115" s="52"/>
      <c r="E115" s="52"/>
      <c r="F115" s="52"/>
      <c r="G115" s="52"/>
    </row>
    <row r="116" spans="1:7" ht="27" customHeight="1" x14ac:dyDescent="0.2">
      <c r="A116" t="s">
        <v>162</v>
      </c>
      <c r="B116" s="52" t="s">
        <v>165</v>
      </c>
      <c r="C116" s="52"/>
      <c r="D116" s="52"/>
      <c r="E116" s="52"/>
      <c r="F116" s="52"/>
      <c r="G116" s="52"/>
    </row>
    <row r="117" spans="1:7" x14ac:dyDescent="0.2">
      <c r="B117" s="3"/>
    </row>
    <row r="118" spans="1:7" x14ac:dyDescent="0.2">
      <c r="B118" s="3"/>
    </row>
    <row r="119" spans="1:7" x14ac:dyDescent="0.2">
      <c r="B119" s="3"/>
    </row>
    <row r="120" spans="1:7" x14ac:dyDescent="0.2">
      <c r="B120" s="3"/>
    </row>
  </sheetData>
  <mergeCells count="5">
    <mergeCell ref="B116:G116"/>
    <mergeCell ref="B115:G115"/>
    <mergeCell ref="B114:G114"/>
    <mergeCell ref="B113:G113"/>
    <mergeCell ref="B112:G112"/>
  </mergeCells>
  <pageMargins left="0.25" right="0.25" top="0.75" bottom="0.75" header="0.3" footer="0.3"/>
  <pageSetup scale="79" fitToHeight="0" orientation="portrait" r:id="rId1"/>
  <ignoredErrors>
    <ignoredError sqref="C21:E21"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69B2E-577A-4228-AE96-680C764F1D57}">
  <sheetPr>
    <pageSetUpPr fitToPage="1"/>
  </sheetPr>
  <dimension ref="A2:I48"/>
  <sheetViews>
    <sheetView tabSelected="1" topLeftCell="A22" zoomScaleNormal="100" workbookViewId="0">
      <selection activeCell="B41" sqref="B41"/>
    </sheetView>
  </sheetViews>
  <sheetFormatPr defaultRowHeight="12.75" x14ac:dyDescent="0.2"/>
  <cols>
    <col min="1" max="1" width="3.7109375" customWidth="1"/>
    <col min="2" max="2" width="32.42578125" bestFit="1" customWidth="1"/>
    <col min="3" max="3" width="70.28515625" customWidth="1"/>
    <col min="4" max="4" width="15.42578125" bestFit="1" customWidth="1"/>
    <col min="6" max="6" width="7.5703125" bestFit="1" customWidth="1"/>
  </cols>
  <sheetData>
    <row r="2" spans="1:9" ht="13.5" thickBot="1" x14ac:dyDescent="0.25">
      <c r="B2" s="16" t="s">
        <v>168</v>
      </c>
      <c r="C2" s="43"/>
      <c r="D2" s="43"/>
    </row>
    <row r="3" spans="1:9" x14ac:dyDescent="0.2">
      <c r="B3" s="2" t="s">
        <v>120</v>
      </c>
      <c r="C3" s="3" t="s">
        <v>119</v>
      </c>
    </row>
    <row r="4" spans="1:9" x14ac:dyDescent="0.2">
      <c r="B4" s="2" t="s">
        <v>125</v>
      </c>
      <c r="C4" s="28" t="s">
        <v>123</v>
      </c>
    </row>
    <row r="5" spans="1:9" x14ac:dyDescent="0.2">
      <c r="B5" s="2" t="s">
        <v>89</v>
      </c>
      <c r="C5" s="27" t="s">
        <v>11</v>
      </c>
    </row>
    <row r="6" spans="1:9" x14ac:dyDescent="0.2">
      <c r="B6" s="29" t="s">
        <v>90</v>
      </c>
      <c r="C6" s="3" t="s">
        <v>121</v>
      </c>
    </row>
    <row r="7" spans="1:9" x14ac:dyDescent="0.2">
      <c r="B7" s="29" t="s">
        <v>100</v>
      </c>
      <c r="C7" s="3" t="s">
        <v>101</v>
      </c>
    </row>
    <row r="8" spans="1:9" x14ac:dyDescent="0.2">
      <c r="B8" s="2" t="s">
        <v>92</v>
      </c>
      <c r="C8" s="27" t="s">
        <v>91</v>
      </c>
    </row>
    <row r="9" spans="1:9" x14ac:dyDescent="0.2">
      <c r="B9" s="2" t="s">
        <v>93</v>
      </c>
      <c r="C9" s="3" t="s">
        <v>94</v>
      </c>
    </row>
    <row r="10" spans="1:9" x14ac:dyDescent="0.2">
      <c r="A10" s="3" t="s">
        <v>158</v>
      </c>
      <c r="B10" s="2" t="s">
        <v>98</v>
      </c>
      <c r="C10" s="3" t="s">
        <v>118</v>
      </c>
    </row>
    <row r="11" spans="1:9" x14ac:dyDescent="0.2">
      <c r="B11" s="29" t="s">
        <v>95</v>
      </c>
      <c r="C11" s="30" t="s">
        <v>117</v>
      </c>
      <c r="D11" s="9">
        <f>807109*(0.8)</f>
        <v>645687.20000000007</v>
      </c>
    </row>
    <row r="12" spans="1:9" x14ac:dyDescent="0.2">
      <c r="A12" s="3" t="s">
        <v>161</v>
      </c>
      <c r="B12" s="2" t="s">
        <v>97</v>
      </c>
      <c r="C12" s="3" t="s">
        <v>148</v>
      </c>
      <c r="D12" s="33">
        <f>D22</f>
        <v>2.4861111111111112</v>
      </c>
      <c r="H12" s="1"/>
      <c r="I12" s="1"/>
    </row>
    <row r="13" spans="1:9" x14ac:dyDescent="0.2">
      <c r="B13" s="2" t="s">
        <v>122</v>
      </c>
      <c r="C13" s="3" t="s">
        <v>124</v>
      </c>
      <c r="H13" s="1"/>
      <c r="I13" s="1"/>
    </row>
    <row r="14" spans="1:9" x14ac:dyDescent="0.2">
      <c r="H14" s="1"/>
    </row>
    <row r="15" spans="1:9" ht="13.5" thickBot="1" x14ac:dyDescent="0.25">
      <c r="B15" s="16" t="s">
        <v>104</v>
      </c>
      <c r="C15" s="16" t="s">
        <v>113</v>
      </c>
      <c r="D15" s="16" t="s">
        <v>114</v>
      </c>
    </row>
    <row r="16" spans="1:9" x14ac:dyDescent="0.2">
      <c r="B16" s="3" t="s">
        <v>103</v>
      </c>
      <c r="C16" s="3" t="s">
        <v>116</v>
      </c>
      <c r="D16" s="33">
        <v>3</v>
      </c>
    </row>
    <row r="17" spans="1:7" x14ac:dyDescent="0.2">
      <c r="B17" s="3" t="s">
        <v>102</v>
      </c>
      <c r="C17" s="3" t="s">
        <v>145</v>
      </c>
      <c r="D17" s="33">
        <v>1</v>
      </c>
    </row>
    <row r="18" spans="1:7" x14ac:dyDescent="0.2">
      <c r="A18" s="3" t="s">
        <v>159</v>
      </c>
      <c r="B18" s="3" t="s">
        <v>132</v>
      </c>
      <c r="C18" s="3" t="s">
        <v>147</v>
      </c>
      <c r="D18" s="33">
        <f>AVERAGE(2,2)</f>
        <v>2</v>
      </c>
    </row>
    <row r="19" spans="1:7" x14ac:dyDescent="0.2">
      <c r="A19" s="3" t="s">
        <v>160</v>
      </c>
      <c r="B19" s="3" t="s">
        <v>142</v>
      </c>
      <c r="C19" s="3" t="s">
        <v>143</v>
      </c>
      <c r="D19" s="33">
        <f>AVERAGE(1,2,4,4)</f>
        <v>2.75</v>
      </c>
    </row>
    <row r="20" spans="1:7" x14ac:dyDescent="0.2">
      <c r="A20" s="3" t="s">
        <v>161</v>
      </c>
      <c r="B20" s="3" t="s">
        <v>105</v>
      </c>
      <c r="C20" s="3" t="s">
        <v>144</v>
      </c>
      <c r="D20" s="33">
        <f>AVERAGE(3,3,3,3,3,2)</f>
        <v>2.8333333333333335</v>
      </c>
    </row>
    <row r="21" spans="1:7" x14ac:dyDescent="0.2">
      <c r="B21" s="3" t="s">
        <v>106</v>
      </c>
      <c r="C21" s="3" t="s">
        <v>146</v>
      </c>
      <c r="D21" s="33">
        <f>AVERAGE(3,4,3)</f>
        <v>3.3333333333333335</v>
      </c>
    </row>
    <row r="22" spans="1:7" x14ac:dyDescent="0.2">
      <c r="B22" s="10" t="s">
        <v>115</v>
      </c>
      <c r="C22" s="10"/>
      <c r="D22" s="34">
        <f>AVERAGE(D16:D21)</f>
        <v>2.4861111111111112</v>
      </c>
    </row>
    <row r="24" spans="1:7" ht="13.5" thickBot="1" x14ac:dyDescent="0.25">
      <c r="B24" s="16" t="s">
        <v>141</v>
      </c>
      <c r="C24" s="43"/>
      <c r="D24" s="43"/>
      <c r="E24" s="43"/>
      <c r="F24" s="43"/>
      <c r="G24" s="43"/>
    </row>
    <row r="25" spans="1:7" x14ac:dyDescent="0.2">
      <c r="B25" s="2" t="s">
        <v>107</v>
      </c>
      <c r="C25" s="2" t="s">
        <v>126</v>
      </c>
    </row>
    <row r="26" spans="1:7" x14ac:dyDescent="0.2">
      <c r="B26" s="3" t="s">
        <v>108</v>
      </c>
      <c r="C26" t="s">
        <v>128</v>
      </c>
    </row>
    <row r="27" spans="1:7" x14ac:dyDescent="0.2">
      <c r="B27" s="3" t="s">
        <v>109</v>
      </c>
      <c r="C27" t="s">
        <v>129</v>
      </c>
    </row>
    <row r="28" spans="1:7" x14ac:dyDescent="0.2">
      <c r="B28" s="3" t="s">
        <v>110</v>
      </c>
      <c r="C28" s="3" t="s">
        <v>131</v>
      </c>
    </row>
    <row r="29" spans="1:7" x14ac:dyDescent="0.2">
      <c r="B29" s="3" t="s">
        <v>111</v>
      </c>
      <c r="C29" s="3" t="s">
        <v>136</v>
      </c>
    </row>
    <row r="30" spans="1:7" x14ac:dyDescent="0.2">
      <c r="B30" s="3" t="s">
        <v>112</v>
      </c>
      <c r="C30" t="s">
        <v>130</v>
      </c>
    </row>
    <row r="32" spans="1:7" ht="13.5" thickBot="1" x14ac:dyDescent="0.25">
      <c r="B32" s="16" t="s">
        <v>96</v>
      </c>
      <c r="C32" s="43"/>
      <c r="D32" s="43"/>
      <c r="E32" s="43"/>
      <c r="F32" s="43"/>
      <c r="G32" s="43"/>
    </row>
    <row r="33" spans="1:7" x14ac:dyDescent="0.2">
      <c r="B33" s="27" t="s">
        <v>99</v>
      </c>
    </row>
    <row r="34" spans="1:7" x14ac:dyDescent="0.2">
      <c r="B34" s="27" t="s">
        <v>138</v>
      </c>
    </row>
    <row r="35" spans="1:7" x14ac:dyDescent="0.2">
      <c r="B35" t="s">
        <v>139</v>
      </c>
    </row>
    <row r="36" spans="1:7" x14ac:dyDescent="0.2">
      <c r="B36" s="27" t="s">
        <v>140</v>
      </c>
    </row>
    <row r="38" spans="1:7" ht="13.5" thickBot="1" x14ac:dyDescent="0.25">
      <c r="B38" s="16" t="s">
        <v>166</v>
      </c>
      <c r="C38" s="43"/>
      <c r="D38" s="43"/>
      <c r="E38" s="43"/>
      <c r="F38" s="43"/>
      <c r="G38" s="43"/>
    </row>
    <row r="39" spans="1:7" x14ac:dyDescent="0.2">
      <c r="B39" s="3" t="s">
        <v>167</v>
      </c>
      <c r="C39" s="3"/>
    </row>
    <row r="40" spans="1:7" x14ac:dyDescent="0.2">
      <c r="B40" s="3" t="s">
        <v>170</v>
      </c>
      <c r="C40" s="3"/>
    </row>
    <row r="41" spans="1:7" x14ac:dyDescent="0.2">
      <c r="A41" s="3" t="s">
        <v>162</v>
      </c>
      <c r="B41" s="3" t="s">
        <v>177</v>
      </c>
      <c r="C41" s="3"/>
    </row>
    <row r="43" spans="1:7" ht="13.5" thickBot="1" x14ac:dyDescent="0.25">
      <c r="B43" s="16" t="s">
        <v>113</v>
      </c>
      <c r="C43" s="43"/>
      <c r="D43" s="43"/>
      <c r="E43" s="43"/>
      <c r="F43" s="43"/>
      <c r="G43" s="43"/>
    </row>
    <row r="44" spans="1:7" ht="27" customHeight="1" x14ac:dyDescent="0.2">
      <c r="A44" t="s">
        <v>160</v>
      </c>
      <c r="B44" s="54" t="s">
        <v>176</v>
      </c>
      <c r="C44" s="54"/>
      <c r="D44" s="54"/>
      <c r="E44" s="54"/>
      <c r="F44" s="54"/>
      <c r="G44" s="54"/>
    </row>
    <row r="45" spans="1:7" ht="27" customHeight="1" x14ac:dyDescent="0.2">
      <c r="A45" t="s">
        <v>161</v>
      </c>
      <c r="B45" s="53" t="s">
        <v>163</v>
      </c>
      <c r="C45" s="53"/>
      <c r="D45" s="53"/>
      <c r="E45" s="53"/>
      <c r="F45" s="53"/>
      <c r="G45" s="53"/>
    </row>
    <row r="46" spans="1:7" ht="27" customHeight="1" x14ac:dyDescent="0.2">
      <c r="A46" t="s">
        <v>158</v>
      </c>
      <c r="B46" s="53" t="s">
        <v>164</v>
      </c>
      <c r="C46" s="53"/>
      <c r="D46" s="53"/>
      <c r="E46" s="53"/>
      <c r="F46" s="53"/>
      <c r="G46" s="53"/>
    </row>
    <row r="47" spans="1:7" ht="27" customHeight="1" x14ac:dyDescent="0.2">
      <c r="A47" t="s">
        <v>159</v>
      </c>
      <c r="B47" s="52" t="s">
        <v>169</v>
      </c>
      <c r="C47" s="52"/>
      <c r="D47" s="52"/>
      <c r="E47" s="52"/>
      <c r="F47" s="52"/>
      <c r="G47" s="52"/>
    </row>
    <row r="48" spans="1:7" ht="27" customHeight="1" x14ac:dyDescent="0.2">
      <c r="A48" t="s">
        <v>162</v>
      </c>
      <c r="B48" s="52" t="s">
        <v>165</v>
      </c>
      <c r="C48" s="52"/>
      <c r="D48" s="52"/>
      <c r="E48" s="52"/>
      <c r="F48" s="52"/>
      <c r="G48" s="52"/>
    </row>
  </sheetData>
  <mergeCells count="5">
    <mergeCell ref="B44:G44"/>
    <mergeCell ref="B45:G45"/>
    <mergeCell ref="B46:G46"/>
    <mergeCell ref="B47:G47"/>
    <mergeCell ref="B48:G48"/>
  </mergeCells>
  <hyperlinks>
    <hyperlink ref="C4" r:id="rId1" display="3.73% of Shares Held by Insiders, 43.71% of Shares Held by Institutions Holding Greater than 5%" xr:uid="{44117420-6C33-43E0-A2EE-DDFC8F12EB14}"/>
    <hyperlink ref="C5" r:id="rId2" xr:uid="{372F28AC-6FF8-46E0-A444-A6C1E56472A3}"/>
    <hyperlink ref="C8" r:id="rId3" xr:uid="{24FD35CA-CF86-4B8F-BBC3-CF68A35F20F8}"/>
    <hyperlink ref="B33" r:id="rId4" xr:uid="{F2C4A7DE-9E4B-465F-8518-D3A6B819807B}"/>
    <hyperlink ref="B34" r:id="rId5" display="https://s24.q4cdn.com/983662463/files/doc_financials/2024/ar/Lippert-2024-Annual-Report-2025012234-WEB-RA.pdf" xr:uid="{603DCE7F-920C-46BA-BDA3-564DAE9A8D4B}"/>
    <hyperlink ref="B36" r:id="rId6" xr:uid="{E6986335-D229-4FF6-9355-7F749405F433}"/>
  </hyperlinks>
  <pageMargins left="0.25" right="0.25" top="0.75" bottom="0.75" header="0.3" footer="0.3"/>
  <pageSetup scale="87" fitToHeight="0" orientation="landscape"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9E18B-C7A6-4EF3-8BC4-1817B2BA4EB0}">
  <sheetPr>
    <pageSetUpPr fitToPage="1"/>
  </sheetPr>
  <dimension ref="B2:H32"/>
  <sheetViews>
    <sheetView workbookViewId="0">
      <selection activeCell="A28" sqref="A28"/>
    </sheetView>
  </sheetViews>
  <sheetFormatPr defaultRowHeight="12.75" x14ac:dyDescent="0.2"/>
  <cols>
    <col min="1" max="1" width="4.140625" customWidth="1"/>
    <col min="2" max="2" width="18.85546875" bestFit="1" customWidth="1"/>
    <col min="3" max="3" width="11.5703125" customWidth="1"/>
    <col min="4" max="4" width="13.7109375" bestFit="1" customWidth="1"/>
    <col min="5" max="5" width="12.28515625" bestFit="1" customWidth="1"/>
    <col min="6" max="6" width="12.140625" bestFit="1" customWidth="1"/>
    <col min="7" max="8" width="12.28515625" bestFit="1" customWidth="1"/>
    <col min="9" max="9" width="14" bestFit="1" customWidth="1"/>
    <col min="10" max="10" width="11.28515625" bestFit="1" customWidth="1"/>
  </cols>
  <sheetData>
    <row r="2" spans="2:8" x14ac:dyDescent="0.2">
      <c r="B2" s="2" t="s">
        <v>173</v>
      </c>
    </row>
    <row r="4" spans="2:8" x14ac:dyDescent="0.2">
      <c r="B4" s="2" t="s">
        <v>151</v>
      </c>
      <c r="C4" s="35">
        <v>4.3400000000000001E-2</v>
      </c>
    </row>
    <row r="5" spans="2:8" x14ac:dyDescent="0.2">
      <c r="B5" s="2" t="s">
        <v>153</v>
      </c>
      <c r="C5" s="35">
        <f>2%+C4</f>
        <v>6.3399999999999998E-2</v>
      </c>
    </row>
    <row r="6" spans="2:8" x14ac:dyDescent="0.2">
      <c r="B6" s="2" t="s">
        <v>152</v>
      </c>
      <c r="C6" s="25">
        <f>'Financial Analysis'!E14+'Financial Analysis'!E13+'Financial Analysis'!E11</f>
        <v>218237</v>
      </c>
    </row>
    <row r="7" spans="2:8" x14ac:dyDescent="0.2">
      <c r="B7" s="3"/>
      <c r="C7" s="35"/>
      <c r="D7" s="3"/>
      <c r="E7" s="25"/>
    </row>
    <row r="8" spans="2:8" ht="13.5" thickBot="1" x14ac:dyDescent="0.25">
      <c r="B8" s="16" t="s">
        <v>156</v>
      </c>
      <c r="C8" s="16" t="s">
        <v>171</v>
      </c>
      <c r="D8" s="16" t="s">
        <v>155</v>
      </c>
      <c r="E8" s="16" t="s">
        <v>150</v>
      </c>
      <c r="F8" s="16" t="s">
        <v>154</v>
      </c>
    </row>
    <row r="9" spans="2:8" x14ac:dyDescent="0.2">
      <c r="B9" t="s">
        <v>8</v>
      </c>
      <c r="C9" s="25">
        <v>460000</v>
      </c>
      <c r="D9" s="25">
        <v>460000</v>
      </c>
      <c r="E9" s="35">
        <v>1.2500000000000001E-2</v>
      </c>
      <c r="F9" s="36">
        <f>D9*E9</f>
        <v>5750</v>
      </c>
    </row>
    <row r="10" spans="2:8" x14ac:dyDescent="0.2">
      <c r="B10" t="s">
        <v>9</v>
      </c>
      <c r="C10" s="25">
        <v>280000</v>
      </c>
      <c r="D10" s="25">
        <v>400000</v>
      </c>
      <c r="E10" s="35">
        <f>$C$4+0.01875+0.001</f>
        <v>6.3149999999999998E-2</v>
      </c>
      <c r="F10" s="36">
        <f t="shared" ref="F10:F11" si="0">D10*E10</f>
        <v>25260</v>
      </c>
    </row>
    <row r="11" spans="2:8" x14ac:dyDescent="0.2">
      <c r="B11" s="44" t="s">
        <v>10</v>
      </c>
      <c r="C11" s="45">
        <v>19263</v>
      </c>
      <c r="D11" s="45">
        <v>600000</v>
      </c>
      <c r="E11" s="46">
        <f>$C$4+0.00875</f>
        <v>5.2150000000000002E-2</v>
      </c>
      <c r="F11" s="47">
        <f t="shared" si="0"/>
        <v>31290</v>
      </c>
    </row>
    <row r="12" spans="2:8" x14ac:dyDescent="0.2">
      <c r="B12" s="2" t="s">
        <v>1</v>
      </c>
      <c r="C12" s="48">
        <f>SUM(C9:C11)</f>
        <v>759263</v>
      </c>
      <c r="D12" s="48">
        <f>SUM(D9:D11)</f>
        <v>1460000</v>
      </c>
      <c r="E12" s="48"/>
      <c r="F12" s="48">
        <f>SUM(F9:F11)</f>
        <v>62300</v>
      </c>
    </row>
    <row r="13" spans="2:8" x14ac:dyDescent="0.2">
      <c r="B13" s="3"/>
      <c r="C13" s="25"/>
      <c r="D13" s="25"/>
    </row>
    <row r="14" spans="2:8" ht="13.5" thickBot="1" x14ac:dyDescent="0.25">
      <c r="B14" s="16" t="s">
        <v>174</v>
      </c>
      <c r="C14" s="50"/>
      <c r="D14" s="50"/>
      <c r="E14" s="50"/>
      <c r="F14" s="50"/>
      <c r="G14" s="50"/>
      <c r="H14" s="3"/>
    </row>
    <row r="15" spans="2:8" x14ac:dyDescent="0.2">
      <c r="B15" s="18" t="s">
        <v>149</v>
      </c>
      <c r="C15" s="25">
        <v>0</v>
      </c>
      <c r="D15" s="25">
        <v>600000</v>
      </c>
      <c r="E15" s="25">
        <v>650000</v>
      </c>
      <c r="F15" s="25">
        <v>700000</v>
      </c>
      <c r="G15" s="25">
        <v>1200000</v>
      </c>
    </row>
    <row r="16" spans="2:8" x14ac:dyDescent="0.2">
      <c r="B16" s="18" t="s">
        <v>7</v>
      </c>
      <c r="C16" s="25">
        <f>'Financial Analysis'!E11</f>
        <v>28899</v>
      </c>
      <c r="D16" s="36">
        <f t="shared" ref="D16:G16" si="1">$C$16+(D15*$C$5)</f>
        <v>66939</v>
      </c>
      <c r="E16" s="36">
        <f t="shared" si="1"/>
        <v>70109</v>
      </c>
      <c r="F16" s="36">
        <f t="shared" si="1"/>
        <v>73279</v>
      </c>
      <c r="G16" s="36">
        <f t="shared" si="1"/>
        <v>104979</v>
      </c>
    </row>
    <row r="17" spans="2:7" x14ac:dyDescent="0.2">
      <c r="B17" s="3" t="s">
        <v>137</v>
      </c>
      <c r="C17" s="37">
        <f>$C$6/C16</f>
        <v>7.5517145922004225</v>
      </c>
      <c r="D17" s="37">
        <f t="shared" ref="D17:G17" si="2">$C$6/D16</f>
        <v>3.2602369321322398</v>
      </c>
      <c r="E17" s="37">
        <f t="shared" si="2"/>
        <v>3.1128243164215723</v>
      </c>
      <c r="F17" s="37">
        <f>$C$6/F16</f>
        <v>2.9781656409066719</v>
      </c>
      <c r="G17" s="37">
        <f t="shared" si="2"/>
        <v>2.0788633917259642</v>
      </c>
    </row>
    <row r="18" spans="2:7" x14ac:dyDescent="0.2">
      <c r="B18" s="3"/>
      <c r="C18" s="37"/>
      <c r="D18" s="37"/>
      <c r="E18" s="37"/>
      <c r="F18" s="37"/>
      <c r="G18" s="37"/>
    </row>
    <row r="19" spans="2:7" ht="13.5" thickBot="1" x14ac:dyDescent="0.25">
      <c r="B19" s="16" t="s">
        <v>175</v>
      </c>
      <c r="C19" s="51"/>
      <c r="D19" s="51"/>
      <c r="E19" s="51"/>
      <c r="F19" s="51"/>
      <c r="G19" s="51"/>
    </row>
    <row r="20" spans="2:7" x14ac:dyDescent="0.2">
      <c r="B20" s="18" t="s">
        <v>149</v>
      </c>
      <c r="C20" s="25">
        <v>0</v>
      </c>
      <c r="D20" s="25">
        <v>600000</v>
      </c>
      <c r="E20" s="25">
        <v>650000</v>
      </c>
      <c r="F20" s="25">
        <v>700000</v>
      </c>
      <c r="G20" s="25">
        <v>1200000</v>
      </c>
    </row>
    <row r="21" spans="2:7" x14ac:dyDescent="0.2">
      <c r="B21" s="18" t="s">
        <v>7</v>
      </c>
      <c r="C21" s="25">
        <f>F12</f>
        <v>62300</v>
      </c>
      <c r="D21" s="36">
        <f>$C$21+(D20*$C$5)</f>
        <v>100340</v>
      </c>
      <c r="E21" s="36">
        <f t="shared" ref="E21:G21" si="3">$C$21+(E20*$C$5)</f>
        <v>103510</v>
      </c>
      <c r="F21" s="36">
        <f t="shared" si="3"/>
        <v>106680</v>
      </c>
      <c r="G21" s="36">
        <f t="shared" si="3"/>
        <v>138380</v>
      </c>
    </row>
    <row r="22" spans="2:7" x14ac:dyDescent="0.2">
      <c r="B22" s="3" t="s">
        <v>137</v>
      </c>
      <c r="C22" s="37">
        <f>$C$6/C21</f>
        <v>3.5030016051364368</v>
      </c>
      <c r="D22" s="37">
        <f t="shared" ref="D22" si="4">$C$6/D21</f>
        <v>2.1749750847119791</v>
      </c>
      <c r="E22" s="37">
        <f t="shared" ref="E22" si="5">$C$6/E21</f>
        <v>2.1083663414162883</v>
      </c>
      <c r="F22" s="37">
        <f>$C$6/F21</f>
        <v>2.0457161604799401</v>
      </c>
      <c r="G22" s="37">
        <f t="shared" ref="G22" si="6">$C$6/G21</f>
        <v>1.5770848388495446</v>
      </c>
    </row>
    <row r="23" spans="2:7" x14ac:dyDescent="0.2">
      <c r="B23" s="25"/>
    </row>
    <row r="24" spans="2:7" ht="13.5" thickBot="1" x14ac:dyDescent="0.25">
      <c r="B24" s="49" t="s">
        <v>172</v>
      </c>
      <c r="C24" s="49"/>
      <c r="D24" s="49"/>
      <c r="E24" s="49"/>
      <c r="F24" s="49"/>
      <c r="G24" s="49"/>
    </row>
    <row r="25" spans="2:7" x14ac:dyDescent="0.2">
      <c r="B25" s="38" t="s">
        <v>157</v>
      </c>
      <c r="C25" s="25">
        <v>0</v>
      </c>
      <c r="D25" s="25">
        <v>600000</v>
      </c>
      <c r="E25" s="25">
        <v>650000</v>
      </c>
      <c r="F25" s="25">
        <v>700000</v>
      </c>
      <c r="G25" s="25">
        <v>1200000</v>
      </c>
    </row>
    <row r="26" spans="2:7" x14ac:dyDescent="0.2">
      <c r="B26" s="39">
        <f>'Financial Analysis'!E11</f>
        <v>28899</v>
      </c>
      <c r="C26" s="40">
        <f t="shared" ref="C26:G27" si="7">$C$6/($B26+(C$25*$C$5))</f>
        <v>7.5517145922004225</v>
      </c>
      <c r="D26" s="41">
        <f t="shared" si="7"/>
        <v>3.2602369321322398</v>
      </c>
      <c r="E26" s="41">
        <f t="shared" si="7"/>
        <v>3.1128243164215723</v>
      </c>
      <c r="F26" s="41">
        <f t="shared" si="7"/>
        <v>2.9781656409066719</v>
      </c>
      <c r="G26" s="41">
        <f t="shared" si="7"/>
        <v>2.0788633917259642</v>
      </c>
    </row>
    <row r="27" spans="2:7" x14ac:dyDescent="0.2">
      <c r="B27" s="39">
        <f>F12</f>
        <v>62300</v>
      </c>
      <c r="C27" s="42">
        <f t="shared" si="7"/>
        <v>3.5030016051364368</v>
      </c>
      <c r="D27" s="37">
        <f t="shared" si="7"/>
        <v>2.1749750847119791</v>
      </c>
      <c r="E27" s="37">
        <f t="shared" si="7"/>
        <v>2.1083663414162883</v>
      </c>
      <c r="F27" s="37">
        <f t="shared" si="7"/>
        <v>2.0457161604799401</v>
      </c>
      <c r="G27" s="37">
        <f t="shared" si="7"/>
        <v>1.5770848388495446</v>
      </c>
    </row>
    <row r="32" spans="2:7" x14ac:dyDescent="0.2">
      <c r="C32" t="s">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Financial Analysis</vt:lpstr>
      <vt:lpstr>Risk Rating</vt:lpstr>
      <vt:lpstr>Interest Sensitivity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Buonauro</dc:creator>
  <cp:lastModifiedBy>Brian Buonauro</cp:lastModifiedBy>
  <cp:lastPrinted>2025-04-09T03:38:16Z</cp:lastPrinted>
  <dcterms:created xsi:type="dcterms:W3CDTF">2025-04-01T01:45:53Z</dcterms:created>
  <dcterms:modified xsi:type="dcterms:W3CDTF">2025-04-09T03:39:13Z</dcterms:modified>
</cp:coreProperties>
</file>